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3" activeTab="5"/>
  </bookViews>
  <sheets>
    <sheet name="НовРай 2020" sheetId="1" r:id="rId1"/>
    <sheet name="гор. вода 2020" sheetId="2" r:id="rId2"/>
    <sheet name="2021г." sheetId="3" r:id="rId3"/>
    <sheet name="гор.вода 2021г." sheetId="4" r:id="rId4"/>
    <sheet name="2022" sheetId="5" r:id="rId5"/>
    <sheet name="гор.вода 2022" sheetId="6" r:id="rId6"/>
  </sheets>
  <definedNames>
    <definedName name="_xlnm.Print_Area" localSheetId="2">'2021г.'!$A$1:$R$160</definedName>
    <definedName name="_xlnm.Print_Area" localSheetId="4">'2022'!$A$1:$R$159</definedName>
    <definedName name="_xlnm.Print_Area" localSheetId="1">'гор. вода 2020'!$A$1:$S$160</definedName>
    <definedName name="_xlnm.Print_Area" localSheetId="3">'гор.вода 2021г.'!$A$1:$S$160</definedName>
    <definedName name="_xlnm.Print_Area" localSheetId="5">'гор.вода 2022'!$A$1:$S$161</definedName>
    <definedName name="_xlnm.Print_Area" localSheetId="0">'НовРай 2020'!$A$1:$V$160</definedName>
  </definedNames>
  <calcPr fullCalcOnLoad="1"/>
</workbook>
</file>

<file path=xl/sharedStrings.xml><?xml version="1.0" encoding="utf-8"?>
<sst xmlns="http://schemas.openxmlformats.org/spreadsheetml/2006/main" count="1832" uniqueCount="144">
  <si>
    <t>Наименование организации</t>
  </si>
  <si>
    <t>1 квартал</t>
  </si>
  <si>
    <t>Гкал</t>
  </si>
  <si>
    <t>2 квартал</t>
  </si>
  <si>
    <t>3 квартал</t>
  </si>
  <si>
    <t>руб.</t>
  </si>
  <si>
    <t>4 квартал</t>
  </si>
  <si>
    <t>Итого Год</t>
  </si>
  <si>
    <t>Тариф с НДС</t>
  </si>
  <si>
    <t>кВт. Час</t>
  </si>
  <si>
    <t>м.куб.</t>
  </si>
  <si>
    <t>Омс.Дук</t>
  </si>
  <si>
    <t>Омс</t>
  </si>
  <si>
    <t>Дукат</t>
  </si>
  <si>
    <t>Омс, Дук</t>
  </si>
  <si>
    <t>№ п/п</t>
  </si>
  <si>
    <t>V</t>
  </si>
  <si>
    <t xml:space="preserve">Тариф </t>
  </si>
  <si>
    <t>омс</t>
  </si>
  <si>
    <t xml:space="preserve">Итого </t>
  </si>
  <si>
    <t>Дук</t>
  </si>
  <si>
    <t>*</t>
  </si>
  <si>
    <t>тепло</t>
  </si>
  <si>
    <t>э/э</t>
  </si>
  <si>
    <t>гвс омс</t>
  </si>
  <si>
    <t>гвс дук</t>
  </si>
  <si>
    <t>хвс омс</t>
  </si>
  <si>
    <t>хвс дук</t>
  </si>
  <si>
    <t>жбо</t>
  </si>
  <si>
    <t>стоки омс</t>
  </si>
  <si>
    <t>стоки дук</t>
  </si>
  <si>
    <t>к постановлению</t>
  </si>
  <si>
    <t>дукат</t>
  </si>
  <si>
    <t>МКУ "Редакция газеты"Омсукчанские вести"</t>
  </si>
  <si>
    <t>МБОУ "Средняя общеобразовательная школа п. Омсукчан"</t>
  </si>
  <si>
    <t>МБОУ "Основная общеобразовательная школа п. Омсукчан"</t>
  </si>
  <si>
    <t>МБОУ "Средняя общеобразовательная школа п. Дукат"</t>
  </si>
  <si>
    <t>МБДОУ "Детский сад п. Дукат"</t>
  </si>
  <si>
    <t>МБДОУ "Детский сад п. Омсукчан"</t>
  </si>
  <si>
    <t>МБОУ ДОД "Центр дополнительного образования для детей п. Омсукчан"</t>
  </si>
  <si>
    <t>МБОУ ДОД "Детская школа искусств"п. Омсукчан</t>
  </si>
  <si>
    <t>Управление образования</t>
  </si>
  <si>
    <t>Администрация Омсукчанского городского округа</t>
  </si>
  <si>
    <t>Управление ЖКХ и градостроительства</t>
  </si>
  <si>
    <t>Административное здание ул. Ленина д. 13</t>
  </si>
  <si>
    <t>Паспортный стол</t>
  </si>
  <si>
    <t>Гараж ул. Подгорная д. 12</t>
  </si>
  <si>
    <t>Управление культуры, социальной и молодежной политики</t>
  </si>
  <si>
    <t>Административное зданиае ул. Мира д. 10</t>
  </si>
  <si>
    <t>МКУК "ЦД и НТ п. Омсукчан</t>
  </si>
  <si>
    <t>МБУК "ЦБС п. Омсукчан"</t>
  </si>
  <si>
    <t>МКУК " Библиотека п. Дукат"</t>
  </si>
  <si>
    <t>МКУК "ДК п. Дукат"</t>
  </si>
  <si>
    <t>Управление спорта и туризма</t>
  </si>
  <si>
    <t>МБОУ ДОД "ДСШ п. Омсукчан"</t>
  </si>
  <si>
    <t>МБУ "ОСОК п. Омсукчан"</t>
  </si>
  <si>
    <t>КУМИ</t>
  </si>
  <si>
    <t>МБОУ "Основная общеобразовательная школа п. Дукат"</t>
  </si>
  <si>
    <t>Уличное освещение п. Омсукчан</t>
  </si>
  <si>
    <t>Уличное освещение п. Дукат</t>
  </si>
  <si>
    <t xml:space="preserve"> с 01.01.2015г.  по 31.12.2015г. 1 м.куб. п. Омсукчан- 29,44 рублей, п. Дукат 1 м.куб. -36,51</t>
  </si>
  <si>
    <t xml:space="preserve"> с 01.01.2015г.  по 30.06.2015г. п. Омсукчан -37,16, п. Дукат -10,59, с 01.07.2015г. по 31.12.2015 п. Омсукчан -38,50, п. Дукат -10,59.</t>
  </si>
  <si>
    <t>администрации городского округа</t>
  </si>
  <si>
    <t xml:space="preserve"> Лимиты потребления холодной воды бюджетными учреждениями и прочими потребителями, финансируемыми из бюджета Омсукчанского района в 2015 году</t>
  </si>
  <si>
    <t xml:space="preserve">  Лимиты пропуска сточных вод бюджетными учреждениями и прочими потребителями, финансируемыми из бюджета Омсукчанского района в 2015 году</t>
  </si>
  <si>
    <t xml:space="preserve"> с 01.01.2015г.  по 30.06.2015г. 1 Гкал - 2678,02 рублей; с 01.07.2015г. по 31.12.2015 п.Омсукчан, Дукат 1 Гкал -2989,47</t>
  </si>
  <si>
    <t>ул.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</si>
  <si>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2015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</si>
  <si>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2015 году</t>
  </si>
  <si>
    <t>ад. здания с 01.01.2015г. по 30.06.2015г. 1 Кв/ч п. Омсукчан, Дукат - 5,0242 руб., с 01.07.2015г. По 31.12.2015г. 1 Кв/ч Омсукчан, Дукат - 5,577; ул. освещ. С 01.01.2015г. По 30.06.2015г. 1 Кв/ч Омсукчан, Дукат - 5,0196, с 01.07.2015г. по 31.12.2015г. 1 Кв/ч Омсукчан, Дукат - 5,5717</t>
  </si>
  <si>
    <t>наим. показателя</t>
  </si>
  <si>
    <t>м.куб</t>
  </si>
  <si>
    <t>Управление образования всего:</t>
  </si>
  <si>
    <t>гкал</t>
  </si>
  <si>
    <t>подогрев 1куб.м</t>
  </si>
  <si>
    <t>Омсукчан</t>
  </si>
  <si>
    <t>1-е пол.</t>
  </si>
  <si>
    <t>2-е пол.</t>
  </si>
  <si>
    <t>-</t>
  </si>
  <si>
    <t>+</t>
  </si>
  <si>
    <t>всего:</t>
  </si>
  <si>
    <t>Приложение № 3</t>
  </si>
  <si>
    <t xml:space="preserve">администрации </t>
  </si>
  <si>
    <t>городского округа</t>
  </si>
  <si>
    <t>МБУ ФОК "Жемчужина"</t>
  </si>
  <si>
    <t>МКУ "ОЭЦ"</t>
  </si>
  <si>
    <t>Паспортный стол ул.Ленина 15</t>
  </si>
  <si>
    <t>Гаражи</t>
  </si>
  <si>
    <t>Здания в п. Дукат</t>
  </si>
  <si>
    <t>Здания в п. Омсукчан</t>
  </si>
  <si>
    <t>Гараж Дукат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</si>
  <si>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2020 год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</si>
  <si>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2020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</si>
  <si>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2020 году</t>
  </si>
  <si>
    <t>здания в п. Дукат</t>
  </si>
  <si>
    <t xml:space="preserve"> Лимиты потребления холодной воды бюджетными учреждениями и прочими потребителями, финансируемыми из бюджета Омсукчанского городского округа в 2020 году</t>
  </si>
  <si>
    <t xml:space="preserve">  Лимиты пропуска сточных вод бюджетными учреждениями и прочими потребителями, финансируемыми из бюджета Омсукчанского городского округа в 2020 году</t>
  </si>
  <si>
    <t>Лимиты потребления горячей воды бюджетными учреждениями и прочими потребителями, финансируемыми из бюджета Омсукчанского городского округа в 2020 году</t>
  </si>
  <si>
    <t>Административное здание п. Омсукчан</t>
  </si>
  <si>
    <t>Административное здание п. Дукат</t>
  </si>
  <si>
    <t>Потери</t>
  </si>
  <si>
    <t>ДЭС, котельная Омсукчан</t>
  </si>
  <si>
    <t xml:space="preserve"> с 01.01.2020г.  по 30.06.2020г. 1 Гкал -5381,57 рублей; с 01.07.2020г. по 31.12.2020 п.Омсукчан, Дукат 1 Гкал -5643,07 рублей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</si>
  <si>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2021 год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</si>
  <si>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2021 году</t>
  </si>
  <si>
    <t xml:space="preserve"> с 01.01.2021г.  по 30.06.2021г. 1 Гкал 5643,07 рублей; с 01.07.2021г. по 31.12.2021 п.Омсукчан, Дукат 1 Гкал -5708,08 рублей</t>
  </si>
  <si>
    <t>Лимиты потребления горячей воды бюджетными учреждениями и прочими потребителями, финансируемыми из бюджета Омсукчанского городского округа в 2021 году</t>
  </si>
  <si>
    <t xml:space="preserve">  Лимиты пропуска сточных вод бюджетными учреждениями и прочими потребителями, финансируемыми из бюджета Омсукчанского городского округа в 2021 году</t>
  </si>
  <si>
    <t xml:space="preserve"> Лимиты потребления холодной воды бюджетными учреждениями и прочими потребителями, финансируемыми из бюджета Омсукчанского городского округа в 2021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</si>
  <si>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2021 году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</si>
  <si>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 на 2022 год</t>
  </si>
  <si>
    <t>Прогноз потребления теплоэнергии бюджетными учреждениями и прочими потребителями, финансируемыми из бюджета Омсукчанского городского округа в 2022 году</t>
  </si>
  <si>
    <t>Прогноз потребления электроэнергии бюджетными учреждениями и прочими потребителями, финансируемыми из бюджета Омсукчанского городского округа в 2022 году</t>
  </si>
  <si>
    <t xml:space="preserve"> Прогноз потребления холодной воды бюджетными учреждениями и прочими потребителями, финансируемыми из бюджета Омсукчанского городского округа в 2022 году</t>
  </si>
  <si>
    <t xml:space="preserve">  Прогноз пропуска сточных вод бюджетными учреждениями и прочими потребителями, финансируемыми из бюджета Омсукчанского городского округа в 2022году</t>
  </si>
  <si>
    <t>Прогноз потребления горячей воды бюджетными учреждениями и прочими потребителями, финансируемыми из бюджета Омсукчанского городского округа в 2022 году</t>
  </si>
  <si>
    <t>с 01.01.2020г. по 30.06.2020г. 1 Кв/ч п. Омсукчан, Дукат -5,76 руб., с 01.07.2020г. по 31.12.2020г. 1 Кв/ч Омсукчан, Дукат - 6,00 руб.</t>
  </si>
  <si>
    <t xml:space="preserve"> с 01.01.2020г.  по 30.06.2020г. п. Омсукчан -38,55 руб.,  п. Дукат -48,98 руб. ; с 01.07.2020г. по 31.12.2020г. п. Омсукчан -40,09 руб., п. Дукат -50,94 руб.</t>
  </si>
  <si>
    <t xml:space="preserve"> с 01.01.2020г.  по 30.06.2020г. п. Омсукчан -40,29 руб. ,  п. Дукат -15,00 руб. ; с 01.07.2020г. по 31.12.2020г. п. Омсукчан -41,90 руб., п. Дукат -15,60 руб.</t>
  </si>
  <si>
    <t xml:space="preserve"> с 01.01.2020г.  по 30.06.2020г. 1 м.куб. п. Омсукчан-49,96 руб., 1 Гкал - 5381,57 руб.,  п. Дукат 1 м.куб. -58,78 руб., 1 Гкал - 5381,57 руб.; с 01.07.2020г. по 31.12.2020г. 1 м.куб. Омсукчан - 51,96 руб., Гкал - 5643,07 руб., Дукат 1 м.куб - 61,13 руб., 1 Гкал - 5643,07 руб.</t>
  </si>
  <si>
    <t>с 01.01.2021г. по 30.06.2021г. 1 Кв/ч п. Омсукчан, Дукат -6,00 руб., с 01.07.2021г. по 31.12.2021г. 1 Кв/ч Омсукчан, Дукат - 6,24 руб.</t>
  </si>
  <si>
    <t xml:space="preserve"> с 01.01.2021г.  по 30.06.2021г. п. Омсукчан -40,09 руб., п. Дукат -50,94 руб., с 01.07.2021г. по 31.12.2021г. п. Омсукчан -41,69 руб., п. Дукат -52,98 руб. </t>
  </si>
  <si>
    <t xml:space="preserve"> с 01.01.2021г.  по 30.06.2021г. п. Омсукчан -41,90руб., п. Дукат -15,60 руб., с 01.07.2021г. по 31.12.2021 п. Омсукчан -43,58 руб., п. Дукат -16,22 руб.</t>
  </si>
  <si>
    <t xml:space="preserve"> с 01.01.2021г.  по 30.06.2021г. 1 м.куб. п. Омсукчан- 51,96 рублей, 1 Гкал - 5643,07 рублей, п. Дукат 1 м.куб. -61,13 руб., 1 Гкал - 5643,07 руб.; с 01.07.2021 г. по 31.12.2021 г. 1 м.куб. п.Омсукчан - 54,04 руб., 1 Гкал -5708,08 руб., Дукат 1 м.куб - 63,58 руб., 1 Гкал - 5708,08 руб.</t>
  </si>
  <si>
    <t xml:space="preserve"> с 01.01.2022г.  по 30.06.2022г. 1 Гкал -5708,08 рублей; с 01.07.2022г. по 31.12.2022г. п.Омсукчан, Дукат 1 Гкал -6078,46 рублей</t>
  </si>
  <si>
    <t>с 01.01.2022г. по 30.06.2022г. 1 Кв/ч п. Омсукчан, Дукат -6,24 руб., с 01.07.2022г. по 31.12.2022г. 1 Кв/ч Омсукчан, Дукат - 6,49 руб.</t>
  </si>
  <si>
    <t xml:space="preserve"> с 01.01.2022г.  по 30.06.2022г. п. Омсукчан -41,69 руб.,  п. Дукат -52,98 руб., с 01.07.2022г. по 31.12.2022г. п. Омсукчан -43,36 руб.,  п. Дукат -55,10 руб.</t>
  </si>
  <si>
    <t xml:space="preserve"> с 01.01.2022г.  по 30.06.2022г. п. Омсукчан -43,58 руб., п. Дукат -16,22 руб., с 01.07.2022г. по 31.12.2022 п. Омсукчан -45,32 руб., п. Дукат -16,87 руб.</t>
  </si>
  <si>
    <t xml:space="preserve"> с 01.01.2022 г.  по 30.06.2022г. 1 м.куб. п. Омсукчан-54,04 рублей, 1 Гкал - 5708,08 руб.,  п. Дукат 1 м.куб. -63,58 руб., 1 Гкал - 5708,08 руб.; с 01.07.2022 г. по 31.12.2022 г. 1 м.куб. Омсукчан - 56,20 руб., Гкал - 6078,46 руб., Дукат 1 м.куб - 66,12 руб., 1 Гкал - 6078,46 руб.</t>
  </si>
  <si>
    <t>Приложение № 1</t>
  </si>
  <si>
    <t>Приложение № 2</t>
  </si>
  <si>
    <t>Здание администрации п. Омсукчан</t>
  </si>
  <si>
    <t>Здание администрации п. Дукат</t>
  </si>
  <si>
    <t>Пустующие муниципальные жилые помещения п.Омсукчан</t>
  </si>
  <si>
    <t>Пустующие муниципальные жилые помещения п.Дукат</t>
  </si>
  <si>
    <t>Здание администрации п.Омсукчан</t>
  </si>
  <si>
    <t>ЗАГС (местный бюджет)</t>
  </si>
  <si>
    <t>Архив</t>
  </si>
  <si>
    <t>Пустующие муниципальные жилые помещения п. Омсукчан</t>
  </si>
  <si>
    <t>Пустующие муниципальные жилые помещения п. Дукат</t>
  </si>
  <si>
    <t>МБУ "Спортивная школа п. Омсукчан"</t>
  </si>
  <si>
    <t>от  27.05.2019г.  № 314</t>
  </si>
  <si>
    <t>от 27.05.2019г.  № 314</t>
  </si>
  <si>
    <t xml:space="preserve">от  27.05.2019г.  № 314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</si>
</sst>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.000"/>
    <numFmt numFmtId="196" formatCode="_-* #,##0.000_р_._-;\-* #,##0.000_р_._-;_-* &quot;-&quot;???_р_._-;_-@_-"/>
    <numFmt numFmtId="197" formatCode="#,##0.0000"/>
    <numFmt numFmtId="198" formatCode="[$-FC19]d\ mmmm\ yyyy\ &quot;г.&quot;"/>
    <numFmt numFmtId="199" formatCode="#,##0.00&quot;р.&quot;"/>
  </numFmts>
  <fonts count="9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sz val="20"/>
      <name val="Cambria"/>
      <family val="1"/>
    </font>
    <font>
      <b/>
      <sz val="20"/>
      <color indexed="10"/>
      <name val="Times New Roman"/>
      <family val="1"/>
    </font>
    <font>
      <b/>
      <sz val="22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10"/>
      <name val="Arial"/>
      <family val="2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Cambria"/>
      <family val="1"/>
    </font>
    <font>
      <sz val="20"/>
      <color indexed="9"/>
      <name val="Times New Roman"/>
      <family val="1"/>
    </font>
    <font>
      <sz val="20"/>
      <color indexed="9"/>
      <name val="Arial"/>
      <family val="2"/>
    </font>
    <font>
      <sz val="20"/>
      <color indexed="10"/>
      <name val="Arial"/>
      <family val="2"/>
    </font>
    <font>
      <b/>
      <sz val="20"/>
      <color indexed="8"/>
      <name val="Times New Roman"/>
      <family val="1"/>
    </font>
    <font>
      <b/>
      <sz val="20"/>
      <color indexed="9"/>
      <name val="Times New Roman"/>
      <family val="1"/>
    </font>
    <font>
      <sz val="20"/>
      <color indexed="8"/>
      <name val="Arial"/>
      <family val="2"/>
    </font>
    <font>
      <b/>
      <sz val="28"/>
      <color indexed="9"/>
      <name val="Arial"/>
      <family val="2"/>
    </font>
    <font>
      <sz val="20"/>
      <color indexed="8"/>
      <name val="Cambria"/>
      <family val="1"/>
    </font>
    <font>
      <b/>
      <sz val="20"/>
      <color indexed="9"/>
      <name val="Cambria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Times New Roman"/>
      <family val="1"/>
    </font>
    <font>
      <sz val="18"/>
      <color indexed="9"/>
      <name val="Times New Roman"/>
      <family val="1"/>
    </font>
    <font>
      <b/>
      <sz val="18"/>
      <color indexed="9"/>
      <name val="Cambria"/>
      <family val="1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Cambria"/>
      <family val="1"/>
    </font>
    <font>
      <sz val="20"/>
      <color theme="0"/>
      <name val="Times New Roman"/>
      <family val="1"/>
    </font>
    <font>
      <sz val="20"/>
      <color theme="0"/>
      <name val="Arial"/>
      <family val="2"/>
    </font>
    <font>
      <sz val="20"/>
      <color rgb="FFFF0000"/>
      <name val="Arial"/>
      <family val="2"/>
    </font>
    <font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0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Arial"/>
      <family val="2"/>
    </font>
    <font>
      <b/>
      <sz val="28"/>
      <color theme="0"/>
      <name val="Arial"/>
      <family val="2"/>
    </font>
    <font>
      <sz val="20"/>
      <color theme="1"/>
      <name val="Cambria"/>
      <family val="1"/>
    </font>
    <font>
      <b/>
      <sz val="20"/>
      <color theme="0"/>
      <name val="Cambria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18"/>
      <color theme="1"/>
      <name val="Times New Roman"/>
      <family val="1"/>
    </font>
    <font>
      <sz val="18"/>
      <color theme="0"/>
      <name val="Times New Roman"/>
      <family val="1"/>
    </font>
    <font>
      <b/>
      <sz val="18"/>
      <color theme="0"/>
      <name val="Cambria"/>
      <family val="1"/>
    </font>
    <font>
      <b/>
      <sz val="1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05">
    <xf numFmtId="0" fontId="0" fillId="0" borderId="0" xfId="0" applyAlignment="1">
      <alignment/>
    </xf>
    <xf numFmtId="0" fontId="8" fillId="33" borderId="0" xfId="0" applyNumberFormat="1" applyFont="1" applyFill="1" applyAlignment="1">
      <alignment/>
    </xf>
    <xf numFmtId="0" fontId="70" fillId="33" borderId="0" xfId="0" applyNumberFormat="1" applyFont="1" applyFill="1" applyAlignment="1">
      <alignment/>
    </xf>
    <xf numFmtId="0" fontId="71" fillId="33" borderId="0" xfId="0" applyNumberFormat="1" applyFont="1" applyFill="1" applyAlignment="1">
      <alignment horizontal="right" vertical="center" wrapText="1"/>
    </xf>
    <xf numFmtId="0" fontId="71" fillId="33" borderId="0" xfId="0" applyNumberFormat="1" applyFont="1" applyFill="1" applyAlignment="1">
      <alignment wrapText="1"/>
    </xf>
    <xf numFmtId="0" fontId="7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179" fontId="6" fillId="33" borderId="10" xfId="6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/>
    </xf>
    <xf numFmtId="2" fontId="72" fillId="33" borderId="0" xfId="0" applyNumberFormat="1" applyFont="1" applyFill="1" applyAlignment="1">
      <alignment/>
    </xf>
    <xf numFmtId="0" fontId="7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179" fontId="3" fillId="33" borderId="10" xfId="60" applyFont="1" applyFill="1" applyBorder="1" applyAlignment="1">
      <alignment horizontal="center" vertical="center" wrapText="1"/>
    </xf>
    <xf numFmtId="2" fontId="73" fillId="33" borderId="0" xfId="0" applyNumberFormat="1" applyFont="1" applyFill="1" applyAlignment="1">
      <alignment/>
    </xf>
    <xf numFmtId="0" fontId="7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72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 wrapText="1"/>
      <protection/>
    </xf>
    <xf numFmtId="0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wrapText="1"/>
    </xf>
    <xf numFmtId="0" fontId="74" fillId="33" borderId="0" xfId="0" applyNumberFormat="1" applyFont="1" applyFill="1" applyAlignment="1">
      <alignment horizontal="center" wrapText="1"/>
    </xf>
    <xf numFmtId="0" fontId="74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7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5" fillId="33" borderId="10" xfId="0" applyNumberFormat="1" applyFont="1" applyFill="1" applyBorder="1" applyAlignment="1">
      <alignment horizontal="center" vertical="center" wrapText="1"/>
    </xf>
    <xf numFmtId="179" fontId="75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9" fontId="76" fillId="33" borderId="10" xfId="6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33" borderId="10" xfId="60" applyNumberFormat="1" applyFont="1" applyFill="1" applyBorder="1" applyAlignment="1">
      <alignment horizontal="center" vertical="center" wrapText="1"/>
    </xf>
    <xf numFmtId="0" fontId="72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/>
      <protection locked="0"/>
    </xf>
    <xf numFmtId="0" fontId="71" fillId="33" borderId="0" xfId="0" applyNumberFormat="1" applyFont="1" applyFill="1" applyAlignment="1">
      <alignment/>
    </xf>
    <xf numFmtId="0" fontId="7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74" fillId="33" borderId="0" xfId="0" applyNumberFormat="1" applyFont="1" applyFill="1" applyBorder="1" applyAlignment="1">
      <alignment horizontal="center"/>
    </xf>
    <xf numFmtId="0" fontId="74" fillId="33" borderId="0" xfId="0" applyNumberFormat="1" applyFont="1" applyFill="1" applyAlignment="1">
      <alignment/>
    </xf>
    <xf numFmtId="0" fontId="78" fillId="33" borderId="0" xfId="0" applyNumberFormat="1" applyFont="1" applyFill="1" applyBorder="1" applyAlignment="1">
      <alignment horizontal="center"/>
    </xf>
    <xf numFmtId="0" fontId="74" fillId="33" borderId="0" xfId="0" applyNumberFormat="1" applyFont="1" applyFill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76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79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179" fontId="6" fillId="33" borderId="10" xfId="60" applyFont="1" applyFill="1" applyBorder="1" applyAlignment="1">
      <alignment vertical="center" wrapText="1"/>
    </xf>
    <xf numFmtId="179" fontId="3" fillId="33" borderId="10" xfId="6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179" fontId="10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/>
    </xf>
    <xf numFmtId="171" fontId="10" fillId="33" borderId="10" xfId="6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vertical="center"/>
    </xf>
    <xf numFmtId="0" fontId="12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75" fillId="33" borderId="17" xfId="0" applyNumberFormat="1" applyFont="1" applyFill="1" applyBorder="1" applyAlignment="1">
      <alignment horizontal="left" vertical="center" wrapText="1"/>
    </xf>
    <xf numFmtId="0" fontId="76" fillId="33" borderId="17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78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179" fontId="10" fillId="34" borderId="10" xfId="60" applyFont="1" applyFill="1" applyBorder="1" applyAlignment="1">
      <alignment horizontal="center" vertical="center" wrapText="1"/>
    </xf>
    <xf numFmtId="0" fontId="11" fillId="34" borderId="0" xfId="0" applyNumberFormat="1" applyFont="1" applyFill="1" applyAlignment="1">
      <alignment/>
    </xf>
    <xf numFmtId="0" fontId="72" fillId="34" borderId="0" xfId="0" applyNumberFormat="1" applyFont="1" applyFill="1" applyAlignment="1">
      <alignment/>
    </xf>
    <xf numFmtId="2" fontId="72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0" xfId="0" applyNumberFormat="1" applyFont="1" applyFill="1" applyAlignment="1">
      <alignment/>
    </xf>
    <xf numFmtId="0" fontId="7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5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6" fillId="33" borderId="0" xfId="0" applyNumberFormat="1" applyFont="1" applyFill="1" applyAlignment="1">
      <alignment/>
    </xf>
    <xf numFmtId="0" fontId="75" fillId="33" borderId="10" xfId="0" applyNumberFormat="1" applyFont="1" applyFill="1" applyBorder="1" applyAlignment="1">
      <alignment horizontal="center" wrapText="1"/>
    </xf>
    <xf numFmtId="0" fontId="75" fillId="33" borderId="0" xfId="0" applyNumberFormat="1" applyFont="1" applyFill="1" applyBorder="1" applyAlignment="1">
      <alignment horizontal="center" wrapText="1"/>
    </xf>
    <xf numFmtId="0" fontId="76" fillId="33" borderId="0" xfId="0" applyNumberFormat="1" applyFont="1" applyFill="1" applyAlignment="1">
      <alignment wrapText="1"/>
    </xf>
    <xf numFmtId="0" fontId="75" fillId="33" borderId="10" xfId="0" applyNumberFormat="1" applyFont="1" applyFill="1" applyBorder="1" applyAlignment="1">
      <alignment horizontal="center"/>
    </xf>
    <xf numFmtId="0" fontId="75" fillId="33" borderId="0" xfId="0" applyNumberFormat="1" applyFont="1" applyFill="1" applyBorder="1" applyAlignment="1">
      <alignment horizontal="center"/>
    </xf>
    <xf numFmtId="0" fontId="76" fillId="33" borderId="0" xfId="0" applyNumberFormat="1" applyFont="1" applyFill="1" applyAlignment="1" applyProtection="1">
      <alignment/>
      <protection locked="0"/>
    </xf>
    <xf numFmtId="0" fontId="76" fillId="33" borderId="0" xfId="0" applyNumberFormat="1" applyFont="1" applyFill="1" applyAlignment="1" applyProtection="1">
      <alignment horizontal="left"/>
      <protection locked="0"/>
    </xf>
    <xf numFmtId="0" fontId="76" fillId="33" borderId="0" xfId="0" applyNumberFormat="1" applyFont="1" applyFill="1" applyAlignment="1">
      <alignment/>
    </xf>
    <xf numFmtId="0" fontId="76" fillId="33" borderId="0" xfId="0" applyNumberFormat="1" applyFont="1" applyFill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72" fillId="0" borderId="0" xfId="0" applyNumberFormat="1" applyFont="1" applyFill="1" applyAlignment="1">
      <alignment/>
    </xf>
    <xf numFmtId="2" fontId="7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75" fillId="33" borderId="17" xfId="0" applyNumberFormat="1" applyFont="1" applyFill="1" applyBorder="1" applyAlignment="1">
      <alignment horizontal="left" vertical="center" wrapText="1"/>
    </xf>
    <xf numFmtId="0" fontId="76" fillId="33" borderId="17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71" fillId="33" borderId="0" xfId="0" applyNumberFormat="1" applyFont="1" applyFill="1" applyBorder="1" applyAlignment="1">
      <alignment horizontal="center"/>
    </xf>
    <xf numFmtId="0" fontId="77" fillId="33" borderId="0" xfId="0" applyNumberFormat="1" applyFont="1" applyFill="1" applyBorder="1" applyAlignment="1">
      <alignment horizontal="center" wrapText="1"/>
    </xf>
    <xf numFmtId="0" fontId="71" fillId="33" borderId="0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4" fillId="33" borderId="0" xfId="0" applyNumberFormat="1" applyFont="1" applyFill="1" applyAlignment="1">
      <alignment horizontal="left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71" fillId="33" borderId="0" xfId="0" applyNumberFormat="1" applyFont="1" applyFill="1" applyAlignment="1">
      <alignment horizontal="left"/>
    </xf>
    <xf numFmtId="0" fontId="71" fillId="33" borderId="0" xfId="0" applyNumberFormat="1" applyFont="1" applyFill="1" applyAlignment="1">
      <alignment horizontal="left"/>
    </xf>
    <xf numFmtId="0" fontId="71" fillId="33" borderId="0" xfId="0" applyNumberFormat="1" applyFont="1" applyFill="1" applyBorder="1" applyAlignment="1">
      <alignment wrapText="1"/>
    </xf>
    <xf numFmtId="0" fontId="71" fillId="33" borderId="0" xfId="0" applyNumberFormat="1" applyFont="1" applyFill="1" applyBorder="1" applyAlignment="1">
      <alignment horizontal="left" wrapText="1"/>
    </xf>
    <xf numFmtId="0" fontId="71" fillId="33" borderId="0" xfId="0" applyNumberFormat="1" applyFont="1" applyFill="1" applyAlignment="1">
      <alignment horizontal="center" wrapText="1"/>
    </xf>
    <xf numFmtId="0" fontId="80" fillId="33" borderId="0" xfId="0" applyNumberFormat="1" applyFont="1" applyFill="1" applyAlignment="1">
      <alignment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wrapText="1"/>
    </xf>
    <xf numFmtId="0" fontId="78" fillId="0" borderId="0" xfId="0" applyNumberFormat="1" applyFont="1" applyFill="1" applyBorder="1" applyAlignment="1">
      <alignment horizontal="center" wrapText="1"/>
    </xf>
    <xf numFmtId="0" fontId="75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74" fillId="0" borderId="0" xfId="0" applyNumberFormat="1" applyFont="1" applyFill="1" applyAlignment="1">
      <alignment horizontal="center" wrapText="1"/>
    </xf>
    <xf numFmtId="0" fontId="74" fillId="0" borderId="0" xfId="0" applyNumberFormat="1" applyFont="1" applyFill="1" applyAlignment="1">
      <alignment wrapText="1"/>
    </xf>
    <xf numFmtId="0" fontId="71" fillId="0" borderId="0" xfId="0" applyNumberFormat="1" applyFont="1" applyFill="1" applyAlignment="1">
      <alignment horizontal="right" vertical="center" wrapText="1"/>
    </xf>
    <xf numFmtId="0" fontId="71" fillId="0" borderId="0" xfId="0" applyNumberFormat="1" applyFont="1" applyFill="1" applyAlignment="1">
      <alignment wrapText="1"/>
    </xf>
    <xf numFmtId="0" fontId="71" fillId="0" borderId="0" xfId="0" applyNumberFormat="1" applyFont="1" applyFill="1" applyAlignment="1">
      <alignment/>
    </xf>
    <xf numFmtId="0" fontId="76" fillId="0" borderId="0" xfId="0" applyNumberFormat="1" applyFont="1" applyFill="1" applyAlignment="1">
      <alignment/>
    </xf>
    <xf numFmtId="0" fontId="81" fillId="0" borderId="0" xfId="0" applyNumberFormat="1" applyFont="1" applyFill="1" applyAlignment="1">
      <alignment/>
    </xf>
    <xf numFmtId="0" fontId="70" fillId="0" borderId="0" xfId="0" applyNumberFormat="1" applyFont="1" applyFill="1" applyAlignment="1">
      <alignment/>
    </xf>
    <xf numFmtId="0" fontId="7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74" fillId="0" borderId="0" xfId="0" applyNumberFormat="1" applyFont="1" applyFill="1" applyAlignment="1">
      <alignment/>
    </xf>
    <xf numFmtId="2" fontId="71" fillId="0" borderId="0" xfId="0" applyNumberFormat="1" applyFont="1" applyFill="1" applyAlignment="1">
      <alignment/>
    </xf>
    <xf numFmtId="2" fontId="70" fillId="0" borderId="0" xfId="0" applyNumberFormat="1" applyFont="1" applyFill="1" applyAlignment="1">
      <alignment/>
    </xf>
    <xf numFmtId="0" fontId="71" fillId="0" borderId="0" xfId="0" applyNumberFormat="1" applyFont="1" applyFill="1" applyBorder="1" applyAlignment="1">
      <alignment/>
    </xf>
    <xf numFmtId="0" fontId="71" fillId="0" borderId="0" xfId="0" applyNumberFormat="1" applyFont="1" applyFill="1" applyBorder="1" applyAlignment="1">
      <alignment horizontal="center"/>
    </xf>
    <xf numFmtId="0" fontId="82" fillId="0" borderId="0" xfId="0" applyNumberFormat="1" applyFont="1" applyFill="1" applyAlignment="1">
      <alignment/>
    </xf>
    <xf numFmtId="0" fontId="77" fillId="0" borderId="0" xfId="0" applyNumberFormat="1" applyFont="1" applyFill="1" applyBorder="1" applyAlignment="1">
      <alignment horizontal="center"/>
    </xf>
    <xf numFmtId="0" fontId="77" fillId="0" borderId="0" xfId="0" applyNumberFormat="1" applyFont="1" applyFill="1" applyBorder="1" applyAlignment="1">
      <alignment horizontal="center" wrapText="1"/>
    </xf>
    <xf numFmtId="0" fontId="77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left"/>
    </xf>
    <xf numFmtId="0" fontId="77" fillId="0" borderId="13" xfId="0" applyNumberFormat="1" applyFon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77" fillId="0" borderId="10" xfId="0" applyNumberFormat="1" applyFont="1" applyFill="1" applyBorder="1" applyAlignment="1">
      <alignment horizontal="center"/>
    </xf>
    <xf numFmtId="0" fontId="77" fillId="0" borderId="10" xfId="0" applyNumberFormat="1" applyFont="1" applyFill="1" applyBorder="1" applyAlignment="1">
      <alignment horizontal="center" vertical="center" wrapText="1"/>
    </xf>
    <xf numFmtId="0" fontId="77" fillId="0" borderId="17" xfId="0" applyNumberFormat="1" applyFont="1" applyFill="1" applyBorder="1" applyAlignment="1">
      <alignment horizontal="left" vertical="center" wrapText="1"/>
    </xf>
    <xf numFmtId="179" fontId="77" fillId="0" borderId="10" xfId="60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>
      <alignment horizontal="center" vertical="center" wrapText="1"/>
    </xf>
    <xf numFmtId="0" fontId="71" fillId="0" borderId="17" xfId="0" applyNumberFormat="1" applyFont="1" applyFill="1" applyBorder="1" applyAlignment="1">
      <alignment horizontal="left" vertical="center" wrapText="1"/>
    </xf>
    <xf numFmtId="179" fontId="71" fillId="0" borderId="10" xfId="60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>
      <alignment horizontal="left" vertical="center" wrapText="1"/>
    </xf>
    <xf numFmtId="171" fontId="71" fillId="0" borderId="10" xfId="60" applyNumberFormat="1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>
      <alignment/>
    </xf>
    <xf numFmtId="0" fontId="77" fillId="0" borderId="17" xfId="0" applyNumberFormat="1" applyFont="1" applyFill="1" applyBorder="1" applyAlignment="1">
      <alignment horizontal="left"/>
    </xf>
    <xf numFmtId="0" fontId="71" fillId="0" borderId="10" xfId="0" applyNumberFormat="1" applyFont="1" applyFill="1" applyBorder="1" applyAlignment="1">
      <alignment horizontal="left"/>
    </xf>
    <xf numFmtId="0" fontId="77" fillId="0" borderId="14" xfId="0" applyNumberFormat="1" applyFont="1" applyFill="1" applyBorder="1" applyAlignment="1">
      <alignment horizontal="center" vertical="center"/>
    </xf>
    <xf numFmtId="0" fontId="71" fillId="0" borderId="10" xfId="0" applyNumberFormat="1" applyFont="1" applyFill="1" applyBorder="1" applyAlignment="1">
      <alignment horizontal="center"/>
    </xf>
    <xf numFmtId="0" fontId="77" fillId="0" borderId="10" xfId="0" applyNumberFormat="1" applyFont="1" applyFill="1" applyBorder="1" applyAlignment="1">
      <alignment horizontal="left"/>
    </xf>
    <xf numFmtId="0" fontId="71" fillId="0" borderId="17" xfId="0" applyNumberFormat="1" applyFont="1" applyFill="1" applyBorder="1" applyAlignment="1">
      <alignment horizontal="left"/>
    </xf>
    <xf numFmtId="0" fontId="71" fillId="0" borderId="0" xfId="0" applyNumberFormat="1" applyFont="1" applyFill="1" applyBorder="1" applyAlignment="1">
      <alignment horizontal="left" wrapText="1"/>
    </xf>
    <xf numFmtId="0" fontId="71" fillId="0" borderId="0" xfId="0" applyNumberFormat="1" applyFont="1" applyFill="1" applyAlignment="1">
      <alignment horizontal="center" wrapText="1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179" fontId="10" fillId="34" borderId="10" xfId="60" applyFont="1" applyFill="1" applyBorder="1" applyAlignment="1" applyProtection="1">
      <alignment vertical="center" wrapText="1"/>
      <protection locked="0"/>
    </xf>
    <xf numFmtId="179" fontId="83" fillId="34" borderId="10" xfId="60" applyFont="1" applyFill="1" applyBorder="1" applyAlignment="1">
      <alignment horizontal="center" vertical="center" wrapText="1"/>
    </xf>
    <xf numFmtId="179" fontId="10" fillId="34" borderId="10" xfId="60" applyFont="1" applyFill="1" applyBorder="1" applyAlignment="1" applyProtection="1">
      <alignment horizontal="center" vertical="center" wrapText="1"/>
      <protection locked="0"/>
    </xf>
    <xf numFmtId="179" fontId="14" fillId="33" borderId="10" xfId="60" applyFont="1" applyFill="1" applyBorder="1" applyAlignment="1" applyProtection="1">
      <alignment vertical="center" wrapText="1"/>
      <protection locked="0"/>
    </xf>
    <xf numFmtId="179" fontId="84" fillId="33" borderId="10" xfId="60" applyFont="1" applyFill="1" applyBorder="1" applyAlignment="1">
      <alignment horizontal="center" vertical="center" wrapText="1"/>
    </xf>
    <xf numFmtId="179" fontId="14" fillId="33" borderId="10" xfId="60" applyFont="1" applyFill="1" applyBorder="1" applyAlignment="1">
      <alignment horizontal="center" vertical="center" wrapText="1"/>
    </xf>
    <xf numFmtId="179" fontId="14" fillId="33" borderId="10" xfId="60" applyFont="1" applyFill="1" applyBorder="1" applyAlignment="1" applyProtection="1">
      <alignment horizontal="center" vertical="center" wrapText="1"/>
      <protection locked="0"/>
    </xf>
    <xf numFmtId="179" fontId="14" fillId="33" borderId="10" xfId="60" applyNumberFormat="1" applyFont="1" applyFill="1" applyBorder="1" applyAlignment="1" applyProtection="1">
      <alignment vertical="center" wrapText="1"/>
      <protection locked="0"/>
    </xf>
    <xf numFmtId="179" fontId="14" fillId="33" borderId="10" xfId="60" applyNumberFormat="1" applyFont="1" applyFill="1" applyBorder="1" applyAlignment="1" applyProtection="1">
      <alignment horizontal="center" vertical="center" wrapText="1"/>
      <protection locked="0"/>
    </xf>
    <xf numFmtId="193" fontId="14" fillId="33" borderId="10" xfId="60" applyNumberFormat="1" applyFont="1" applyFill="1" applyBorder="1" applyAlignment="1" applyProtection="1">
      <alignment horizontal="center" vertical="center" wrapText="1"/>
      <protection locked="0"/>
    </xf>
    <xf numFmtId="195" fontId="10" fillId="34" borderId="10" xfId="60" applyNumberFormat="1" applyFont="1" applyFill="1" applyBorder="1" applyAlignment="1">
      <alignment horizontal="right" vertical="center" wrapText="1"/>
    </xf>
    <xf numFmtId="195" fontId="10" fillId="34" borderId="10" xfId="60" applyNumberFormat="1" applyFont="1" applyFill="1" applyBorder="1" applyAlignment="1" applyProtection="1">
      <alignment horizontal="right" vertical="center" wrapText="1"/>
      <protection locked="0"/>
    </xf>
    <xf numFmtId="179" fontId="10" fillId="33" borderId="10" xfId="60" applyFont="1" applyFill="1" applyBorder="1" applyAlignment="1" applyProtection="1">
      <alignment horizontal="center" vertical="center" wrapText="1"/>
      <protection locked="0"/>
    </xf>
    <xf numFmtId="179" fontId="83" fillId="33" borderId="10" xfId="60" applyFont="1" applyFill="1" applyBorder="1" applyAlignment="1">
      <alignment horizontal="center" vertical="center" wrapText="1"/>
    </xf>
    <xf numFmtId="179" fontId="83" fillId="34" borderId="10" xfId="60" applyFont="1" applyFill="1" applyBorder="1" applyAlignment="1" applyProtection="1">
      <alignment horizontal="center" vertical="center" wrapText="1"/>
      <protection locked="0"/>
    </xf>
    <xf numFmtId="179" fontId="84" fillId="33" borderId="10" xfId="60" applyFont="1" applyFill="1" applyBorder="1" applyAlignment="1" applyProtection="1">
      <alignment horizontal="center" vertical="center" wrapText="1"/>
      <protection locked="0"/>
    </xf>
    <xf numFmtId="171" fontId="84" fillId="33" borderId="10" xfId="60" applyNumberFormat="1" applyFont="1" applyFill="1" applyBorder="1" applyAlignment="1">
      <alignment horizontal="center" vertical="center" wrapText="1"/>
    </xf>
    <xf numFmtId="179" fontId="83" fillId="34" borderId="10" xfId="60" applyFont="1" applyFill="1" applyBorder="1" applyAlignment="1" applyProtection="1">
      <alignment horizontal="center" vertical="center" wrapText="1"/>
      <protection/>
    </xf>
    <xf numFmtId="179" fontId="10" fillId="34" borderId="10" xfId="60" applyFont="1" applyFill="1" applyBorder="1" applyAlignment="1" applyProtection="1">
      <alignment horizontal="center" vertical="center" wrapText="1"/>
      <protection/>
    </xf>
    <xf numFmtId="179" fontId="84" fillId="33" borderId="10" xfId="60" applyFont="1" applyFill="1" applyBorder="1" applyAlignment="1" applyProtection="1">
      <alignment horizontal="center" vertical="center" wrapText="1"/>
      <protection/>
    </xf>
    <xf numFmtId="179" fontId="14" fillId="33" borderId="10" xfId="60" applyFont="1" applyFill="1" applyBorder="1" applyAlignment="1" applyProtection="1">
      <alignment horizontal="center" vertical="center" wrapText="1"/>
      <protection/>
    </xf>
    <xf numFmtId="179" fontId="14" fillId="0" borderId="10" xfId="60" applyFont="1" applyFill="1" applyBorder="1" applyAlignment="1" applyProtection="1">
      <alignment horizontal="center" vertical="center" wrapText="1"/>
      <protection locked="0"/>
    </xf>
    <xf numFmtId="179" fontId="84" fillId="0" borderId="10" xfId="60" applyFont="1" applyFill="1" applyBorder="1" applyAlignment="1">
      <alignment horizontal="center" vertical="center" wrapText="1"/>
    </xf>
    <xf numFmtId="179" fontId="14" fillId="0" borderId="10" xfId="60" applyFont="1" applyFill="1" applyBorder="1" applyAlignment="1">
      <alignment horizontal="center" vertical="center" wrapText="1"/>
    </xf>
    <xf numFmtId="179" fontId="84" fillId="0" borderId="10" xfId="60" applyFont="1" applyFill="1" applyBorder="1" applyAlignment="1" applyProtection="1">
      <alignment horizontal="center" vertical="center" wrapText="1"/>
      <protection/>
    </xf>
    <xf numFmtId="179" fontId="14" fillId="0" borderId="10" xfId="60" applyFont="1" applyFill="1" applyBorder="1" applyAlignment="1" applyProtection="1">
      <alignment horizontal="center" vertical="center" wrapText="1"/>
      <protection/>
    </xf>
    <xf numFmtId="195" fontId="10" fillId="34" borderId="10" xfId="60" applyNumberFormat="1" applyFont="1" applyFill="1" applyBorder="1" applyAlignment="1" applyProtection="1">
      <alignment horizontal="right" vertical="center" wrapText="1"/>
      <protection/>
    </xf>
    <xf numFmtId="195" fontId="14" fillId="33" borderId="10" xfId="60" applyNumberFormat="1" applyFont="1" applyFill="1" applyBorder="1" applyAlignment="1" applyProtection="1">
      <alignment horizontal="right" vertical="center" wrapText="1"/>
      <protection locked="0"/>
    </xf>
    <xf numFmtId="179" fontId="83" fillId="33" borderId="10" xfId="60" applyFont="1" applyFill="1" applyBorder="1" applyAlignment="1" applyProtection="1">
      <alignment horizontal="center" vertical="center" wrapText="1"/>
      <protection/>
    </xf>
    <xf numFmtId="179" fontId="10" fillId="33" borderId="10" xfId="60" applyFont="1" applyFill="1" applyBorder="1" applyAlignment="1" applyProtection="1">
      <alignment horizontal="center" vertical="center" wrapText="1"/>
      <protection/>
    </xf>
    <xf numFmtId="193" fontId="14" fillId="0" borderId="10" xfId="60" applyNumberFormat="1" applyFont="1" applyFill="1" applyBorder="1" applyAlignment="1" applyProtection="1">
      <alignment horizontal="center" vertical="center" wrapText="1"/>
      <protection locked="0"/>
    </xf>
    <xf numFmtId="195" fontId="14" fillId="0" borderId="10" xfId="60" applyNumberFormat="1" applyFont="1" applyFill="1" applyBorder="1" applyAlignment="1" applyProtection="1">
      <alignment horizontal="right" vertical="center" wrapText="1"/>
      <protection locked="0"/>
    </xf>
    <xf numFmtId="195" fontId="14" fillId="33" borderId="10" xfId="60" applyNumberFormat="1" applyFont="1" applyFill="1" applyBorder="1" applyAlignment="1">
      <alignment horizontal="right" vertical="center" wrapText="1"/>
    </xf>
    <xf numFmtId="179" fontId="14" fillId="33" borderId="10" xfId="6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wrapText="1"/>
    </xf>
    <xf numFmtId="0" fontId="85" fillId="33" borderId="10" xfId="0" applyNumberFormat="1" applyFont="1" applyFill="1" applyBorder="1" applyAlignment="1">
      <alignment horizontal="center" wrapText="1"/>
    </xf>
    <xf numFmtId="0" fontId="15" fillId="33" borderId="10" xfId="0" applyNumberFormat="1" applyFont="1" applyFill="1" applyBorder="1" applyAlignment="1" applyProtection="1">
      <alignment horizontal="center" wrapText="1"/>
      <protection locked="0"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NumberFormat="1" applyFont="1" applyFill="1" applyBorder="1" applyAlignment="1">
      <alignment horizontal="center" vertical="center" wrapText="1"/>
    </xf>
    <xf numFmtId="179" fontId="15" fillId="34" borderId="10" xfId="60" applyFont="1" applyFill="1" applyBorder="1" applyAlignment="1" applyProtection="1">
      <alignment vertical="center" wrapText="1"/>
      <protection locked="0"/>
    </xf>
    <xf numFmtId="179" fontId="85" fillId="34" borderId="10" xfId="60" applyFont="1" applyFill="1" applyBorder="1" applyAlignment="1">
      <alignment horizontal="center" vertical="center" wrapText="1"/>
    </xf>
    <xf numFmtId="179" fontId="15" fillId="34" borderId="10" xfId="60" applyFont="1" applyFill="1" applyBorder="1" applyAlignment="1">
      <alignment horizontal="center" vertical="center" wrapText="1"/>
    </xf>
    <xf numFmtId="179" fontId="15" fillId="34" borderId="10" xfId="60" applyFont="1" applyFill="1" applyBorder="1" applyAlignment="1" applyProtection="1">
      <alignment horizontal="center" vertical="center" wrapText="1"/>
      <protection locked="0"/>
    </xf>
    <xf numFmtId="0" fontId="86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NumberFormat="1" applyFont="1" applyFill="1" applyBorder="1" applyAlignment="1">
      <alignment horizontal="center" vertical="center" wrapText="1"/>
    </xf>
    <xf numFmtId="179" fontId="16" fillId="33" borderId="10" xfId="60" applyFont="1" applyFill="1" applyBorder="1" applyAlignment="1" applyProtection="1">
      <alignment vertical="center" wrapText="1"/>
      <protection locked="0"/>
    </xf>
    <xf numFmtId="179" fontId="87" fillId="33" borderId="10" xfId="60" applyFont="1" applyFill="1" applyBorder="1" applyAlignment="1">
      <alignment horizontal="center" vertical="center" wrapText="1"/>
    </xf>
    <xf numFmtId="179" fontId="16" fillId="33" borderId="10" xfId="60" applyFont="1" applyFill="1" applyBorder="1" applyAlignment="1">
      <alignment horizontal="center" vertical="center" wrapText="1"/>
    </xf>
    <xf numFmtId="179" fontId="16" fillId="33" borderId="10" xfId="60" applyFont="1" applyFill="1" applyBorder="1" applyAlignment="1" applyProtection="1">
      <alignment horizontal="center" vertical="center" wrapText="1"/>
      <protection locked="0"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180" fontId="87" fillId="33" borderId="10" xfId="6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>
      <alignment horizontal="center" vertical="center" wrapText="1"/>
    </xf>
    <xf numFmtId="179" fontId="16" fillId="33" borderId="10" xfId="60" applyNumberFormat="1" applyFont="1" applyFill="1" applyBorder="1" applyAlignment="1" applyProtection="1">
      <alignment vertical="center" wrapText="1"/>
      <protection locked="0"/>
    </xf>
    <xf numFmtId="179" fontId="16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0" applyNumberFormat="1" applyFont="1" applyFill="1" applyBorder="1" applyAlignment="1">
      <alignment horizontal="center" vertical="center" wrapText="1"/>
    </xf>
    <xf numFmtId="179" fontId="15" fillId="33" borderId="10" xfId="60" applyFont="1" applyFill="1" applyBorder="1" applyAlignment="1" applyProtection="1">
      <alignment horizontal="center" vertical="center" wrapText="1"/>
      <protection locked="0"/>
    </xf>
    <xf numFmtId="179" fontId="85" fillId="33" borderId="10" xfId="60" applyFont="1" applyFill="1" applyBorder="1" applyAlignment="1">
      <alignment horizontal="center" vertical="center" wrapText="1"/>
    </xf>
    <xf numFmtId="179" fontId="15" fillId="33" borderId="10" xfId="60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 applyProtection="1">
      <alignment wrapText="1"/>
      <protection/>
    </xf>
    <xf numFmtId="179" fontId="10" fillId="35" borderId="10" xfId="60" applyFont="1" applyFill="1" applyBorder="1" applyAlignment="1">
      <alignment horizontal="center" vertical="center" wrapText="1"/>
    </xf>
    <xf numFmtId="179" fontId="10" fillId="35" borderId="10" xfId="60" applyFont="1" applyFill="1" applyBorder="1" applyAlignment="1" applyProtection="1">
      <alignment horizontal="center" vertical="center" wrapText="1"/>
      <protection locked="0"/>
    </xf>
    <xf numFmtId="179" fontId="83" fillId="35" borderId="10" xfId="60" applyFont="1" applyFill="1" applyBorder="1" applyAlignment="1" applyProtection="1">
      <alignment horizontal="center" vertical="center" wrapText="1"/>
      <protection/>
    </xf>
    <xf numFmtId="195" fontId="10" fillId="35" borderId="10" xfId="60" applyNumberFormat="1" applyFont="1" applyFill="1" applyBorder="1" applyAlignment="1" applyProtection="1">
      <alignment horizontal="right" vertical="center" wrapText="1"/>
      <protection locked="0"/>
    </xf>
    <xf numFmtId="179" fontId="83" fillId="35" borderId="10" xfId="60" applyFont="1" applyFill="1" applyBorder="1" applyAlignment="1">
      <alignment horizontal="center" vertical="center" wrapText="1"/>
    </xf>
    <xf numFmtId="179" fontId="10" fillId="35" borderId="10" xfId="60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>
      <alignment/>
    </xf>
    <xf numFmtId="0" fontId="16" fillId="33" borderId="17" xfId="0" applyNumberFormat="1" applyFont="1" applyFill="1" applyBorder="1" applyAlignment="1">
      <alignment horizontal="left"/>
    </xf>
    <xf numFmtId="0" fontId="88" fillId="0" borderId="0" xfId="0" applyNumberFormat="1" applyFont="1" applyFill="1" applyBorder="1" applyAlignment="1">
      <alignment/>
    </xf>
    <xf numFmtId="0" fontId="88" fillId="0" borderId="0" xfId="0" applyNumberFormat="1" applyFont="1" applyFill="1" applyBorder="1" applyAlignment="1">
      <alignment horizontal="center"/>
    </xf>
    <xf numFmtId="0" fontId="88" fillId="0" borderId="0" xfId="0" applyNumberFormat="1" applyFont="1" applyFill="1" applyAlignment="1">
      <alignment/>
    </xf>
    <xf numFmtId="0" fontId="89" fillId="0" borderId="0" xfId="0" applyNumberFormat="1" applyFont="1" applyFill="1" applyAlignment="1">
      <alignment/>
    </xf>
    <xf numFmtId="0" fontId="90" fillId="0" borderId="0" xfId="0" applyNumberFormat="1" applyFont="1" applyFill="1" applyBorder="1" applyAlignment="1">
      <alignment horizontal="center"/>
    </xf>
    <xf numFmtId="0" fontId="90" fillId="0" borderId="0" xfId="0" applyNumberFormat="1" applyFont="1" applyFill="1" applyBorder="1" applyAlignment="1">
      <alignment horizontal="center" wrapText="1"/>
    </xf>
    <xf numFmtId="0" fontId="90" fillId="0" borderId="0" xfId="0" applyNumberFormat="1" applyFont="1" applyFill="1" applyAlignment="1">
      <alignment/>
    </xf>
    <xf numFmtId="0" fontId="88" fillId="0" borderId="0" xfId="0" applyNumberFormat="1" applyFont="1" applyFill="1" applyAlignment="1">
      <alignment/>
    </xf>
    <xf numFmtId="0" fontId="88" fillId="0" borderId="0" xfId="0" applyNumberFormat="1" applyFont="1" applyFill="1" applyAlignment="1">
      <alignment horizontal="left"/>
    </xf>
    <xf numFmtId="193" fontId="10" fillId="33" borderId="10" xfId="60" applyNumberFormat="1" applyFont="1" applyFill="1" applyBorder="1" applyAlignment="1">
      <alignment horizontal="center" vertical="center" wrapText="1"/>
    </xf>
    <xf numFmtId="193" fontId="14" fillId="33" borderId="10" xfId="60" applyNumberFormat="1" applyFont="1" applyFill="1" applyBorder="1" applyAlignment="1">
      <alignment horizontal="center" vertical="center" wrapText="1"/>
    </xf>
    <xf numFmtId="193" fontId="14" fillId="33" borderId="10" xfId="60" applyNumberFormat="1" applyFont="1" applyFill="1" applyBorder="1" applyAlignment="1">
      <alignment horizontal="right" vertical="center" wrapText="1"/>
    </xf>
    <xf numFmtId="193" fontId="10" fillId="33" borderId="10" xfId="6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179" fontId="84" fillId="34" borderId="10" xfId="60" applyFont="1" applyFill="1" applyBorder="1" applyAlignment="1">
      <alignment horizontal="center" vertical="center" wrapText="1"/>
    </xf>
    <xf numFmtId="179" fontId="14" fillId="34" borderId="10" xfId="60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4" fontId="15" fillId="34" borderId="10" xfId="60" applyNumberFormat="1" applyFont="1" applyFill="1" applyBorder="1" applyAlignment="1" applyProtection="1">
      <alignment vertical="center" wrapText="1"/>
      <protection locked="0"/>
    </xf>
    <xf numFmtId="4" fontId="16" fillId="33" borderId="10" xfId="60" applyNumberFormat="1" applyFont="1" applyFill="1" applyBorder="1" applyAlignment="1" applyProtection="1">
      <alignment vertical="center" wrapText="1"/>
      <protection locked="0"/>
    </xf>
    <xf numFmtId="4" fontId="15" fillId="34" borderId="10" xfId="60" applyNumberFormat="1" applyFont="1" applyFill="1" applyBorder="1" applyAlignment="1" applyProtection="1">
      <alignment horizontal="center" vertical="center" wrapText="1"/>
      <protection locked="0"/>
    </xf>
    <xf numFmtId="4" fontId="16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15" fillId="34" borderId="10" xfId="60" applyNumberFormat="1" applyFont="1" applyFill="1" applyBorder="1" applyAlignment="1" applyProtection="1">
      <alignment horizontal="right" vertical="center" wrapText="1"/>
      <protection locked="0"/>
    </xf>
    <xf numFmtId="4" fontId="16" fillId="33" borderId="10" xfId="60" applyNumberFormat="1" applyFont="1" applyFill="1" applyBorder="1" applyAlignment="1" applyProtection="1">
      <alignment horizontal="right" vertical="center" wrapText="1"/>
      <protection locked="0"/>
    </xf>
    <xf numFmtId="179" fontId="87" fillId="34" borderId="10" xfId="60" applyFont="1" applyFill="1" applyBorder="1" applyAlignment="1">
      <alignment horizontal="center" vertical="center" wrapText="1"/>
    </xf>
    <xf numFmtId="4" fontId="14" fillId="33" borderId="10" xfId="60" applyNumberFormat="1" applyFont="1" applyFill="1" applyBorder="1" applyAlignment="1" applyProtection="1">
      <alignment horizontal="right" vertical="center" wrapText="1"/>
      <protection locked="0"/>
    </xf>
    <xf numFmtId="0" fontId="6" fillId="33" borderId="15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4" fontId="16" fillId="34" borderId="10" xfId="60" applyNumberFormat="1" applyFont="1" applyFill="1" applyBorder="1" applyAlignment="1">
      <alignment horizontal="right" vertical="center" wrapText="1"/>
    </xf>
    <xf numFmtId="4" fontId="15" fillId="34" borderId="10" xfId="60" applyNumberFormat="1" applyFont="1" applyFill="1" applyBorder="1" applyAlignment="1">
      <alignment horizontal="right" vertical="center" wrapText="1"/>
    </xf>
    <xf numFmtId="4" fontId="10" fillId="34" borderId="10" xfId="60" applyNumberFormat="1" applyFont="1" applyFill="1" applyBorder="1" applyAlignment="1">
      <alignment horizontal="right" vertical="center" wrapText="1"/>
    </xf>
    <xf numFmtId="4" fontId="10" fillId="34" borderId="10" xfId="6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60" applyNumberFormat="1" applyFont="1" applyFill="1" applyBorder="1" applyAlignment="1" applyProtection="1">
      <alignment vertical="center" wrapText="1"/>
      <protection locked="0"/>
    </xf>
    <xf numFmtId="4" fontId="14" fillId="33" borderId="10" xfId="60" applyNumberFormat="1" applyFont="1" applyFill="1" applyBorder="1" applyAlignment="1" applyProtection="1">
      <alignment vertical="center" wrapText="1"/>
      <protection locked="0"/>
    </xf>
    <xf numFmtId="4" fontId="10" fillId="34" borderId="10" xfId="60" applyNumberFormat="1" applyFont="1" applyFill="1" applyBorder="1" applyAlignment="1" applyProtection="1">
      <alignment horizontal="right" vertical="center" wrapText="1"/>
      <protection locked="0"/>
    </xf>
    <xf numFmtId="4" fontId="14" fillId="0" borderId="10" xfId="60" applyNumberFormat="1" applyFont="1" applyFill="1" applyBorder="1" applyAlignment="1" applyProtection="1">
      <alignment vertical="center" wrapText="1"/>
      <protection locked="0"/>
    </xf>
    <xf numFmtId="4" fontId="14" fillId="0" borderId="10" xfId="60" applyNumberFormat="1" applyFont="1" applyFill="1" applyBorder="1" applyAlignment="1" applyProtection="1">
      <alignment horizontal="right" vertical="center" wrapText="1"/>
      <protection locked="0"/>
    </xf>
    <xf numFmtId="4" fontId="84" fillId="33" borderId="10" xfId="6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left" vertical="center" wrapText="1"/>
    </xf>
    <xf numFmtId="0" fontId="10" fillId="33" borderId="16" xfId="0" applyNumberFormat="1" applyFont="1" applyFill="1" applyBorder="1" applyAlignment="1">
      <alignment horizontal="left" vertical="center" wrapText="1"/>
    </xf>
    <xf numFmtId="0" fontId="10" fillId="33" borderId="17" xfId="0" applyNumberFormat="1" applyFont="1" applyFill="1" applyBorder="1" applyAlignment="1">
      <alignment horizontal="left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left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7" fillId="33" borderId="0" xfId="0" applyNumberFormat="1" applyFont="1" applyFill="1" applyAlignment="1">
      <alignment/>
    </xf>
    <xf numFmtId="0" fontId="17" fillId="33" borderId="17" xfId="0" applyNumberFormat="1" applyFont="1" applyFill="1" applyBorder="1" applyAlignment="1">
      <alignment/>
    </xf>
    <xf numFmtId="0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7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5" xfId="0" applyNumberFormat="1" applyFont="1" applyFill="1" applyBorder="1" applyAlignment="1" applyProtection="1">
      <alignment horizontal="left" vertical="center" wrapText="1"/>
      <protection/>
    </xf>
    <xf numFmtId="0" fontId="14" fillId="33" borderId="16" xfId="0" applyNumberFormat="1" applyFont="1" applyFill="1" applyBorder="1" applyAlignment="1" applyProtection="1">
      <alignment horizontal="left" vertical="center" wrapText="1"/>
      <protection/>
    </xf>
    <xf numFmtId="0" fontId="14" fillId="33" borderId="17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left"/>
    </xf>
    <xf numFmtId="0" fontId="10" fillId="33" borderId="15" xfId="0" applyNumberFormat="1" applyFont="1" applyFill="1" applyBorder="1" applyAlignment="1">
      <alignment horizontal="left"/>
    </xf>
    <xf numFmtId="0" fontId="10" fillId="33" borderId="16" xfId="0" applyNumberFormat="1" applyFont="1" applyFill="1" applyBorder="1" applyAlignment="1">
      <alignment horizontal="left"/>
    </xf>
    <xf numFmtId="0" fontId="10" fillId="33" borderId="17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14" fillId="33" borderId="15" xfId="0" applyNumberFormat="1" applyFont="1" applyFill="1" applyBorder="1" applyAlignment="1">
      <alignment horizontal="center" vertical="center" wrapText="1"/>
    </xf>
    <xf numFmtId="0" fontId="14" fillId="33" borderId="16" xfId="0" applyNumberFormat="1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4" fontId="16" fillId="34" borderId="10" xfId="60" applyNumberFormat="1" applyFont="1" applyFill="1" applyBorder="1" applyAlignment="1" applyProtection="1">
      <alignment vertical="center" wrapText="1"/>
      <protection locked="0"/>
    </xf>
    <xf numFmtId="179" fontId="16" fillId="34" borderId="10" xfId="60" applyFont="1" applyFill="1" applyBorder="1" applyAlignment="1">
      <alignment horizontal="center" vertical="center" wrapText="1"/>
    </xf>
    <xf numFmtId="4" fontId="16" fillId="34" borderId="10" xfId="60" applyNumberFormat="1" applyFont="1" applyFill="1" applyBorder="1" applyAlignment="1" applyProtection="1">
      <alignment horizontal="center" vertical="center" wrapText="1"/>
      <protection locked="0"/>
    </xf>
    <xf numFmtId="179" fontId="14" fillId="34" borderId="10" xfId="60" applyFont="1" applyFill="1" applyBorder="1" applyAlignment="1" applyProtection="1">
      <alignment horizontal="center" vertical="center" wrapText="1"/>
      <protection locked="0"/>
    </xf>
    <xf numFmtId="179" fontId="84" fillId="34" borderId="10" xfId="60" applyFont="1" applyFill="1" applyBorder="1" applyAlignment="1" applyProtection="1">
      <alignment horizontal="center" vertical="center" wrapText="1"/>
      <protection/>
    </xf>
    <xf numFmtId="195" fontId="14" fillId="34" borderId="10" xfId="60" applyNumberFormat="1" applyFont="1" applyFill="1" applyBorder="1" applyAlignment="1" applyProtection="1">
      <alignment horizontal="right" vertical="center" wrapText="1"/>
      <protection/>
    </xf>
    <xf numFmtId="4" fontId="14" fillId="34" borderId="10" xfId="60" applyNumberFormat="1" applyFont="1" applyFill="1" applyBorder="1" applyAlignment="1" applyProtection="1">
      <alignment horizontal="right" vertical="center" wrapText="1"/>
      <protection locked="0"/>
    </xf>
    <xf numFmtId="195" fontId="14" fillId="34" borderId="10" xfId="60" applyNumberFormat="1" applyFont="1" applyFill="1" applyBorder="1" applyAlignment="1">
      <alignment horizontal="right" vertical="center" wrapText="1"/>
    </xf>
    <xf numFmtId="179" fontId="10" fillId="33" borderId="10" xfId="60" applyNumberFormat="1" applyFont="1" applyFill="1" applyBorder="1" applyAlignment="1">
      <alignment horizontal="center" vertical="center" wrapText="1"/>
    </xf>
    <xf numFmtId="4" fontId="14" fillId="34" borderId="10" xfId="60" applyNumberFormat="1" applyFont="1" applyFill="1" applyBorder="1" applyAlignment="1">
      <alignment horizontal="right" vertical="center" wrapText="1"/>
    </xf>
    <xf numFmtId="4" fontId="10" fillId="34" borderId="10" xfId="60" applyNumberFormat="1" applyFont="1" applyFill="1" applyBorder="1" applyAlignment="1" applyProtection="1">
      <alignment horizontal="right" vertical="center" wrapText="1"/>
      <protection/>
    </xf>
    <xf numFmtId="4" fontId="14" fillId="34" borderId="10" xfId="60" applyNumberFormat="1" applyFont="1" applyFill="1" applyBorder="1" applyAlignment="1" applyProtection="1">
      <alignment horizontal="right" vertical="center" wrapText="1"/>
      <protection/>
    </xf>
    <xf numFmtId="179" fontId="14" fillId="33" borderId="10" xfId="60" applyFont="1" applyFill="1" applyBorder="1" applyAlignment="1" applyProtection="1">
      <alignment horizontal="right" vertical="center" wrapText="1"/>
      <protection locked="0"/>
    </xf>
    <xf numFmtId="179" fontId="10" fillId="33" borderId="10" xfId="60" applyNumberFormat="1" applyFont="1" applyFill="1" applyBorder="1" applyAlignment="1">
      <alignment horizontal="right" vertical="center" wrapText="1"/>
    </xf>
    <xf numFmtId="179" fontId="14" fillId="33" borderId="10" xfId="60" applyNumberFormat="1" applyFont="1" applyFill="1" applyBorder="1" applyAlignment="1">
      <alignment horizontal="right" vertical="center" wrapText="1"/>
    </xf>
    <xf numFmtId="4" fontId="14" fillId="33" borderId="10" xfId="6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 applyProtection="1">
      <alignment horizontal="left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179" fontId="87" fillId="33" borderId="18" xfId="6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9" fontId="16" fillId="33" borderId="18" xfId="60" applyFont="1" applyFill="1" applyBorder="1" applyAlignment="1" applyProtection="1">
      <alignment horizontal="center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13" fillId="34" borderId="16" xfId="0" applyFont="1" applyFill="1" applyBorder="1" applyAlignment="1">
      <alignment horizontal="left" vertical="center" wrapText="1"/>
    </xf>
    <xf numFmtId="0" fontId="13" fillId="34" borderId="17" xfId="0" applyFont="1" applyFill="1" applyBorder="1" applyAlignment="1">
      <alignment horizontal="left" vertical="center" wrapText="1"/>
    </xf>
    <xf numFmtId="0" fontId="16" fillId="33" borderId="15" xfId="0" applyNumberFormat="1" applyFont="1" applyFill="1" applyBorder="1" applyAlignment="1" applyProtection="1">
      <alignment horizontal="left" vertical="center" wrapText="1"/>
      <protection/>
    </xf>
    <xf numFmtId="0" fontId="16" fillId="33" borderId="16" xfId="0" applyNumberFormat="1" applyFont="1" applyFill="1" applyBorder="1" applyAlignment="1" applyProtection="1">
      <alignment horizontal="left" vertical="center" wrapText="1"/>
      <protection/>
    </xf>
    <xf numFmtId="0" fontId="16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>
      <alignment horizontal="center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75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75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75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7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7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7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179" fontId="16" fillId="33" borderId="18" xfId="60" applyFont="1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 wrapText="1"/>
    </xf>
    <xf numFmtId="0" fontId="6" fillId="33" borderId="15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center" wrapText="1"/>
    </xf>
    <xf numFmtId="0" fontId="15" fillId="34" borderId="15" xfId="0" applyNumberFormat="1" applyFont="1" applyFill="1" applyBorder="1" applyAlignment="1" applyProtection="1">
      <alignment horizontal="left" vertical="center" wrapText="1"/>
      <protection/>
    </xf>
    <xf numFmtId="0" fontId="15" fillId="34" borderId="16" xfId="0" applyNumberFormat="1" applyFont="1" applyFill="1" applyBorder="1" applyAlignment="1" applyProtection="1">
      <alignment horizontal="left" vertical="center" wrapText="1"/>
      <protection/>
    </xf>
    <xf numFmtId="0" fontId="15" fillId="34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2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NumberFormat="1" applyFont="1" applyFill="1" applyAlignment="1">
      <alignment horizontal="left"/>
    </xf>
    <xf numFmtId="0" fontId="16" fillId="33" borderId="18" xfId="0" applyNumberFormat="1" applyFont="1" applyFill="1" applyBorder="1" applyAlignment="1" applyProtection="1">
      <alignment horizontal="center" vertical="center" wrapText="1"/>
      <protection/>
    </xf>
    <xf numFmtId="0" fontId="15" fillId="33" borderId="18" xfId="0" applyNumberFormat="1" applyFont="1" applyFill="1" applyBorder="1" applyAlignment="1">
      <alignment horizontal="center" wrapText="1"/>
    </xf>
    <xf numFmtId="0" fontId="15" fillId="33" borderId="19" xfId="0" applyNumberFormat="1" applyFont="1" applyFill="1" applyBorder="1" applyAlignment="1">
      <alignment horizontal="center" wrapText="1"/>
    </xf>
    <xf numFmtId="0" fontId="15" fillId="33" borderId="15" xfId="0" applyNumberFormat="1" applyFont="1" applyFill="1" applyBorder="1" applyAlignment="1">
      <alignment horizontal="center" wrapText="1"/>
    </xf>
    <xf numFmtId="0" fontId="15" fillId="33" borderId="16" xfId="0" applyNumberFormat="1" applyFont="1" applyFill="1" applyBorder="1" applyAlignment="1">
      <alignment horizontal="center" wrapText="1"/>
    </xf>
    <xf numFmtId="0" fontId="15" fillId="33" borderId="17" xfId="0" applyNumberFormat="1" applyFont="1" applyFill="1" applyBorder="1" applyAlignment="1">
      <alignment horizontal="center" wrapText="1"/>
    </xf>
    <xf numFmtId="0" fontId="15" fillId="33" borderId="21" xfId="0" applyNumberFormat="1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center" vertical="center"/>
    </xf>
    <xf numFmtId="0" fontId="15" fillId="33" borderId="13" xfId="0" applyNumberFormat="1" applyFont="1" applyFill="1" applyBorder="1" applyAlignment="1">
      <alignment horizontal="center" vertical="center"/>
    </xf>
    <xf numFmtId="0" fontId="15" fillId="33" borderId="22" xfId="0" applyNumberFormat="1" applyFont="1" applyFill="1" applyBorder="1" applyAlignment="1">
      <alignment horizontal="center" vertical="center"/>
    </xf>
    <xf numFmtId="0" fontId="15" fillId="33" borderId="20" xfId="0" applyNumberFormat="1" applyFont="1" applyFill="1" applyBorder="1" applyAlignment="1">
      <alignment horizontal="center" vertical="center"/>
    </xf>
    <xf numFmtId="0" fontId="15" fillId="33" borderId="14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center" wrapText="1"/>
      <protection locked="0"/>
    </xf>
    <xf numFmtId="0" fontId="15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34" borderId="17" xfId="0" applyNumberFormat="1" applyFont="1" applyFill="1" applyBorder="1" applyAlignment="1" applyProtection="1">
      <alignment horizontal="left" vertical="center" wrapText="1"/>
      <protection locked="0"/>
    </xf>
    <xf numFmtId="179" fontId="16" fillId="33" borderId="18" xfId="60" applyFont="1" applyFill="1" applyBorder="1" applyAlignment="1">
      <alignment horizontal="center" vertical="center" wrapText="1"/>
    </xf>
    <xf numFmtId="0" fontId="16" fillId="34" borderId="15" xfId="0" applyNumberFormat="1" applyFont="1" applyFill="1" applyBorder="1" applyAlignment="1" applyProtection="1">
      <alignment horizontal="left" vertical="center" wrapText="1"/>
      <protection/>
    </xf>
    <xf numFmtId="0" fontId="16" fillId="33" borderId="21" xfId="0" applyNumberFormat="1" applyFont="1" applyFill="1" applyBorder="1" applyAlignment="1" applyProtection="1">
      <alignment horizontal="left" vertical="center" wrapText="1"/>
      <protection/>
    </xf>
    <xf numFmtId="0" fontId="16" fillId="33" borderId="12" xfId="0" applyNumberFormat="1" applyFont="1" applyFill="1" applyBorder="1" applyAlignment="1" applyProtection="1">
      <alignment horizontal="left" vertical="center" wrapText="1"/>
      <protection/>
    </xf>
    <xf numFmtId="0" fontId="16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5" fillId="33" borderId="15" xfId="0" applyNumberFormat="1" applyFont="1" applyFill="1" applyBorder="1" applyAlignment="1" applyProtection="1">
      <alignment horizontal="left"/>
      <protection/>
    </xf>
    <xf numFmtId="0" fontId="15" fillId="33" borderId="16" xfId="0" applyNumberFormat="1" applyFont="1" applyFill="1" applyBorder="1" applyAlignment="1" applyProtection="1">
      <alignment horizontal="left"/>
      <protection/>
    </xf>
    <xf numFmtId="0" fontId="15" fillId="33" borderId="17" xfId="0" applyNumberFormat="1" applyFont="1" applyFill="1" applyBorder="1" applyAlignment="1" applyProtection="1">
      <alignment horizontal="left"/>
      <protection/>
    </xf>
    <xf numFmtId="0" fontId="16" fillId="33" borderId="15" xfId="0" applyNumberFormat="1" applyFont="1" applyFill="1" applyBorder="1" applyAlignment="1" applyProtection="1">
      <alignment horizontal="left" wrapText="1"/>
      <protection/>
    </xf>
    <xf numFmtId="0" fontId="16" fillId="33" borderId="16" xfId="0" applyNumberFormat="1" applyFont="1" applyFill="1" applyBorder="1" applyAlignment="1" applyProtection="1">
      <alignment horizontal="left" wrapText="1"/>
      <protection/>
    </xf>
    <xf numFmtId="0" fontId="16" fillId="33" borderId="17" xfId="0" applyNumberFormat="1" applyFont="1" applyFill="1" applyBorder="1" applyAlignment="1" applyProtection="1">
      <alignment horizontal="left" wrapText="1"/>
      <protection/>
    </xf>
    <xf numFmtId="0" fontId="6" fillId="33" borderId="10" xfId="0" applyNumberFormat="1" applyFont="1" applyFill="1" applyBorder="1" applyAlignment="1" applyProtection="1">
      <alignment horizontal="left"/>
      <protection locked="0"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left"/>
      <protection locked="0"/>
    </xf>
    <xf numFmtId="0" fontId="3" fillId="33" borderId="17" xfId="0" applyNumberFormat="1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20" xfId="0" applyNumberFormat="1" applyFont="1" applyFill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6" fillId="33" borderId="21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left"/>
      <protection locked="0"/>
    </xf>
    <xf numFmtId="0" fontId="6" fillId="33" borderId="17" xfId="0" applyNumberFormat="1" applyFont="1" applyFill="1" applyBorder="1" applyAlignment="1" applyProtection="1">
      <alignment horizontal="left"/>
      <protection locked="0"/>
    </xf>
    <xf numFmtId="0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 wrapText="1"/>
    </xf>
    <xf numFmtId="0" fontId="3" fillId="33" borderId="16" xfId="0" applyNumberFormat="1" applyFont="1" applyFill="1" applyBorder="1" applyAlignment="1">
      <alignment horizontal="left" wrapText="1"/>
    </xf>
    <xf numFmtId="0" fontId="3" fillId="33" borderId="17" xfId="0" applyNumberFormat="1" applyFont="1" applyFill="1" applyBorder="1" applyAlignment="1">
      <alignment horizontal="left" wrapText="1"/>
    </xf>
    <xf numFmtId="0" fontId="75" fillId="33" borderId="15" xfId="0" applyNumberFormat="1" applyFont="1" applyFill="1" applyBorder="1" applyAlignment="1">
      <alignment horizontal="left" vertical="center" wrapText="1"/>
    </xf>
    <xf numFmtId="0" fontId="75" fillId="33" borderId="16" xfId="0" applyNumberFormat="1" applyFont="1" applyFill="1" applyBorder="1" applyAlignment="1">
      <alignment horizontal="left" vertical="center" wrapText="1"/>
    </xf>
    <xf numFmtId="0" fontId="75" fillId="33" borderId="17" xfId="0" applyNumberFormat="1" applyFont="1" applyFill="1" applyBorder="1" applyAlignment="1">
      <alignment horizontal="left" vertical="center" wrapText="1"/>
    </xf>
    <xf numFmtId="0" fontId="76" fillId="33" borderId="15" xfId="0" applyNumberFormat="1" applyFont="1" applyFill="1" applyBorder="1" applyAlignment="1">
      <alignment horizontal="left" vertical="center" wrapText="1"/>
    </xf>
    <xf numFmtId="0" fontId="76" fillId="33" borderId="16" xfId="0" applyNumberFormat="1" applyFont="1" applyFill="1" applyBorder="1" applyAlignment="1">
      <alignment horizontal="left" vertical="center" wrapText="1"/>
    </xf>
    <xf numFmtId="0" fontId="76" fillId="33" borderId="17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6" fillId="34" borderId="15" xfId="0" applyNumberFormat="1" applyFont="1" applyFill="1" applyBorder="1" applyAlignment="1">
      <alignment horizontal="left" vertical="center" wrapText="1"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71" fillId="0" borderId="0" xfId="0" applyNumberFormat="1" applyFont="1" applyFill="1" applyAlignment="1">
      <alignment horizontal="left"/>
    </xf>
    <xf numFmtId="0" fontId="77" fillId="0" borderId="20" xfId="0" applyNumberFormat="1" applyFont="1" applyFill="1" applyBorder="1" applyAlignment="1">
      <alignment horizontal="center" vertical="center" wrapText="1"/>
    </xf>
    <xf numFmtId="0" fontId="77" fillId="0" borderId="10" xfId="0" applyNumberFormat="1" applyFont="1" applyFill="1" applyBorder="1" applyAlignment="1">
      <alignment horizontal="center" wrapText="1"/>
    </xf>
    <xf numFmtId="0" fontId="77" fillId="0" borderId="21" xfId="0" applyNumberFormat="1" applyFont="1" applyFill="1" applyBorder="1" applyAlignment="1">
      <alignment horizontal="center" vertical="center"/>
    </xf>
    <xf numFmtId="0" fontId="77" fillId="0" borderId="12" xfId="0" applyNumberFormat="1" applyFont="1" applyFill="1" applyBorder="1" applyAlignment="1">
      <alignment horizontal="center" vertical="center"/>
    </xf>
    <xf numFmtId="0" fontId="77" fillId="0" borderId="13" xfId="0" applyNumberFormat="1" applyFont="1" applyFill="1" applyBorder="1" applyAlignment="1">
      <alignment horizontal="center" vertical="center"/>
    </xf>
    <xf numFmtId="0" fontId="77" fillId="0" borderId="22" xfId="0" applyNumberFormat="1" applyFont="1" applyFill="1" applyBorder="1" applyAlignment="1">
      <alignment horizontal="center" vertical="center"/>
    </xf>
    <xf numFmtId="0" fontId="77" fillId="0" borderId="20" xfId="0" applyNumberFormat="1" applyFont="1" applyFill="1" applyBorder="1" applyAlignment="1">
      <alignment horizontal="center" vertical="center"/>
    </xf>
    <xf numFmtId="0" fontId="77" fillId="0" borderId="14" xfId="0" applyNumberFormat="1" applyFont="1" applyFill="1" applyBorder="1" applyAlignment="1">
      <alignment horizontal="center" vertical="center"/>
    </xf>
    <xf numFmtId="0" fontId="77" fillId="0" borderId="10" xfId="0" applyNumberFormat="1" applyFont="1" applyFill="1" applyBorder="1" applyAlignment="1">
      <alignment horizontal="center"/>
    </xf>
    <xf numFmtId="0" fontId="77" fillId="0" borderId="15" xfId="0" applyNumberFormat="1" applyFont="1" applyFill="1" applyBorder="1" applyAlignment="1">
      <alignment horizontal="left" vertical="center" wrapText="1"/>
    </xf>
    <xf numFmtId="0" fontId="77" fillId="0" borderId="16" xfId="0" applyNumberFormat="1" applyFont="1" applyFill="1" applyBorder="1" applyAlignment="1">
      <alignment horizontal="left" vertical="center" wrapText="1"/>
    </xf>
    <xf numFmtId="0" fontId="77" fillId="0" borderId="17" xfId="0" applyNumberFormat="1" applyFont="1" applyFill="1" applyBorder="1" applyAlignment="1">
      <alignment horizontal="left" vertical="center" wrapText="1"/>
    </xf>
    <xf numFmtId="0" fontId="71" fillId="0" borderId="15" xfId="0" applyNumberFormat="1" applyFont="1" applyFill="1" applyBorder="1" applyAlignment="1">
      <alignment horizontal="left" vertical="center" wrapText="1"/>
    </xf>
    <xf numFmtId="0" fontId="71" fillId="0" borderId="16" xfId="0" applyNumberFormat="1" applyFont="1" applyFill="1" applyBorder="1" applyAlignment="1">
      <alignment horizontal="left" vertical="center" wrapText="1"/>
    </xf>
    <xf numFmtId="0" fontId="71" fillId="0" borderId="17" xfId="0" applyNumberFormat="1" applyFont="1" applyFill="1" applyBorder="1" applyAlignment="1">
      <alignment horizontal="left" vertical="center" wrapText="1"/>
    </xf>
    <xf numFmtId="0" fontId="71" fillId="0" borderId="10" xfId="0" applyNumberFormat="1" applyFont="1" applyFill="1" applyBorder="1" applyAlignment="1">
      <alignment horizontal="left" vertical="center" wrapText="1"/>
    </xf>
    <xf numFmtId="0" fontId="77" fillId="0" borderId="15" xfId="0" applyNumberFormat="1" applyFont="1" applyFill="1" applyBorder="1" applyAlignment="1">
      <alignment horizontal="left"/>
    </xf>
    <xf numFmtId="0" fontId="77" fillId="0" borderId="16" xfId="0" applyNumberFormat="1" applyFont="1" applyFill="1" applyBorder="1" applyAlignment="1">
      <alignment horizontal="left"/>
    </xf>
    <xf numFmtId="0" fontId="77" fillId="0" borderId="17" xfId="0" applyNumberFormat="1" applyFont="1" applyFill="1" applyBorder="1" applyAlignment="1">
      <alignment horizontal="left"/>
    </xf>
    <xf numFmtId="0" fontId="71" fillId="0" borderId="10" xfId="0" applyNumberFormat="1" applyFont="1" applyFill="1" applyBorder="1" applyAlignment="1">
      <alignment horizontal="left"/>
    </xf>
    <xf numFmtId="0" fontId="77" fillId="0" borderId="10" xfId="0" applyNumberFormat="1" applyFont="1" applyFill="1" applyBorder="1" applyAlignment="1">
      <alignment horizontal="left"/>
    </xf>
    <xf numFmtId="0" fontId="71" fillId="0" borderId="15" xfId="0" applyNumberFormat="1" applyFont="1" applyFill="1" applyBorder="1" applyAlignment="1">
      <alignment horizontal="left"/>
    </xf>
    <xf numFmtId="0" fontId="71" fillId="0" borderId="16" xfId="0" applyNumberFormat="1" applyFont="1" applyFill="1" applyBorder="1" applyAlignment="1">
      <alignment horizontal="left"/>
    </xf>
    <xf numFmtId="0" fontId="71" fillId="0" borderId="17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1" fillId="33" borderId="0" xfId="0" applyNumberFormat="1" applyFont="1" applyFill="1" applyAlignment="1">
      <alignment horizontal="left"/>
    </xf>
    <xf numFmtId="0" fontId="3" fillId="33" borderId="15" xfId="0" applyNumberFormat="1" applyFont="1" applyFill="1" applyBorder="1" applyAlignment="1" applyProtection="1">
      <alignment horizontal="left" wrapText="1"/>
      <protection/>
    </xf>
    <xf numFmtId="0" fontId="3" fillId="33" borderId="16" xfId="0" applyNumberFormat="1" applyFont="1" applyFill="1" applyBorder="1" applyAlignment="1" applyProtection="1">
      <alignment horizontal="left" wrapText="1"/>
      <protection/>
    </xf>
    <xf numFmtId="0" fontId="3" fillId="33" borderId="17" xfId="0" applyNumberFormat="1" applyFont="1" applyFill="1" applyBorder="1" applyAlignment="1" applyProtection="1">
      <alignment horizontal="left" wrapText="1"/>
      <protection/>
    </xf>
    <xf numFmtId="0" fontId="6" fillId="34" borderId="16" xfId="0" applyNumberFormat="1" applyFont="1" applyFill="1" applyBorder="1" applyAlignment="1" applyProtection="1">
      <alignment horizontal="left" vertical="center" wrapText="1"/>
      <protection/>
    </xf>
    <xf numFmtId="0" fontId="6" fillId="34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left"/>
      <protection/>
    </xf>
    <xf numFmtId="0" fontId="6" fillId="33" borderId="16" xfId="0" applyNumberFormat="1" applyFont="1" applyFill="1" applyBorder="1" applyAlignment="1" applyProtection="1">
      <alignment horizontal="left"/>
      <protection/>
    </xf>
    <xf numFmtId="0" fontId="6" fillId="33" borderId="17" xfId="0" applyNumberFormat="1" applyFont="1" applyFill="1" applyBorder="1" applyAlignment="1" applyProtection="1">
      <alignment horizontal="left"/>
      <protection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33" borderId="15" xfId="0" applyNumberFormat="1" applyFont="1" applyFill="1" applyBorder="1" applyAlignment="1">
      <alignment horizontal="center" vertical="center" wrapText="1"/>
    </xf>
    <xf numFmtId="0" fontId="14" fillId="33" borderId="16" xfId="0" applyNumberFormat="1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center" vertical="center" wrapText="1"/>
    </xf>
    <xf numFmtId="0" fontId="88" fillId="0" borderId="0" xfId="0" applyNumberFormat="1" applyFont="1" applyFill="1" applyAlignment="1">
      <alignment horizontal="left"/>
    </xf>
    <xf numFmtId="0" fontId="14" fillId="33" borderId="15" xfId="0" applyNumberFormat="1" applyFont="1" applyFill="1" applyBorder="1" applyAlignment="1" applyProtection="1">
      <alignment horizontal="left" vertical="center" wrapText="1"/>
      <protection/>
    </xf>
    <xf numFmtId="0" fontId="14" fillId="33" borderId="16" xfId="0" applyNumberFormat="1" applyFont="1" applyFill="1" applyBorder="1" applyAlignment="1" applyProtection="1">
      <alignment horizontal="left" vertical="center" wrapText="1"/>
      <protection/>
    </xf>
    <xf numFmtId="0" fontId="14" fillId="33" borderId="17" xfId="0" applyNumberFormat="1" applyFont="1" applyFill="1" applyBorder="1" applyAlignment="1" applyProtection="1">
      <alignment horizontal="left" vertical="center" wrapText="1"/>
      <protection/>
    </xf>
    <xf numFmtId="0" fontId="14" fillId="33" borderId="15" xfId="0" applyNumberFormat="1" applyFont="1" applyFill="1" applyBorder="1" applyAlignment="1">
      <alignment horizontal="left" vertical="center" wrapText="1"/>
    </xf>
    <xf numFmtId="0" fontId="14" fillId="33" borderId="16" xfId="0" applyNumberFormat="1" applyFont="1" applyFill="1" applyBorder="1" applyAlignment="1">
      <alignment horizontal="left" vertical="center" wrapText="1"/>
    </xf>
    <xf numFmtId="0" fontId="14" fillId="33" borderId="17" xfId="0" applyNumberFormat="1" applyFont="1" applyFill="1" applyBorder="1" applyAlignment="1">
      <alignment horizontal="left" vertical="center" wrapText="1"/>
    </xf>
    <xf numFmtId="0" fontId="10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0" xfId="0" applyNumberFormat="1" applyFont="1" applyFill="1" applyBorder="1" applyAlignment="1">
      <alignment horizontal="left"/>
    </xf>
    <xf numFmtId="0" fontId="16" fillId="33" borderId="15" xfId="0" applyNumberFormat="1" applyFont="1" applyFill="1" applyBorder="1" applyAlignment="1">
      <alignment horizontal="left"/>
    </xf>
    <xf numFmtId="0" fontId="16" fillId="33" borderId="16" xfId="0" applyNumberFormat="1" applyFont="1" applyFill="1" applyBorder="1" applyAlignment="1">
      <alignment horizontal="left"/>
    </xf>
    <xf numFmtId="0" fontId="16" fillId="33" borderId="17" xfId="0" applyNumberFormat="1" applyFont="1" applyFill="1" applyBorder="1" applyAlignment="1">
      <alignment horizontal="left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0" fillId="34" borderId="15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0" fontId="10" fillId="34" borderId="17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 wrapText="1"/>
    </xf>
    <xf numFmtId="0" fontId="10" fillId="33" borderId="21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5" fillId="33" borderId="2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4"/>
  <sheetViews>
    <sheetView view="pageBreakPreview" zoomScale="50" zoomScaleNormal="85" zoomScaleSheetLayoutView="50" workbookViewId="0" topLeftCell="A1">
      <selection activeCell="P1" sqref="P1"/>
    </sheetView>
  </sheetViews>
  <sheetFormatPr defaultColWidth="9.140625" defaultRowHeight="12.75"/>
  <cols>
    <col min="1" max="1" width="9.00390625" style="10" customWidth="1"/>
    <col min="2" max="2" width="9.140625" style="10" customWidth="1"/>
    <col min="3" max="3" width="21.140625" style="10" customWidth="1"/>
    <col min="4" max="4" width="58.00390625" style="10" customWidth="1"/>
    <col min="5" max="5" width="14.421875" style="10" hidden="1" customWidth="1"/>
    <col min="6" max="6" width="24.140625" style="10" customWidth="1"/>
    <col min="7" max="7" width="30.8515625" style="53" customWidth="1"/>
    <col min="8" max="8" width="0.2890625" style="10" hidden="1" customWidth="1"/>
    <col min="9" max="9" width="24.8515625" style="10" customWidth="1"/>
    <col min="10" max="10" width="30.7109375" style="53" customWidth="1"/>
    <col min="11" max="11" width="9.8515625" style="10" hidden="1" customWidth="1"/>
    <col min="12" max="12" width="25.00390625" style="10" customWidth="1"/>
    <col min="13" max="13" width="27.8515625" style="53" customWidth="1"/>
    <col min="14" max="14" width="9.8515625" style="10" hidden="1" customWidth="1"/>
    <col min="15" max="15" width="25.57421875" style="10" customWidth="1"/>
    <col min="16" max="16" width="29.8515625" style="53" customWidth="1"/>
    <col min="17" max="17" width="28.421875" style="10" customWidth="1"/>
    <col min="18" max="18" width="32.8515625" style="53" customWidth="1"/>
    <col min="19" max="19" width="18.00390625" style="10" customWidth="1"/>
    <col min="20" max="20" width="22.28125" style="10" bestFit="1" customWidth="1"/>
    <col min="21" max="21" width="12.8515625" style="10" customWidth="1"/>
    <col min="22" max="16384" width="9.140625" style="10" customWidth="1"/>
  </cols>
  <sheetData>
    <row r="1" spans="1:22" ht="26.25">
      <c r="A1" s="6"/>
      <c r="B1" s="6"/>
      <c r="C1" s="6"/>
      <c r="D1" s="6"/>
      <c r="E1" s="6"/>
      <c r="F1" s="6"/>
      <c r="G1" s="104"/>
      <c r="H1" s="6"/>
      <c r="I1" s="6"/>
      <c r="J1" s="104"/>
      <c r="K1" s="6"/>
      <c r="L1" s="6"/>
      <c r="M1" s="104"/>
      <c r="N1" s="66"/>
      <c r="O1" s="66"/>
      <c r="P1" s="110" t="s">
        <v>129</v>
      </c>
      <c r="Q1" s="14"/>
      <c r="R1" s="111"/>
      <c r="T1" s="12"/>
      <c r="U1" s="12"/>
      <c r="V1" s="12"/>
    </row>
    <row r="2" spans="1:22" ht="26.25">
      <c r="A2" s="6"/>
      <c r="B2" s="6"/>
      <c r="C2" s="6"/>
      <c r="D2" s="6"/>
      <c r="E2" s="6"/>
      <c r="F2" s="6"/>
      <c r="G2" s="104"/>
      <c r="H2" s="6"/>
      <c r="I2" s="6"/>
      <c r="J2" s="104"/>
      <c r="K2" s="6"/>
      <c r="L2" s="6"/>
      <c r="M2" s="104"/>
      <c r="N2" s="66"/>
      <c r="O2" s="66"/>
      <c r="P2" s="447" t="s">
        <v>31</v>
      </c>
      <c r="Q2" s="447"/>
      <c r="R2" s="447"/>
      <c r="T2" s="12"/>
      <c r="U2" s="12"/>
      <c r="V2" s="12"/>
    </row>
    <row r="3" spans="1:22" ht="26.25">
      <c r="A3" s="6"/>
      <c r="B3" s="6"/>
      <c r="C3" s="6"/>
      <c r="D3" s="6"/>
      <c r="E3" s="6"/>
      <c r="F3" s="6"/>
      <c r="G3" s="104"/>
      <c r="H3" s="6"/>
      <c r="I3" s="6"/>
      <c r="J3" s="104"/>
      <c r="K3" s="6"/>
      <c r="L3" s="6"/>
      <c r="M3" s="104"/>
      <c r="N3" s="66"/>
      <c r="O3" s="66"/>
      <c r="P3" s="447" t="s">
        <v>62</v>
      </c>
      <c r="Q3" s="447"/>
      <c r="R3" s="447"/>
      <c r="T3" s="12"/>
      <c r="U3" s="12"/>
      <c r="V3" s="12"/>
    </row>
    <row r="4" spans="1:22" ht="26.25">
      <c r="A4" s="6"/>
      <c r="B4" s="6"/>
      <c r="C4" s="6"/>
      <c r="D4" s="6"/>
      <c r="E4" s="6"/>
      <c r="F4" s="6"/>
      <c r="G4" s="104"/>
      <c r="H4" s="6"/>
      <c r="I4" s="6"/>
      <c r="J4" s="104"/>
      <c r="K4" s="6"/>
      <c r="L4" s="6"/>
      <c r="M4" s="104"/>
      <c r="N4" s="66"/>
      <c r="O4" s="66"/>
      <c r="P4" s="447" t="s">
        <v>141</v>
      </c>
      <c r="Q4" s="447"/>
      <c r="R4" s="447"/>
      <c r="T4" s="12"/>
      <c r="U4" s="12"/>
      <c r="V4" s="12"/>
    </row>
    <row r="5" spans="1:22" ht="52.5" customHeight="1">
      <c r="A5" s="476" t="s">
        <v>91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T5" s="12"/>
      <c r="U5" s="12"/>
      <c r="V5" s="12"/>
    </row>
    <row r="6" spans="1:22" ht="33.75" customHeight="1">
      <c r="A6" s="448" t="s">
        <v>92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T6" s="12"/>
      <c r="U6" s="12"/>
      <c r="V6" s="12"/>
    </row>
    <row r="7" spans="1:22" ht="30.75" customHeight="1">
      <c r="A7" s="436" t="s">
        <v>15</v>
      </c>
      <c r="B7" s="441" t="s">
        <v>0</v>
      </c>
      <c r="C7" s="442"/>
      <c r="D7" s="443"/>
      <c r="E7" s="438" t="s">
        <v>1</v>
      </c>
      <c r="F7" s="439"/>
      <c r="G7" s="440"/>
      <c r="H7" s="438" t="s">
        <v>3</v>
      </c>
      <c r="I7" s="439"/>
      <c r="J7" s="440"/>
      <c r="K7" s="438" t="s">
        <v>4</v>
      </c>
      <c r="L7" s="439"/>
      <c r="M7" s="440"/>
      <c r="N7" s="438" t="s">
        <v>6</v>
      </c>
      <c r="O7" s="439"/>
      <c r="P7" s="440"/>
      <c r="Q7" s="438" t="s">
        <v>7</v>
      </c>
      <c r="R7" s="440"/>
      <c r="U7" s="12"/>
      <c r="V7" s="12"/>
    </row>
    <row r="8" spans="1:22" ht="25.5">
      <c r="A8" s="437"/>
      <c r="B8" s="444"/>
      <c r="C8" s="445"/>
      <c r="D8" s="446"/>
      <c r="E8" s="255"/>
      <c r="F8" s="255" t="s">
        <v>2</v>
      </c>
      <c r="G8" s="256" t="s">
        <v>5</v>
      </c>
      <c r="H8" s="255"/>
      <c r="I8" s="257" t="s">
        <v>2</v>
      </c>
      <c r="J8" s="256" t="s">
        <v>5</v>
      </c>
      <c r="K8" s="255"/>
      <c r="L8" s="255" t="s">
        <v>2</v>
      </c>
      <c r="M8" s="256" t="s">
        <v>5</v>
      </c>
      <c r="N8" s="255" t="s">
        <v>2</v>
      </c>
      <c r="O8" s="255" t="s">
        <v>2</v>
      </c>
      <c r="P8" s="256" t="s">
        <v>5</v>
      </c>
      <c r="Q8" s="255" t="s">
        <v>2</v>
      </c>
      <c r="R8" s="256" t="s">
        <v>5</v>
      </c>
      <c r="U8" s="12"/>
      <c r="V8" s="12"/>
    </row>
    <row r="9" spans="1:22" s="97" customFormat="1" ht="30" customHeight="1">
      <c r="A9" s="258">
        <v>1</v>
      </c>
      <c r="B9" s="430" t="s">
        <v>33</v>
      </c>
      <c r="C9" s="431"/>
      <c r="D9" s="432"/>
      <c r="E9" s="259">
        <v>22.6</v>
      </c>
      <c r="F9" s="260">
        <v>15</v>
      </c>
      <c r="G9" s="261">
        <f>F9*F47</f>
        <v>80723.54999999999</v>
      </c>
      <c r="H9" s="262">
        <v>7.9</v>
      </c>
      <c r="I9" s="263">
        <v>7</v>
      </c>
      <c r="J9" s="261">
        <f>I9*F47</f>
        <v>37670.99</v>
      </c>
      <c r="K9" s="262">
        <v>2.9</v>
      </c>
      <c r="L9" s="263">
        <v>1</v>
      </c>
      <c r="M9" s="261">
        <f>L9*G47</f>
        <v>5643.07</v>
      </c>
      <c r="N9" s="262">
        <v>20.6</v>
      </c>
      <c r="O9" s="263">
        <v>17</v>
      </c>
      <c r="P9" s="261">
        <f>O9*G47</f>
        <v>95932.19</v>
      </c>
      <c r="Q9" s="262">
        <f aca="true" t="shared" si="0" ref="Q9:R13">F9+I9+L9+O9</f>
        <v>40</v>
      </c>
      <c r="R9" s="261">
        <f t="shared" si="0"/>
        <v>219969.8</v>
      </c>
      <c r="S9" s="94"/>
      <c r="T9" s="100"/>
      <c r="U9" s="96"/>
      <c r="V9" s="95"/>
    </row>
    <row r="10" spans="1:22" s="97" customFormat="1" ht="30" customHeight="1">
      <c r="A10" s="258">
        <v>2</v>
      </c>
      <c r="B10" s="430" t="s">
        <v>41</v>
      </c>
      <c r="C10" s="431"/>
      <c r="D10" s="432"/>
      <c r="E10" s="259"/>
      <c r="F10" s="260">
        <f>F11+F12+F13+F14+F15+F16</f>
        <v>2553.46</v>
      </c>
      <c r="G10" s="261">
        <f>G11+G12+G13+G14+G15+G16</f>
        <v>13741623.732199999</v>
      </c>
      <c r="H10" s="262"/>
      <c r="I10" s="263">
        <f>I11+I12+I13+I14+I15+I16</f>
        <v>1034.0700000000002</v>
      </c>
      <c r="J10" s="261">
        <f>J11+J12+J13+J14+J15+J16</f>
        <v>5564920.0899</v>
      </c>
      <c r="K10" s="262"/>
      <c r="L10" s="263">
        <f>L11+L12+L13+L14+L15+L16</f>
        <v>283.974</v>
      </c>
      <c r="M10" s="261">
        <f>M11+M12+M13+M14+M15+M16</f>
        <v>1602485.16018</v>
      </c>
      <c r="N10" s="262"/>
      <c r="O10" s="263">
        <f>O11+O12+O13+O14+O15+O16</f>
        <v>2193.691</v>
      </c>
      <c r="P10" s="261">
        <f>P11+P12+P13+P14+P15+P16</f>
        <v>12379151.87137</v>
      </c>
      <c r="Q10" s="262">
        <v>6065.19</v>
      </c>
      <c r="R10" s="261">
        <f t="shared" si="0"/>
        <v>33288180.853649996</v>
      </c>
      <c r="S10" s="94"/>
      <c r="T10" s="100"/>
      <c r="U10" s="96"/>
      <c r="V10" s="95"/>
    </row>
    <row r="11" spans="1:21" s="18" customFormat="1" ht="45.75" customHeight="1">
      <c r="A11" s="264"/>
      <c r="B11" s="405" t="s">
        <v>34</v>
      </c>
      <c r="C11" s="406"/>
      <c r="D11" s="407"/>
      <c r="E11" s="265">
        <v>968.6</v>
      </c>
      <c r="F11" s="266">
        <v>450</v>
      </c>
      <c r="G11" s="267">
        <f>F11*F47</f>
        <v>2421706.5</v>
      </c>
      <c r="H11" s="268">
        <v>347.1</v>
      </c>
      <c r="I11" s="269">
        <v>210</v>
      </c>
      <c r="J11" s="267">
        <f>I11*F47</f>
        <v>1130129.7</v>
      </c>
      <c r="K11" s="268">
        <v>138.9</v>
      </c>
      <c r="L11" s="269">
        <v>50</v>
      </c>
      <c r="M11" s="267">
        <f>L11*G47</f>
        <v>282153.5</v>
      </c>
      <c r="N11" s="268">
        <v>879.1</v>
      </c>
      <c r="O11" s="269">
        <v>290</v>
      </c>
      <c r="P11" s="267">
        <f>O11*G47</f>
        <v>1636490.2999999998</v>
      </c>
      <c r="Q11" s="268">
        <f t="shared" si="0"/>
        <v>1000</v>
      </c>
      <c r="R11" s="267">
        <f t="shared" si="0"/>
        <v>5470480</v>
      </c>
      <c r="S11" s="67"/>
      <c r="T11" s="17"/>
      <c r="U11" s="17"/>
    </row>
    <row r="12" spans="1:22" ht="51" customHeight="1">
      <c r="A12" s="270"/>
      <c r="B12" s="405" t="s">
        <v>35</v>
      </c>
      <c r="C12" s="406"/>
      <c r="D12" s="407"/>
      <c r="E12" s="265">
        <v>275.5</v>
      </c>
      <c r="F12" s="266">
        <v>260.8</v>
      </c>
      <c r="G12" s="271">
        <f>F12*F47</f>
        <v>1403513.456</v>
      </c>
      <c r="H12" s="268">
        <v>101.3</v>
      </c>
      <c r="I12" s="269">
        <v>82.4</v>
      </c>
      <c r="J12" s="267">
        <f>I12*F47</f>
        <v>443441.368</v>
      </c>
      <c r="K12" s="268">
        <v>40.3</v>
      </c>
      <c r="L12" s="269">
        <v>24.8</v>
      </c>
      <c r="M12" s="267">
        <f>L12*G47</f>
        <v>139948.136</v>
      </c>
      <c r="N12" s="268">
        <v>245.5</v>
      </c>
      <c r="O12" s="269">
        <v>214.4</v>
      </c>
      <c r="P12" s="267">
        <f>O12*G47</f>
        <v>1209874.2079999999</v>
      </c>
      <c r="Q12" s="268">
        <f t="shared" si="0"/>
        <v>582.4000000000001</v>
      </c>
      <c r="R12" s="267">
        <f t="shared" si="0"/>
        <v>3196777.1679999996</v>
      </c>
      <c r="S12" s="67"/>
      <c r="T12" s="13"/>
      <c r="U12" s="11"/>
      <c r="V12" s="12"/>
    </row>
    <row r="13" spans="1:22" ht="35.25" customHeight="1">
      <c r="A13" s="270"/>
      <c r="B13" s="405" t="s">
        <v>36</v>
      </c>
      <c r="C13" s="406"/>
      <c r="D13" s="407"/>
      <c r="E13" s="265">
        <v>1020.1</v>
      </c>
      <c r="F13" s="266">
        <v>874.5</v>
      </c>
      <c r="G13" s="267">
        <f>F13*F47</f>
        <v>4706182.965</v>
      </c>
      <c r="H13" s="268">
        <v>343</v>
      </c>
      <c r="I13" s="269">
        <v>313.8</v>
      </c>
      <c r="J13" s="267">
        <f>I13*F47</f>
        <v>1688736.666</v>
      </c>
      <c r="K13" s="268">
        <v>122.2</v>
      </c>
      <c r="L13" s="269">
        <v>95.1</v>
      </c>
      <c r="M13" s="267">
        <f>L13*G47</f>
        <v>536655.9569999999</v>
      </c>
      <c r="N13" s="268">
        <v>920.9</v>
      </c>
      <c r="O13" s="269">
        <v>816.6</v>
      </c>
      <c r="P13" s="267">
        <f>O13*G47</f>
        <v>4608130.962</v>
      </c>
      <c r="Q13" s="268">
        <f t="shared" si="0"/>
        <v>2100</v>
      </c>
      <c r="R13" s="267">
        <f t="shared" si="0"/>
        <v>11539706.55</v>
      </c>
      <c r="S13" s="67"/>
      <c r="T13" s="13"/>
      <c r="U13" s="11"/>
      <c r="V13" s="12"/>
    </row>
    <row r="14" spans="1:22" ht="35.25" customHeight="1">
      <c r="A14" s="272"/>
      <c r="B14" s="405" t="s">
        <v>37</v>
      </c>
      <c r="C14" s="406"/>
      <c r="D14" s="407"/>
      <c r="E14" s="273">
        <v>186.3</v>
      </c>
      <c r="F14" s="266">
        <v>215.9</v>
      </c>
      <c r="G14" s="267">
        <f>F14*F47</f>
        <v>1161880.963</v>
      </c>
      <c r="H14" s="268">
        <v>55.3</v>
      </c>
      <c r="I14" s="269">
        <v>74.5</v>
      </c>
      <c r="J14" s="267">
        <f>I14*F47</f>
        <v>400926.96499999997</v>
      </c>
      <c r="K14" s="268">
        <v>2.8</v>
      </c>
      <c r="L14" s="269">
        <v>24.7</v>
      </c>
      <c r="M14" s="267">
        <f>L14*G47</f>
        <v>139383.829</v>
      </c>
      <c r="N14" s="268">
        <v>158.5</v>
      </c>
      <c r="O14" s="269">
        <v>181.1</v>
      </c>
      <c r="P14" s="267">
        <f>O14*G47</f>
        <v>1021959.977</v>
      </c>
      <c r="Q14" s="268">
        <f aca="true" t="shared" si="1" ref="Q14:R21">F14+I14+L14+O14</f>
        <v>496.19999999999993</v>
      </c>
      <c r="R14" s="267">
        <f t="shared" si="1"/>
        <v>2724151.7339999997</v>
      </c>
      <c r="S14" s="67"/>
      <c r="T14" s="13"/>
      <c r="U14" s="11"/>
      <c r="V14" s="12"/>
    </row>
    <row r="15" spans="1:22" ht="30" customHeight="1">
      <c r="A15" s="272"/>
      <c r="B15" s="405" t="s">
        <v>38</v>
      </c>
      <c r="C15" s="406"/>
      <c r="D15" s="407"/>
      <c r="E15" s="273">
        <v>619</v>
      </c>
      <c r="F15" s="266">
        <v>550.4</v>
      </c>
      <c r="G15" s="267">
        <f>F15*F47</f>
        <v>2962016.1279999996</v>
      </c>
      <c r="H15" s="268">
        <v>532.4</v>
      </c>
      <c r="I15" s="269">
        <v>193.1</v>
      </c>
      <c r="J15" s="267">
        <f>I15*F47</f>
        <v>1039181.1669999999</v>
      </c>
      <c r="K15" s="268">
        <v>142.3</v>
      </c>
      <c r="L15" s="269">
        <v>65</v>
      </c>
      <c r="M15" s="267">
        <f>L15*G47</f>
        <v>366799.55</v>
      </c>
      <c r="N15" s="268">
        <v>646.5</v>
      </c>
      <c r="O15" s="269">
        <v>463.1</v>
      </c>
      <c r="P15" s="267">
        <f>O15*G47</f>
        <v>2613305.717</v>
      </c>
      <c r="Q15" s="268">
        <f t="shared" si="1"/>
        <v>1271.6</v>
      </c>
      <c r="R15" s="267">
        <f t="shared" si="1"/>
        <v>6981302.562</v>
      </c>
      <c r="S15" s="67"/>
      <c r="T15" s="13"/>
      <c r="U15" s="11"/>
      <c r="V15" s="12"/>
    </row>
    <row r="16" spans="1:22" ht="52.5" customHeight="1">
      <c r="A16" s="272"/>
      <c r="B16" s="405" t="s">
        <v>39</v>
      </c>
      <c r="C16" s="406"/>
      <c r="D16" s="407"/>
      <c r="E16" s="273">
        <v>277.52</v>
      </c>
      <c r="F16" s="274">
        <v>201.86</v>
      </c>
      <c r="G16" s="267">
        <f>F16*F47</f>
        <v>1086323.7202</v>
      </c>
      <c r="H16" s="268">
        <v>129</v>
      </c>
      <c r="I16" s="275">
        <v>160.27</v>
      </c>
      <c r="J16" s="267">
        <f>I16*F47</f>
        <v>862504.2239</v>
      </c>
      <c r="K16" s="268">
        <v>7.2</v>
      </c>
      <c r="L16" s="275">
        <v>24.374</v>
      </c>
      <c r="M16" s="267">
        <f>L16*G47</f>
        <v>137544.18818</v>
      </c>
      <c r="N16" s="268">
        <v>182.6</v>
      </c>
      <c r="O16" s="275">
        <v>228.491</v>
      </c>
      <c r="P16" s="267">
        <f>O16*G47</f>
        <v>1289390.70737</v>
      </c>
      <c r="Q16" s="268">
        <v>614.99</v>
      </c>
      <c r="R16" s="267">
        <f t="shared" si="1"/>
        <v>3375762.83965</v>
      </c>
      <c r="S16" s="68"/>
      <c r="T16" s="13"/>
      <c r="U16" s="11"/>
      <c r="V16" s="12"/>
    </row>
    <row r="17" spans="1:22" s="97" customFormat="1" ht="30.75" customHeight="1">
      <c r="A17" s="258">
        <v>3</v>
      </c>
      <c r="B17" s="430" t="s">
        <v>42</v>
      </c>
      <c r="C17" s="431"/>
      <c r="D17" s="432"/>
      <c r="E17" s="276"/>
      <c r="F17" s="310">
        <f>SUM(F18:F21)</f>
        <v>268.27</v>
      </c>
      <c r="G17" s="261">
        <f aca="true" t="shared" si="2" ref="G17:P17">SUM(G18:G21)</f>
        <v>1443713.7839</v>
      </c>
      <c r="H17" s="262">
        <f t="shared" si="2"/>
        <v>0</v>
      </c>
      <c r="I17" s="312">
        <f t="shared" si="2"/>
        <v>115.22999999999999</v>
      </c>
      <c r="J17" s="261">
        <v>620118.3</v>
      </c>
      <c r="K17" s="262">
        <f t="shared" si="2"/>
        <v>0</v>
      </c>
      <c r="L17" s="312">
        <f t="shared" si="2"/>
        <v>47.71000000000001</v>
      </c>
      <c r="M17" s="261">
        <f t="shared" si="2"/>
        <v>269230.8697</v>
      </c>
      <c r="N17" s="262">
        <f t="shared" si="2"/>
        <v>0</v>
      </c>
      <c r="O17" s="312">
        <f t="shared" si="2"/>
        <v>237.44000000000003</v>
      </c>
      <c r="P17" s="261">
        <f t="shared" si="2"/>
        <v>1339890.5407999998</v>
      </c>
      <c r="Q17" s="322">
        <f t="shared" si="1"/>
        <v>668.6500000000001</v>
      </c>
      <c r="R17" s="261">
        <f t="shared" si="1"/>
        <v>3672953.4944</v>
      </c>
      <c r="S17" s="94"/>
      <c r="T17" s="100"/>
      <c r="U17" s="96"/>
      <c r="V17" s="95"/>
    </row>
    <row r="18" spans="1:22" s="97" customFormat="1" ht="30.75" customHeight="1">
      <c r="A18" s="258"/>
      <c r="B18" s="453" t="s">
        <v>131</v>
      </c>
      <c r="C18" s="416"/>
      <c r="D18" s="417"/>
      <c r="E18" s="276"/>
      <c r="F18" s="376">
        <v>171.97</v>
      </c>
      <c r="G18" s="316">
        <f>F18*F47</f>
        <v>925468.5928999999</v>
      </c>
      <c r="H18" s="377"/>
      <c r="I18" s="378">
        <v>59.55</v>
      </c>
      <c r="J18" s="316">
        <f>I18*F47</f>
        <v>320472.4935</v>
      </c>
      <c r="K18" s="377"/>
      <c r="L18" s="378">
        <v>10.18</v>
      </c>
      <c r="M18" s="316">
        <f>L18*G47</f>
        <v>57446.4526</v>
      </c>
      <c r="N18" s="377"/>
      <c r="O18" s="378">
        <v>149.57</v>
      </c>
      <c r="P18" s="316">
        <f>O18*G47</f>
        <v>844033.9798999999</v>
      </c>
      <c r="Q18" s="321">
        <f t="shared" si="1"/>
        <v>391.27</v>
      </c>
      <c r="R18" s="316">
        <v>2147421.51</v>
      </c>
      <c r="S18" s="94"/>
      <c r="T18" s="100"/>
      <c r="U18" s="96"/>
      <c r="V18" s="95"/>
    </row>
    <row r="19" spans="1:22" s="97" customFormat="1" ht="30.75" customHeight="1">
      <c r="A19" s="258"/>
      <c r="B19" s="453" t="s">
        <v>132</v>
      </c>
      <c r="C19" s="416"/>
      <c r="D19" s="417"/>
      <c r="E19" s="276"/>
      <c r="F19" s="376">
        <v>16.67</v>
      </c>
      <c r="G19" s="316">
        <f>F19*F47</f>
        <v>89710.7719</v>
      </c>
      <c r="H19" s="377"/>
      <c r="I19" s="378">
        <v>16.67</v>
      </c>
      <c r="J19" s="316">
        <f>I19*F47</f>
        <v>89710.7719</v>
      </c>
      <c r="K19" s="377"/>
      <c r="L19" s="378">
        <v>16.67</v>
      </c>
      <c r="M19" s="316">
        <f>L19*G47</f>
        <v>94069.97690000001</v>
      </c>
      <c r="N19" s="377"/>
      <c r="O19" s="378">
        <v>16.67</v>
      </c>
      <c r="P19" s="316">
        <f>O19*G47</f>
        <v>94069.97690000001</v>
      </c>
      <c r="Q19" s="321">
        <f t="shared" si="1"/>
        <v>66.68</v>
      </c>
      <c r="R19" s="316">
        <f t="shared" si="1"/>
        <v>367561.4976</v>
      </c>
      <c r="S19" s="94"/>
      <c r="T19" s="100"/>
      <c r="U19" s="96"/>
      <c r="V19" s="95"/>
    </row>
    <row r="20" spans="1:22" s="97" customFormat="1" ht="30.75" customHeight="1">
      <c r="A20" s="258"/>
      <c r="B20" s="405" t="s">
        <v>136</v>
      </c>
      <c r="C20" s="416"/>
      <c r="D20" s="417"/>
      <c r="E20" s="276"/>
      <c r="F20" s="311">
        <v>17.02</v>
      </c>
      <c r="G20" s="316">
        <f>F20*F47</f>
        <v>91594.32139999999</v>
      </c>
      <c r="H20" s="262"/>
      <c r="I20" s="313">
        <v>17.02</v>
      </c>
      <c r="J20" s="316">
        <f>I20*F47</f>
        <v>91594.32139999999</v>
      </c>
      <c r="K20" s="262"/>
      <c r="L20" s="313">
        <v>17.02</v>
      </c>
      <c r="M20" s="316">
        <f>L20*G47</f>
        <v>96045.0514</v>
      </c>
      <c r="N20" s="262"/>
      <c r="O20" s="313">
        <v>17.02</v>
      </c>
      <c r="P20" s="316">
        <f>O20*G47</f>
        <v>96045.0514</v>
      </c>
      <c r="Q20" s="321">
        <f t="shared" si="1"/>
        <v>68.08</v>
      </c>
      <c r="R20" s="316">
        <v>375278.74</v>
      </c>
      <c r="S20" s="94"/>
      <c r="T20" s="100"/>
      <c r="U20" s="96"/>
      <c r="V20" s="95"/>
    </row>
    <row r="21" spans="1:22" s="97" customFormat="1" ht="30.75" customHeight="1">
      <c r="A21" s="258"/>
      <c r="B21" s="405" t="s">
        <v>137</v>
      </c>
      <c r="C21" s="416"/>
      <c r="D21" s="417"/>
      <c r="E21" s="276"/>
      <c r="F21" s="311">
        <v>62.61</v>
      </c>
      <c r="G21" s="316">
        <f>F21*F47</f>
        <v>336940.0977</v>
      </c>
      <c r="H21" s="262"/>
      <c r="I21" s="313">
        <v>21.99</v>
      </c>
      <c r="J21" s="316">
        <f>I21*F47</f>
        <v>118340.72429999999</v>
      </c>
      <c r="K21" s="262"/>
      <c r="L21" s="313">
        <v>3.84</v>
      </c>
      <c r="M21" s="316">
        <f>L21*G47</f>
        <v>21669.388799999997</v>
      </c>
      <c r="N21" s="262"/>
      <c r="O21" s="313">
        <v>54.18</v>
      </c>
      <c r="P21" s="316">
        <f>O21*G47</f>
        <v>305741.5326</v>
      </c>
      <c r="Q21" s="321">
        <f t="shared" si="1"/>
        <v>142.62</v>
      </c>
      <c r="R21" s="316">
        <f t="shared" si="1"/>
        <v>782691.7434</v>
      </c>
      <c r="S21" s="94"/>
      <c r="T21" s="100"/>
      <c r="U21" s="96"/>
      <c r="V21" s="95"/>
    </row>
    <row r="22" spans="1:22" s="97" customFormat="1" ht="39" customHeight="1">
      <c r="A22" s="258">
        <v>4</v>
      </c>
      <c r="B22" s="430" t="s">
        <v>43</v>
      </c>
      <c r="C22" s="431"/>
      <c r="D22" s="432"/>
      <c r="E22" s="276"/>
      <c r="F22" s="260">
        <f>SUM(F23:F27)</f>
        <v>776.3199999999999</v>
      </c>
      <c r="G22" s="261">
        <f>SUM(G23:G27)</f>
        <v>1968366.785</v>
      </c>
      <c r="H22" s="262">
        <f aca="true" t="shared" si="3" ref="H22:P22">SUM(H23:H27)</f>
        <v>0</v>
      </c>
      <c r="I22" s="263">
        <f t="shared" si="3"/>
        <v>750.42</v>
      </c>
      <c r="J22" s="261">
        <f t="shared" si="3"/>
        <v>1828984.122</v>
      </c>
      <c r="K22" s="262">
        <f t="shared" si="3"/>
        <v>0</v>
      </c>
      <c r="L22" s="263">
        <f t="shared" si="3"/>
        <v>741.8199999999999</v>
      </c>
      <c r="M22" s="261">
        <f t="shared" si="3"/>
        <v>1857715.0749999997</v>
      </c>
      <c r="N22" s="262">
        <f t="shared" si="3"/>
        <v>0</v>
      </c>
      <c r="O22" s="263">
        <f t="shared" si="3"/>
        <v>769.8199999999999</v>
      </c>
      <c r="P22" s="261">
        <f t="shared" si="3"/>
        <v>2015721.035</v>
      </c>
      <c r="Q22" s="262">
        <f>Q23+Q26+Q27</f>
        <v>3038.38</v>
      </c>
      <c r="R22" s="261">
        <f>R23+R26+R27</f>
        <v>7670787.027</v>
      </c>
      <c r="S22" s="94"/>
      <c r="T22" s="96"/>
      <c r="U22" s="96"/>
      <c r="V22" s="95"/>
    </row>
    <row r="23" spans="1:22" ht="32.25" customHeight="1">
      <c r="A23" s="435"/>
      <c r="B23" s="454" t="s">
        <v>44</v>
      </c>
      <c r="C23" s="455"/>
      <c r="D23" s="456"/>
      <c r="E23" s="273"/>
      <c r="F23" s="425">
        <v>38.5</v>
      </c>
      <c r="G23" s="396">
        <f>F23*F47</f>
        <v>207190.44499999998</v>
      </c>
      <c r="H23" s="268"/>
      <c r="I23" s="398">
        <v>12.6</v>
      </c>
      <c r="J23" s="396">
        <f>I23*F47</f>
        <v>67807.78199999999</v>
      </c>
      <c r="K23" s="268"/>
      <c r="L23" s="398">
        <v>4</v>
      </c>
      <c r="M23" s="396">
        <f>L23*G47</f>
        <v>22572.28</v>
      </c>
      <c r="N23" s="268"/>
      <c r="O23" s="398">
        <v>32</v>
      </c>
      <c r="P23" s="396">
        <f>O23*G47</f>
        <v>180578.24</v>
      </c>
      <c r="Q23" s="452">
        <f>F23+I23+L23+O23</f>
        <v>87.1</v>
      </c>
      <c r="R23" s="396">
        <f>G23+J23+M23+P23</f>
        <v>478148.747</v>
      </c>
      <c r="S23" s="67"/>
      <c r="T23" s="11"/>
      <c r="U23" s="11"/>
      <c r="V23" s="12"/>
    </row>
    <row r="24" spans="1:22" ht="34.5" customHeight="1" hidden="1">
      <c r="A24" s="397"/>
      <c r="B24" s="457"/>
      <c r="C24" s="458"/>
      <c r="D24" s="459"/>
      <c r="E24" s="273"/>
      <c r="F24" s="426"/>
      <c r="G24" s="397"/>
      <c r="H24" s="268"/>
      <c r="I24" s="397"/>
      <c r="J24" s="397"/>
      <c r="K24" s="268"/>
      <c r="L24" s="397"/>
      <c r="M24" s="397"/>
      <c r="N24" s="268"/>
      <c r="O24" s="397"/>
      <c r="P24" s="397"/>
      <c r="Q24" s="397"/>
      <c r="R24" s="397"/>
      <c r="S24" s="67"/>
      <c r="T24" s="11"/>
      <c r="U24" s="11"/>
      <c r="V24" s="12"/>
    </row>
    <row r="25" spans="1:22" ht="32.25" customHeight="1" hidden="1">
      <c r="A25" s="272"/>
      <c r="B25" s="405" t="s">
        <v>46</v>
      </c>
      <c r="C25" s="406"/>
      <c r="D25" s="407"/>
      <c r="E25" s="273"/>
      <c r="F25" s="266"/>
      <c r="G25" s="267">
        <f>F25*F47</f>
        <v>0</v>
      </c>
      <c r="H25" s="268"/>
      <c r="I25" s="269"/>
      <c r="J25" s="267">
        <f>I25*F47</f>
        <v>0</v>
      </c>
      <c r="K25" s="268"/>
      <c r="L25" s="269"/>
      <c r="M25" s="267">
        <f>L25*G47</f>
        <v>0</v>
      </c>
      <c r="N25" s="268"/>
      <c r="O25" s="269"/>
      <c r="P25" s="267">
        <f>O25*G47</f>
        <v>0</v>
      </c>
      <c r="Q25" s="268">
        <f>F25+I25+L25+O25</f>
        <v>0</v>
      </c>
      <c r="R25" s="267">
        <f>G25+J25+M25+P25</f>
        <v>0</v>
      </c>
      <c r="S25" s="67"/>
      <c r="T25" s="11"/>
      <c r="U25" s="11"/>
      <c r="V25" s="12"/>
    </row>
    <row r="26" spans="1:22" ht="32.25" customHeight="1">
      <c r="A26" s="272"/>
      <c r="B26" s="405" t="s">
        <v>133</v>
      </c>
      <c r="C26" s="400"/>
      <c r="D26" s="401"/>
      <c r="E26" s="273"/>
      <c r="F26" s="266">
        <v>43.68</v>
      </c>
      <c r="G26" s="267">
        <f>F26*I47</f>
        <v>104264.16</v>
      </c>
      <c r="H26" s="268"/>
      <c r="I26" s="269">
        <v>43.68</v>
      </c>
      <c r="J26" s="267">
        <f>I26*I47</f>
        <v>104264.16</v>
      </c>
      <c r="K26" s="268"/>
      <c r="L26" s="269">
        <v>43.68</v>
      </c>
      <c r="M26" s="267">
        <f>L26*J47</f>
        <v>108643.08</v>
      </c>
      <c r="N26" s="268"/>
      <c r="O26" s="269">
        <v>43.68</v>
      </c>
      <c r="P26" s="267">
        <f>O26*J47</f>
        <v>108643.08</v>
      </c>
      <c r="Q26" s="268">
        <f>F26+I26+L26+O26</f>
        <v>174.72</v>
      </c>
      <c r="R26" s="267">
        <f>G26+J26+M26+P26</f>
        <v>425814.48000000004</v>
      </c>
      <c r="S26" s="67"/>
      <c r="T26" s="11"/>
      <c r="U26" s="11"/>
      <c r="V26" s="12"/>
    </row>
    <row r="27" spans="1:22" ht="32.25" customHeight="1">
      <c r="A27" s="272"/>
      <c r="B27" s="405" t="s">
        <v>134</v>
      </c>
      <c r="C27" s="400"/>
      <c r="D27" s="401"/>
      <c r="E27" s="273"/>
      <c r="F27" s="266">
        <v>694.14</v>
      </c>
      <c r="G27" s="267">
        <f>F27*I47</f>
        <v>1656912.18</v>
      </c>
      <c r="H27" s="268"/>
      <c r="I27" s="269">
        <v>694.14</v>
      </c>
      <c r="J27" s="267">
        <f>I27*I47</f>
        <v>1656912.18</v>
      </c>
      <c r="K27" s="268"/>
      <c r="L27" s="269">
        <v>694.14</v>
      </c>
      <c r="M27" s="267">
        <f>L27*J47</f>
        <v>1726499.7149999999</v>
      </c>
      <c r="N27" s="268"/>
      <c r="O27" s="269">
        <v>694.14</v>
      </c>
      <c r="P27" s="267">
        <f>O27*J47</f>
        <v>1726499.7149999999</v>
      </c>
      <c r="Q27" s="268">
        <f>F27+I27+L27+O27</f>
        <v>2776.56</v>
      </c>
      <c r="R27" s="267">
        <v>6766823.8</v>
      </c>
      <c r="S27" s="67"/>
      <c r="T27" s="11"/>
      <c r="U27" s="11"/>
      <c r="V27" s="12"/>
    </row>
    <row r="28" spans="1:22" s="97" customFormat="1" ht="56.25" customHeight="1">
      <c r="A28" s="258">
        <v>5</v>
      </c>
      <c r="B28" s="430" t="s">
        <v>47</v>
      </c>
      <c r="C28" s="431"/>
      <c r="D28" s="432"/>
      <c r="E28" s="276"/>
      <c r="F28" s="260">
        <f>F29+F30+F31+F32</f>
        <v>587.9200000000001</v>
      </c>
      <c r="G28" s="261">
        <v>3163932.64</v>
      </c>
      <c r="H28" s="262"/>
      <c r="I28" s="263">
        <f>I29+I30+I31+I32</f>
        <v>259.69</v>
      </c>
      <c r="J28" s="261">
        <f>J29+J30+J31+J32</f>
        <v>1397539.9133</v>
      </c>
      <c r="K28" s="262"/>
      <c r="L28" s="263">
        <f>L29+L30+L31+L32</f>
        <v>134.26</v>
      </c>
      <c r="M28" s="261">
        <f>M29+M30+M31+M32</f>
        <v>757638.5781999999</v>
      </c>
      <c r="N28" s="262"/>
      <c r="O28" s="263">
        <f>O29+O30+O31+O32</f>
        <v>440.49</v>
      </c>
      <c r="P28" s="261">
        <f>P29+P30+P31+P32</f>
        <v>2485715.9043</v>
      </c>
      <c r="Q28" s="262">
        <f aca="true" t="shared" si="4" ref="Q28:R31">F28+I28+L28+O28</f>
        <v>1422.3600000000001</v>
      </c>
      <c r="R28" s="261">
        <v>7804827.03</v>
      </c>
      <c r="S28" s="94"/>
      <c r="T28" s="96"/>
      <c r="U28" s="96"/>
      <c r="V28" s="95"/>
    </row>
    <row r="29" spans="1:22" ht="39" customHeight="1">
      <c r="A29" s="272"/>
      <c r="B29" s="405" t="s">
        <v>48</v>
      </c>
      <c r="C29" s="406"/>
      <c r="D29" s="407"/>
      <c r="E29" s="273"/>
      <c r="F29" s="266">
        <v>12.43</v>
      </c>
      <c r="G29" s="267">
        <f>F29*F47</f>
        <v>66892.9151</v>
      </c>
      <c r="H29" s="268"/>
      <c r="I29" s="269">
        <v>12.43</v>
      </c>
      <c r="J29" s="267">
        <f>I29*F47</f>
        <v>66892.9151</v>
      </c>
      <c r="K29" s="268"/>
      <c r="L29" s="269">
        <v>12.43</v>
      </c>
      <c r="M29" s="267">
        <f>L29*G47</f>
        <v>70143.36009999999</v>
      </c>
      <c r="N29" s="268"/>
      <c r="O29" s="269">
        <v>12.43</v>
      </c>
      <c r="P29" s="267">
        <f>O29*G47</f>
        <v>70143.36009999999</v>
      </c>
      <c r="Q29" s="268">
        <f t="shared" si="4"/>
        <v>49.72</v>
      </c>
      <c r="R29" s="267">
        <v>274072.56</v>
      </c>
      <c r="S29" s="67"/>
      <c r="T29" s="11"/>
      <c r="U29" s="11"/>
      <c r="V29" s="12"/>
    </row>
    <row r="30" spans="1:22" ht="34.5" customHeight="1">
      <c r="A30" s="272"/>
      <c r="B30" s="405" t="s">
        <v>49</v>
      </c>
      <c r="C30" s="406"/>
      <c r="D30" s="407"/>
      <c r="E30" s="273"/>
      <c r="F30" s="266">
        <v>380.5</v>
      </c>
      <c r="G30" s="267">
        <f>F30*F47</f>
        <v>2047687.3849999998</v>
      </c>
      <c r="H30" s="268"/>
      <c r="I30" s="269">
        <v>126.2</v>
      </c>
      <c r="J30" s="267">
        <f>I30*F47</f>
        <v>679154.134</v>
      </c>
      <c r="K30" s="268"/>
      <c r="L30" s="269">
        <v>26.22</v>
      </c>
      <c r="M30" s="267">
        <f>L30*G47</f>
        <v>147961.29539999997</v>
      </c>
      <c r="N30" s="268"/>
      <c r="O30" s="269">
        <v>256.07</v>
      </c>
      <c r="P30" s="267">
        <f>O30*G47</f>
        <v>1445020.9349</v>
      </c>
      <c r="Q30" s="268">
        <f t="shared" si="4"/>
        <v>788.99</v>
      </c>
      <c r="R30" s="267">
        <f t="shared" si="4"/>
        <v>4319823.7493</v>
      </c>
      <c r="S30" s="67"/>
      <c r="T30" s="11"/>
      <c r="U30" s="11"/>
      <c r="V30" s="12"/>
    </row>
    <row r="31" spans="1:22" ht="38.25" customHeight="1">
      <c r="A31" s="272"/>
      <c r="B31" s="405" t="s">
        <v>50</v>
      </c>
      <c r="C31" s="406"/>
      <c r="D31" s="407"/>
      <c r="E31" s="273"/>
      <c r="F31" s="266">
        <v>91.99</v>
      </c>
      <c r="G31" s="267">
        <f>F31*F47</f>
        <v>495050.62429999997</v>
      </c>
      <c r="H31" s="268"/>
      <c r="I31" s="269">
        <v>91.99</v>
      </c>
      <c r="J31" s="267">
        <f>I31*F47</f>
        <v>495050.62429999997</v>
      </c>
      <c r="K31" s="268"/>
      <c r="L31" s="269">
        <v>91.99</v>
      </c>
      <c r="M31" s="267">
        <f>L31*G47</f>
        <v>519106.0092999999</v>
      </c>
      <c r="N31" s="268"/>
      <c r="O31" s="269">
        <v>91.99</v>
      </c>
      <c r="P31" s="267">
        <f>O31*G47</f>
        <v>519106.0092999999</v>
      </c>
      <c r="Q31" s="268">
        <f t="shared" si="4"/>
        <v>367.96</v>
      </c>
      <c r="R31" s="267">
        <v>2028313.26</v>
      </c>
      <c r="S31" s="67"/>
      <c r="T31" s="11"/>
      <c r="U31" s="11"/>
      <c r="V31" s="12"/>
    </row>
    <row r="32" spans="1:22" ht="31.5" customHeight="1">
      <c r="A32" s="272"/>
      <c r="B32" s="405" t="s">
        <v>40</v>
      </c>
      <c r="C32" s="406"/>
      <c r="D32" s="407"/>
      <c r="E32" s="273">
        <v>112.1</v>
      </c>
      <c r="F32" s="266">
        <v>103</v>
      </c>
      <c r="G32" s="267">
        <f>F32*F47</f>
        <v>554301.71</v>
      </c>
      <c r="H32" s="268"/>
      <c r="I32" s="269">
        <v>29.07</v>
      </c>
      <c r="J32" s="267">
        <f>I32*F47</f>
        <v>156442.2399</v>
      </c>
      <c r="K32" s="268"/>
      <c r="L32" s="269">
        <v>3.62</v>
      </c>
      <c r="M32" s="267">
        <f>L32*G47</f>
        <v>20427.9134</v>
      </c>
      <c r="N32" s="268"/>
      <c r="O32" s="269">
        <v>80</v>
      </c>
      <c r="P32" s="267">
        <f>O32*G47</f>
        <v>451445.6</v>
      </c>
      <c r="Q32" s="268">
        <f>F32+I32+L32+O32</f>
        <v>215.69</v>
      </c>
      <c r="R32" s="267">
        <f>G32+J32+M32+P32</f>
        <v>1182617.4633</v>
      </c>
      <c r="S32" s="67"/>
      <c r="T32" s="11"/>
      <c r="U32" s="11"/>
      <c r="V32" s="12"/>
    </row>
    <row r="33" spans="1:22" s="97" customFormat="1" ht="28.5" customHeight="1">
      <c r="A33" s="258">
        <v>6</v>
      </c>
      <c r="B33" s="430" t="s">
        <v>53</v>
      </c>
      <c r="C33" s="431"/>
      <c r="D33" s="432"/>
      <c r="E33" s="276"/>
      <c r="F33" s="260">
        <f>F34+F35+F36</f>
        <v>950.4</v>
      </c>
      <c r="G33" s="261">
        <f>F33*F47</f>
        <v>5114644.128</v>
      </c>
      <c r="H33" s="262"/>
      <c r="I33" s="263">
        <f>I34+I35+I36</f>
        <v>315.2</v>
      </c>
      <c r="J33" s="261">
        <f>J34+J35+J36</f>
        <v>1696270.8639999998</v>
      </c>
      <c r="K33" s="262"/>
      <c r="L33" s="263">
        <f>L34+L35+L36</f>
        <v>96.6</v>
      </c>
      <c r="M33" s="261">
        <f>M34+M35+M36</f>
        <v>545120.5619999999</v>
      </c>
      <c r="N33" s="262"/>
      <c r="O33" s="263">
        <f>O34+O35+O36</f>
        <v>805.8</v>
      </c>
      <c r="P33" s="261">
        <f>P34+P35+P36</f>
        <v>4547185.805999999</v>
      </c>
      <c r="Q33" s="262">
        <f>F33+I33+L33+O33</f>
        <v>2168</v>
      </c>
      <c r="R33" s="261">
        <f>G33+J33+M33+P33</f>
        <v>11903221.36</v>
      </c>
      <c r="S33" s="94"/>
      <c r="T33" s="96"/>
      <c r="U33" s="96"/>
      <c r="V33" s="95"/>
    </row>
    <row r="34" spans="1:22" ht="34.5" customHeight="1">
      <c r="A34" s="272"/>
      <c r="B34" s="422" t="s">
        <v>140</v>
      </c>
      <c r="C34" s="423"/>
      <c r="D34" s="424"/>
      <c r="E34" s="273"/>
      <c r="F34" s="266">
        <v>15</v>
      </c>
      <c r="G34" s="267">
        <f>F34*F47</f>
        <v>80723.54999999999</v>
      </c>
      <c r="H34" s="268"/>
      <c r="I34" s="269">
        <v>6</v>
      </c>
      <c r="J34" s="267">
        <f>I34*F47</f>
        <v>32289.42</v>
      </c>
      <c r="K34" s="268"/>
      <c r="L34" s="269">
        <v>1</v>
      </c>
      <c r="M34" s="267">
        <f>L34*G47</f>
        <v>5643.07</v>
      </c>
      <c r="N34" s="268"/>
      <c r="O34" s="269">
        <v>28</v>
      </c>
      <c r="P34" s="267">
        <f>O34*G47</f>
        <v>158005.96</v>
      </c>
      <c r="Q34" s="268">
        <f aca="true" t="shared" si="5" ref="Q34:R43">F34+I34+L34+O34</f>
        <v>50</v>
      </c>
      <c r="R34" s="267">
        <f t="shared" si="5"/>
        <v>276662</v>
      </c>
      <c r="S34" s="67"/>
      <c r="T34" s="11"/>
      <c r="U34" s="11"/>
      <c r="V34" s="12"/>
    </row>
    <row r="35" spans="1:22" ht="31.5" customHeight="1">
      <c r="A35" s="272"/>
      <c r="B35" s="405" t="s">
        <v>55</v>
      </c>
      <c r="C35" s="406"/>
      <c r="D35" s="407"/>
      <c r="E35" s="273"/>
      <c r="F35" s="266">
        <v>144</v>
      </c>
      <c r="G35" s="267">
        <f>F35*F47</f>
        <v>774946.08</v>
      </c>
      <c r="H35" s="268"/>
      <c r="I35" s="269">
        <v>65</v>
      </c>
      <c r="J35" s="267">
        <f>I35*F47</f>
        <v>349802.05</v>
      </c>
      <c r="K35" s="268"/>
      <c r="L35" s="269">
        <v>13</v>
      </c>
      <c r="M35" s="267">
        <f>L35*G47</f>
        <v>73359.91</v>
      </c>
      <c r="N35" s="268"/>
      <c r="O35" s="269">
        <v>97</v>
      </c>
      <c r="P35" s="267">
        <f>O35*G47</f>
        <v>547377.7899999999</v>
      </c>
      <c r="Q35" s="268">
        <f t="shared" si="5"/>
        <v>319</v>
      </c>
      <c r="R35" s="267">
        <f t="shared" si="5"/>
        <v>1745485.8299999996</v>
      </c>
      <c r="S35" s="67"/>
      <c r="T35" s="11"/>
      <c r="U35" s="11"/>
      <c r="V35" s="12"/>
    </row>
    <row r="36" spans="1:22" ht="33" customHeight="1">
      <c r="A36" s="272"/>
      <c r="B36" s="405" t="s">
        <v>84</v>
      </c>
      <c r="C36" s="406"/>
      <c r="D36" s="407"/>
      <c r="E36" s="273"/>
      <c r="F36" s="266">
        <v>791.4</v>
      </c>
      <c r="G36" s="267">
        <f>SUM(F36)*F47</f>
        <v>4258974.498</v>
      </c>
      <c r="H36" s="268"/>
      <c r="I36" s="269">
        <v>244.2</v>
      </c>
      <c r="J36" s="267">
        <f>SUM(I36)*F47</f>
        <v>1314179.3939999999</v>
      </c>
      <c r="K36" s="268"/>
      <c r="L36" s="269">
        <v>82.6</v>
      </c>
      <c r="M36" s="267">
        <f>SUM(L36)*G47</f>
        <v>466117.58199999994</v>
      </c>
      <c r="N36" s="268"/>
      <c r="O36" s="269">
        <v>680.8</v>
      </c>
      <c r="P36" s="267">
        <f>SUM(O36)*G47</f>
        <v>3841802.0559999994</v>
      </c>
      <c r="Q36" s="268">
        <f t="shared" si="5"/>
        <v>1798.9999999999998</v>
      </c>
      <c r="R36" s="267">
        <f>SUM(G36)+J36+M36+P36</f>
        <v>9881073.53</v>
      </c>
      <c r="S36" s="67"/>
      <c r="T36" s="11"/>
      <c r="U36" s="11"/>
      <c r="V36" s="12"/>
    </row>
    <row r="37" spans="1:22" s="97" customFormat="1" ht="27" customHeight="1">
      <c r="A37" s="258">
        <v>7</v>
      </c>
      <c r="B37" s="430" t="s">
        <v>56</v>
      </c>
      <c r="C37" s="431"/>
      <c r="D37" s="432"/>
      <c r="E37" s="276"/>
      <c r="F37" s="310">
        <f>SUM(F38:F39)</f>
        <v>178.585</v>
      </c>
      <c r="G37" s="261">
        <f>SUM(G38:G39)</f>
        <v>961067.67845</v>
      </c>
      <c r="H37" s="262"/>
      <c r="I37" s="314">
        <f>SUM(I38:I39)</f>
        <v>111.495</v>
      </c>
      <c r="J37" s="261">
        <f>SUM(J38:J39)</f>
        <v>600018.14715</v>
      </c>
      <c r="K37" s="262"/>
      <c r="L37" s="314">
        <f>SUM(L38:L39)</f>
        <v>84.745</v>
      </c>
      <c r="M37" s="261">
        <f>SUM(M38:M39)</f>
        <v>478221.96715</v>
      </c>
      <c r="N37" s="262"/>
      <c r="O37" s="314">
        <f>SUM(O38:O39)</f>
        <v>162.385</v>
      </c>
      <c r="P37" s="261">
        <f>SUM(P38:P39)</f>
        <v>916349.9219499999</v>
      </c>
      <c r="Q37" s="262">
        <f>SUM(Q38:Q39)</f>
        <v>537.23</v>
      </c>
      <c r="R37" s="261">
        <v>2955657.72</v>
      </c>
      <c r="S37" s="94"/>
      <c r="T37" s="96"/>
      <c r="U37" s="96"/>
      <c r="V37" s="95"/>
    </row>
    <row r="38" spans="1:22" s="97" customFormat="1" ht="27" customHeight="1">
      <c r="A38" s="272"/>
      <c r="B38" s="405" t="s">
        <v>89</v>
      </c>
      <c r="C38" s="400"/>
      <c r="D38" s="401"/>
      <c r="E38" s="273"/>
      <c r="F38" s="311">
        <v>172.9</v>
      </c>
      <c r="G38" s="267">
        <f>SUM(F38)*F47</f>
        <v>930473.453</v>
      </c>
      <c r="H38" s="268"/>
      <c r="I38" s="315">
        <v>105.81</v>
      </c>
      <c r="J38" s="267">
        <f>SUM(I38)*F47</f>
        <v>569423.9217</v>
      </c>
      <c r="K38" s="268"/>
      <c r="L38" s="315">
        <v>79.06</v>
      </c>
      <c r="M38" s="267">
        <f>SUM(L38)*G47</f>
        <v>446141.1142</v>
      </c>
      <c r="N38" s="268"/>
      <c r="O38" s="315">
        <v>156.7</v>
      </c>
      <c r="P38" s="267">
        <f>SUM(O38)*G47</f>
        <v>884269.0689999999</v>
      </c>
      <c r="Q38" s="268">
        <f t="shared" si="5"/>
        <v>514.47</v>
      </c>
      <c r="R38" s="267">
        <f t="shared" si="5"/>
        <v>2830307.5579</v>
      </c>
      <c r="S38" s="94"/>
      <c r="T38" s="96"/>
      <c r="U38" s="96"/>
      <c r="V38" s="95"/>
    </row>
    <row r="39" spans="1:22" s="97" customFormat="1" ht="27" customHeight="1">
      <c r="A39" s="272"/>
      <c r="B39" s="405" t="s">
        <v>88</v>
      </c>
      <c r="C39" s="400"/>
      <c r="D39" s="401"/>
      <c r="E39" s="273"/>
      <c r="F39" s="311">
        <v>5.685</v>
      </c>
      <c r="G39" s="267">
        <f>SUM(F39)*F47</f>
        <v>30594.225449999994</v>
      </c>
      <c r="H39" s="268"/>
      <c r="I39" s="315">
        <v>5.685</v>
      </c>
      <c r="J39" s="267">
        <f>SUM(I39)*F47</f>
        <v>30594.225449999994</v>
      </c>
      <c r="K39" s="268"/>
      <c r="L39" s="315">
        <v>5.685</v>
      </c>
      <c r="M39" s="267">
        <f>SUM(L39)*G47</f>
        <v>32080.852949999997</v>
      </c>
      <c r="N39" s="268"/>
      <c r="O39" s="315">
        <v>5.685</v>
      </c>
      <c r="P39" s="267">
        <f>SUM(O39)*G47</f>
        <v>32080.852949999997</v>
      </c>
      <c r="Q39" s="268">
        <v>22.76</v>
      </c>
      <c r="R39" s="267">
        <f t="shared" si="5"/>
        <v>125350.15679999998</v>
      </c>
      <c r="S39" s="94"/>
      <c r="T39" s="96"/>
      <c r="U39" s="96"/>
      <c r="V39" s="95"/>
    </row>
    <row r="40" spans="1:22" s="97" customFormat="1" ht="27" customHeight="1">
      <c r="A40" s="258">
        <v>8</v>
      </c>
      <c r="B40" s="449" t="s">
        <v>85</v>
      </c>
      <c r="C40" s="450"/>
      <c r="D40" s="451"/>
      <c r="E40" s="276"/>
      <c r="F40" s="310">
        <f>SUM(F41:F43)</f>
        <v>102.347</v>
      </c>
      <c r="G40" s="261">
        <f aca="true" t="shared" si="6" ref="G40:O40">SUM(G41:G43)</f>
        <v>550787.54479</v>
      </c>
      <c r="H40" s="262">
        <f t="shared" si="6"/>
        <v>0</v>
      </c>
      <c r="I40" s="314">
        <f t="shared" si="6"/>
        <v>90.681</v>
      </c>
      <c r="J40" s="261">
        <f t="shared" si="6"/>
        <v>488006.14916999993</v>
      </c>
      <c r="K40" s="262">
        <f t="shared" si="6"/>
        <v>0</v>
      </c>
      <c r="L40" s="314">
        <f t="shared" si="6"/>
        <v>8.949</v>
      </c>
      <c r="M40" s="261">
        <v>50499.84</v>
      </c>
      <c r="N40" s="262">
        <f t="shared" si="6"/>
        <v>0</v>
      </c>
      <c r="O40" s="314">
        <f t="shared" si="6"/>
        <v>116.56</v>
      </c>
      <c r="P40" s="261">
        <v>657756.25</v>
      </c>
      <c r="Q40" s="262">
        <f>F40+I40+L40+O40</f>
        <v>318.53700000000003</v>
      </c>
      <c r="R40" s="261">
        <v>1747049.78</v>
      </c>
      <c r="S40" s="94"/>
      <c r="T40" s="96"/>
      <c r="U40" s="96"/>
      <c r="V40" s="95"/>
    </row>
    <row r="41" spans="1:22" s="97" customFormat="1" ht="27" customHeight="1">
      <c r="A41" s="258"/>
      <c r="B41" s="405" t="s">
        <v>86</v>
      </c>
      <c r="C41" s="406"/>
      <c r="D41" s="407"/>
      <c r="E41" s="276"/>
      <c r="F41" s="311">
        <v>4.25</v>
      </c>
      <c r="G41" s="267">
        <f>SUM(F41)*F47</f>
        <v>22871.6725</v>
      </c>
      <c r="H41" s="268"/>
      <c r="I41" s="315">
        <v>4.5</v>
      </c>
      <c r="J41" s="267">
        <f>SUM(I41)*F47</f>
        <v>24217.065</v>
      </c>
      <c r="K41" s="268"/>
      <c r="L41" s="315">
        <v>0.28</v>
      </c>
      <c r="M41" s="267">
        <f>SUM(L41)*G47</f>
        <v>1580.0596</v>
      </c>
      <c r="N41" s="268"/>
      <c r="O41" s="315">
        <v>4.5</v>
      </c>
      <c r="P41" s="267">
        <f>SUM(O41)*G47</f>
        <v>25393.815</v>
      </c>
      <c r="Q41" s="268">
        <f t="shared" si="5"/>
        <v>13.53</v>
      </c>
      <c r="R41" s="267">
        <v>74062.62</v>
      </c>
      <c r="S41" s="94"/>
      <c r="T41" s="96"/>
      <c r="U41" s="96"/>
      <c r="V41" s="95"/>
    </row>
    <row r="42" spans="1:22" s="97" customFormat="1" ht="27" customHeight="1">
      <c r="A42" s="258"/>
      <c r="B42" s="405" t="s">
        <v>87</v>
      </c>
      <c r="C42" s="406"/>
      <c r="D42" s="407"/>
      <c r="E42" s="276"/>
      <c r="F42" s="311">
        <v>73.74</v>
      </c>
      <c r="G42" s="267">
        <f>SUM(F42)*F47</f>
        <v>396836.97179999994</v>
      </c>
      <c r="H42" s="268"/>
      <c r="I42" s="315">
        <v>73.74</v>
      </c>
      <c r="J42" s="267">
        <f>SUM(I42)*F47</f>
        <v>396836.97179999994</v>
      </c>
      <c r="K42" s="268"/>
      <c r="L42" s="315">
        <v>4.83</v>
      </c>
      <c r="M42" s="267">
        <f>SUM(L42)*G47</f>
        <v>27256.0281</v>
      </c>
      <c r="N42" s="268"/>
      <c r="O42" s="315">
        <v>91.97</v>
      </c>
      <c r="P42" s="267">
        <f>SUM(O42)*G47</f>
        <v>518993.1479</v>
      </c>
      <c r="Q42" s="268">
        <f t="shared" si="5"/>
        <v>244.28</v>
      </c>
      <c r="R42" s="267">
        <f>SUM(G42)+J42+M42+P42</f>
        <v>1339923.1195999999</v>
      </c>
      <c r="S42" s="94"/>
      <c r="T42" s="96"/>
      <c r="U42" s="96"/>
      <c r="V42" s="95"/>
    </row>
    <row r="43" spans="1:22" s="97" customFormat="1" ht="27" customHeight="1">
      <c r="A43" s="258"/>
      <c r="B43" s="405" t="s">
        <v>100</v>
      </c>
      <c r="C43" s="400"/>
      <c r="D43" s="401"/>
      <c r="E43" s="276"/>
      <c r="F43" s="311">
        <v>24.357</v>
      </c>
      <c r="G43" s="267">
        <f>SUM(F43)*F47</f>
        <v>131078.90049</v>
      </c>
      <c r="H43" s="268"/>
      <c r="I43" s="315">
        <v>12.441</v>
      </c>
      <c r="J43" s="267">
        <f>SUM(I43)*F47</f>
        <v>66952.11237</v>
      </c>
      <c r="K43" s="268"/>
      <c r="L43" s="315">
        <v>3.839</v>
      </c>
      <c r="M43" s="267">
        <f>SUM(L43)*G47</f>
        <v>21663.74573</v>
      </c>
      <c r="N43" s="268"/>
      <c r="O43" s="315">
        <v>20.09</v>
      </c>
      <c r="P43" s="267">
        <f>SUM(O43)*G47</f>
        <v>113369.2763</v>
      </c>
      <c r="Q43" s="268">
        <f t="shared" si="5"/>
        <v>60.727000000000004</v>
      </c>
      <c r="R43" s="267">
        <v>333064.04</v>
      </c>
      <c r="S43" s="94"/>
      <c r="T43" s="96"/>
      <c r="U43" s="96"/>
      <c r="V43" s="95"/>
    </row>
    <row r="44" spans="1:22" ht="26.25" customHeight="1">
      <c r="A44" s="272"/>
      <c r="B44" s="460" t="s">
        <v>19</v>
      </c>
      <c r="C44" s="461"/>
      <c r="D44" s="462"/>
      <c r="E44" s="265" t="e">
        <f>E9+#REF!+#REF!+E11+E12+E13+E14+E15+E16+E32+#REF!+#REF!+#REF!</f>
        <v>#REF!</v>
      </c>
      <c r="F44" s="277">
        <v>5432.31</v>
      </c>
      <c r="G44" s="278">
        <f aca="true" t="shared" si="7" ref="G44:Q44">G9+G10+G17+G22+G28+G33+G37+G40</f>
        <v>27024859.842339996</v>
      </c>
      <c r="H44" s="279">
        <f t="shared" si="7"/>
        <v>7.9</v>
      </c>
      <c r="I44" s="277">
        <f t="shared" si="7"/>
        <v>2683.786</v>
      </c>
      <c r="J44" s="278">
        <f t="shared" si="7"/>
        <v>12233528.575520001</v>
      </c>
      <c r="K44" s="279">
        <f t="shared" si="7"/>
        <v>2.9</v>
      </c>
      <c r="L44" s="277">
        <f t="shared" si="7"/>
        <v>1399.058</v>
      </c>
      <c r="M44" s="278">
        <f t="shared" si="7"/>
        <v>5566555.122229999</v>
      </c>
      <c r="N44" s="279">
        <f t="shared" si="7"/>
        <v>20.6</v>
      </c>
      <c r="O44" s="277">
        <f t="shared" si="7"/>
        <v>4743.186000000001</v>
      </c>
      <c r="P44" s="278">
        <f t="shared" si="7"/>
        <v>24437703.519419998</v>
      </c>
      <c r="Q44" s="279">
        <f t="shared" si="7"/>
        <v>14258.347000000002</v>
      </c>
      <c r="R44" s="278">
        <v>69262647.06</v>
      </c>
      <c r="S44" s="69"/>
      <c r="T44" s="20"/>
      <c r="U44" s="12"/>
      <c r="V44" s="12"/>
    </row>
    <row r="45" spans="1:22" ht="25.5" customHeight="1">
      <c r="A45" s="280"/>
      <c r="B45" s="463" t="s">
        <v>8</v>
      </c>
      <c r="C45" s="464"/>
      <c r="D45" s="465"/>
      <c r="E45" s="438" t="s">
        <v>102</v>
      </c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40"/>
      <c r="T45" s="12"/>
      <c r="U45" s="12"/>
      <c r="V45" s="12"/>
    </row>
    <row r="46" spans="1:22" ht="15.75" customHeight="1">
      <c r="A46" s="22"/>
      <c r="B46" s="23"/>
      <c r="C46" s="167"/>
      <c r="D46" s="167"/>
      <c r="E46" s="168"/>
      <c r="F46" s="169"/>
      <c r="G46" s="170"/>
      <c r="H46" s="168"/>
      <c r="I46" s="168"/>
      <c r="J46" s="170"/>
      <c r="K46" s="24"/>
      <c r="L46" s="24"/>
      <c r="M46" s="106"/>
      <c r="N46" s="24"/>
      <c r="O46" s="24"/>
      <c r="P46" s="106"/>
      <c r="Q46" s="24"/>
      <c r="R46" s="106"/>
      <c r="T46" s="12"/>
      <c r="U46" s="12"/>
      <c r="V46" s="12"/>
    </row>
    <row r="47" spans="1:22" ht="28.5" customHeight="1">
      <c r="A47" s="25"/>
      <c r="B47" s="26"/>
      <c r="C47" s="171"/>
      <c r="D47" s="172"/>
      <c r="E47" s="173" t="s">
        <v>11</v>
      </c>
      <c r="F47" s="174">
        <v>5381.57</v>
      </c>
      <c r="G47" s="175">
        <v>5643.07</v>
      </c>
      <c r="H47" s="173"/>
      <c r="I47" s="175">
        <v>2387</v>
      </c>
      <c r="J47" s="175">
        <v>2487.25</v>
      </c>
      <c r="K47" s="28"/>
      <c r="L47" s="28"/>
      <c r="M47" s="107"/>
      <c r="N47" s="29"/>
      <c r="O47" s="29"/>
      <c r="P47" s="107"/>
      <c r="Q47" s="29"/>
      <c r="R47" s="107"/>
      <c r="T47" s="12"/>
      <c r="U47" s="12"/>
      <c r="V47" s="12"/>
    </row>
    <row r="48" spans="1:22" ht="31.5" customHeight="1">
      <c r="A48" s="433" t="s">
        <v>93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T48" s="12"/>
      <c r="U48" s="12"/>
      <c r="V48" s="12"/>
    </row>
    <row r="49" spans="1:22" ht="27.75" customHeight="1">
      <c r="A49" s="484" t="s">
        <v>15</v>
      </c>
      <c r="B49" s="485" t="s">
        <v>0</v>
      </c>
      <c r="C49" s="486"/>
      <c r="D49" s="487"/>
      <c r="E49" s="409" t="s">
        <v>1</v>
      </c>
      <c r="F49" s="409"/>
      <c r="G49" s="409"/>
      <c r="H49" s="409" t="s">
        <v>3</v>
      </c>
      <c r="I49" s="409"/>
      <c r="J49" s="409"/>
      <c r="K49" s="409" t="s">
        <v>4</v>
      </c>
      <c r="L49" s="409"/>
      <c r="M49" s="409"/>
      <c r="N49" s="409" t="s">
        <v>6</v>
      </c>
      <c r="O49" s="409"/>
      <c r="P49" s="409"/>
      <c r="Q49" s="409" t="s">
        <v>7</v>
      </c>
      <c r="R49" s="409"/>
      <c r="T49" s="12"/>
      <c r="U49" s="12"/>
      <c r="V49" s="12"/>
    </row>
    <row r="50" spans="1:22" ht="30" customHeight="1">
      <c r="A50" s="484"/>
      <c r="B50" s="488"/>
      <c r="C50" s="489"/>
      <c r="D50" s="490"/>
      <c r="E50" s="65"/>
      <c r="F50" s="65" t="s">
        <v>9</v>
      </c>
      <c r="G50" s="108" t="s">
        <v>5</v>
      </c>
      <c r="H50" s="65" t="s">
        <v>9</v>
      </c>
      <c r="I50" s="65" t="s">
        <v>9</v>
      </c>
      <c r="J50" s="108" t="s">
        <v>5</v>
      </c>
      <c r="K50" s="65" t="s">
        <v>9</v>
      </c>
      <c r="L50" s="65" t="s">
        <v>9</v>
      </c>
      <c r="M50" s="108" t="s">
        <v>5</v>
      </c>
      <c r="N50" s="65" t="s">
        <v>9</v>
      </c>
      <c r="O50" s="65" t="s">
        <v>9</v>
      </c>
      <c r="P50" s="108" t="s">
        <v>5</v>
      </c>
      <c r="Q50" s="65" t="s">
        <v>9</v>
      </c>
      <c r="R50" s="108" t="s">
        <v>5</v>
      </c>
      <c r="T50" s="12"/>
      <c r="U50" s="12"/>
      <c r="V50" s="12"/>
    </row>
    <row r="51" spans="1:22" s="97" customFormat="1" ht="30" customHeight="1">
      <c r="A51" s="101">
        <v>1</v>
      </c>
      <c r="B51" s="413" t="s">
        <v>33</v>
      </c>
      <c r="C51" s="414"/>
      <c r="D51" s="415"/>
      <c r="E51" s="102">
        <v>1800</v>
      </c>
      <c r="F51" s="235">
        <v>1750</v>
      </c>
      <c r="G51" s="222">
        <f>F51*F85</f>
        <v>10080</v>
      </c>
      <c r="H51" s="222">
        <v>1200</v>
      </c>
      <c r="I51" s="235">
        <v>1750</v>
      </c>
      <c r="J51" s="222">
        <f>I51*F85</f>
        <v>10080</v>
      </c>
      <c r="K51" s="222">
        <v>1500</v>
      </c>
      <c r="L51" s="235">
        <v>1750</v>
      </c>
      <c r="M51" s="222">
        <f>L51*G85</f>
        <v>10500</v>
      </c>
      <c r="N51" s="222">
        <v>1500</v>
      </c>
      <c r="O51" s="235">
        <v>1751.1</v>
      </c>
      <c r="P51" s="222">
        <f>O51*G85</f>
        <v>10506.599999999999</v>
      </c>
      <c r="Q51" s="222">
        <f>F51+I51+L51+O51</f>
        <v>7001.1</v>
      </c>
      <c r="R51" s="222">
        <f>G51+J51+M51+P51</f>
        <v>41166.6</v>
      </c>
      <c r="S51" s="94"/>
      <c r="T51" s="95"/>
      <c r="U51" s="96"/>
      <c r="V51" s="95"/>
    </row>
    <row r="52" spans="1:22" s="97" customFormat="1" ht="30" customHeight="1">
      <c r="A52" s="103">
        <v>2</v>
      </c>
      <c r="B52" s="410" t="s">
        <v>41</v>
      </c>
      <c r="C52" s="411"/>
      <c r="D52" s="412"/>
      <c r="E52" s="102"/>
      <c r="F52" s="235">
        <f>F53+F54+F55+F56+F57+F58</f>
        <v>133250</v>
      </c>
      <c r="G52" s="222">
        <f>G53+G54+G55+G56+G57+G58</f>
        <v>767520</v>
      </c>
      <c r="H52" s="222"/>
      <c r="I52" s="235">
        <f>I53+I54+I55+I56+I57+I58</f>
        <v>113820</v>
      </c>
      <c r="J52" s="222">
        <f>J53+J54+J55+J56+J57+J58</f>
        <v>655603.2</v>
      </c>
      <c r="K52" s="222"/>
      <c r="L52" s="235">
        <f>L53+L54+L55+L56+L57+L58</f>
        <v>113149</v>
      </c>
      <c r="M52" s="222">
        <f>M53+M54+M55+M56+M57+M58</f>
        <v>678894</v>
      </c>
      <c r="N52" s="222"/>
      <c r="O52" s="235">
        <f>O53+O54+O55+O56+O57+O58</f>
        <v>198010</v>
      </c>
      <c r="P52" s="222">
        <f>P53+P54+P55+P56+P57+P58</f>
        <v>1188060</v>
      </c>
      <c r="Q52" s="222">
        <f>Q53+Q54+Q55+Q56+Q57+Q58</f>
        <v>558229</v>
      </c>
      <c r="R52" s="222">
        <f>R53+R54+R55+R56+R57+R58</f>
        <v>3290077.2</v>
      </c>
      <c r="S52" s="94"/>
      <c r="T52" s="95"/>
      <c r="U52" s="96"/>
      <c r="V52" s="95"/>
    </row>
    <row r="53" spans="1:21" s="18" customFormat="1" ht="64.5" customHeight="1">
      <c r="A53" s="33"/>
      <c r="B53" s="393" t="s">
        <v>34</v>
      </c>
      <c r="C53" s="394"/>
      <c r="D53" s="395"/>
      <c r="E53" s="15">
        <v>53000</v>
      </c>
      <c r="F53" s="227">
        <v>40000</v>
      </c>
      <c r="G53" s="225">
        <f>F53*F85</f>
        <v>230400</v>
      </c>
      <c r="H53" s="226">
        <v>36000</v>
      </c>
      <c r="I53" s="227">
        <v>30000</v>
      </c>
      <c r="J53" s="225">
        <f>I53*F85</f>
        <v>172800</v>
      </c>
      <c r="K53" s="226">
        <v>24000</v>
      </c>
      <c r="L53" s="227">
        <v>26600</v>
      </c>
      <c r="M53" s="225">
        <f>L53*G85</f>
        <v>159600</v>
      </c>
      <c r="N53" s="226">
        <v>50000</v>
      </c>
      <c r="O53" s="227">
        <v>64000</v>
      </c>
      <c r="P53" s="225">
        <f>O53*G85</f>
        <v>384000</v>
      </c>
      <c r="Q53" s="226">
        <f aca="true" t="shared" si="8" ref="Q53:R63">F53+I53+L53+O53</f>
        <v>160600</v>
      </c>
      <c r="R53" s="225">
        <f aca="true" t="shared" si="9" ref="R53:R59">G53+J53+M53+P53</f>
        <v>946800</v>
      </c>
      <c r="S53" s="67" t="s">
        <v>78</v>
      </c>
      <c r="U53" s="17"/>
    </row>
    <row r="54" spans="1:22" ht="45.75" customHeight="1">
      <c r="A54" s="30"/>
      <c r="B54" s="419" t="s">
        <v>35</v>
      </c>
      <c r="C54" s="420"/>
      <c r="D54" s="421"/>
      <c r="E54" s="31">
        <v>27000</v>
      </c>
      <c r="F54" s="236">
        <v>23250</v>
      </c>
      <c r="G54" s="225">
        <f>F54*F85</f>
        <v>133920</v>
      </c>
      <c r="H54" s="225">
        <v>17000</v>
      </c>
      <c r="I54" s="236">
        <v>17820</v>
      </c>
      <c r="J54" s="225">
        <f>I54*F85</f>
        <v>102643.2</v>
      </c>
      <c r="K54" s="225">
        <v>19000</v>
      </c>
      <c r="L54" s="236">
        <v>18549</v>
      </c>
      <c r="M54" s="225">
        <f>L54*G85</f>
        <v>111294</v>
      </c>
      <c r="N54" s="225">
        <v>41000</v>
      </c>
      <c r="O54" s="236">
        <v>35010</v>
      </c>
      <c r="P54" s="225">
        <f>O54*G85</f>
        <v>210060</v>
      </c>
      <c r="Q54" s="225">
        <f t="shared" si="8"/>
        <v>94629</v>
      </c>
      <c r="R54" s="225">
        <f t="shared" si="9"/>
        <v>557917.2</v>
      </c>
      <c r="S54" s="67"/>
      <c r="T54" s="12"/>
      <c r="U54" s="11"/>
      <c r="V54" s="12"/>
    </row>
    <row r="55" spans="1:22" ht="54.75" customHeight="1">
      <c r="A55" s="33"/>
      <c r="B55" s="393" t="s">
        <v>36</v>
      </c>
      <c r="C55" s="394"/>
      <c r="D55" s="395"/>
      <c r="E55" s="15">
        <v>70000</v>
      </c>
      <c r="F55" s="227">
        <v>20000</v>
      </c>
      <c r="G55" s="225">
        <f>F55*F85</f>
        <v>115200</v>
      </c>
      <c r="H55" s="226">
        <v>55000</v>
      </c>
      <c r="I55" s="227">
        <v>20000</v>
      </c>
      <c r="J55" s="225">
        <f>I55*F85</f>
        <v>115200</v>
      </c>
      <c r="K55" s="226">
        <v>45000</v>
      </c>
      <c r="L55" s="227">
        <v>20000</v>
      </c>
      <c r="M55" s="225">
        <f>L55*G85</f>
        <v>120000</v>
      </c>
      <c r="N55" s="226">
        <v>70000</v>
      </c>
      <c r="O55" s="227">
        <v>30000</v>
      </c>
      <c r="P55" s="225">
        <f>O55*G85</f>
        <v>180000</v>
      </c>
      <c r="Q55" s="226">
        <f t="shared" si="8"/>
        <v>90000</v>
      </c>
      <c r="R55" s="225">
        <f t="shared" si="9"/>
        <v>530400</v>
      </c>
      <c r="S55" s="67" t="s">
        <v>78</v>
      </c>
      <c r="T55" s="12"/>
      <c r="U55" s="11"/>
      <c r="V55" s="12"/>
    </row>
    <row r="56" spans="1:22" ht="30.75" customHeight="1">
      <c r="A56" s="35"/>
      <c r="B56" s="408" t="s">
        <v>37</v>
      </c>
      <c r="C56" s="408"/>
      <c r="D56" s="408"/>
      <c r="E56" s="8">
        <v>17000</v>
      </c>
      <c r="F56" s="227">
        <v>20000</v>
      </c>
      <c r="G56" s="225">
        <f>F56*F85</f>
        <v>115200</v>
      </c>
      <c r="H56" s="226">
        <v>14000</v>
      </c>
      <c r="I56" s="227">
        <v>17000</v>
      </c>
      <c r="J56" s="225">
        <f>I56*F85</f>
        <v>97920</v>
      </c>
      <c r="K56" s="226">
        <v>13000</v>
      </c>
      <c r="L56" s="227">
        <v>16000</v>
      </c>
      <c r="M56" s="225">
        <f>L56*G85</f>
        <v>96000</v>
      </c>
      <c r="N56" s="226">
        <v>24000</v>
      </c>
      <c r="O56" s="227">
        <v>26000</v>
      </c>
      <c r="P56" s="225">
        <f>O56*G85</f>
        <v>156000</v>
      </c>
      <c r="Q56" s="226">
        <f t="shared" si="8"/>
        <v>79000</v>
      </c>
      <c r="R56" s="225">
        <f t="shared" si="9"/>
        <v>465120</v>
      </c>
      <c r="S56" s="67" t="s">
        <v>78</v>
      </c>
      <c r="T56" s="12"/>
      <c r="U56" s="11"/>
      <c r="V56" s="12"/>
    </row>
    <row r="57" spans="1:22" ht="38.25" customHeight="1">
      <c r="A57" s="35"/>
      <c r="B57" s="408" t="s">
        <v>38</v>
      </c>
      <c r="C57" s="408"/>
      <c r="D57" s="408"/>
      <c r="E57" s="8">
        <v>31000</v>
      </c>
      <c r="F57" s="227">
        <v>24000</v>
      </c>
      <c r="G57" s="225">
        <f>F57*F85</f>
        <v>138240</v>
      </c>
      <c r="H57" s="226">
        <v>27000</v>
      </c>
      <c r="I57" s="227">
        <v>23000</v>
      </c>
      <c r="J57" s="225">
        <f>I57*F85</f>
        <v>132480</v>
      </c>
      <c r="K57" s="226">
        <v>58000</v>
      </c>
      <c r="L57" s="227">
        <v>26000</v>
      </c>
      <c r="M57" s="225">
        <f>L57*G85</f>
        <v>156000</v>
      </c>
      <c r="N57" s="226">
        <v>44000</v>
      </c>
      <c r="O57" s="227">
        <v>37000</v>
      </c>
      <c r="P57" s="225">
        <f>O57*G85</f>
        <v>222000</v>
      </c>
      <c r="Q57" s="226">
        <f t="shared" si="8"/>
        <v>110000</v>
      </c>
      <c r="R57" s="225">
        <f t="shared" si="9"/>
        <v>648720</v>
      </c>
      <c r="S57" s="67" t="s">
        <v>78</v>
      </c>
      <c r="T57" s="12"/>
      <c r="U57" s="11"/>
      <c r="V57" s="12"/>
    </row>
    <row r="58" spans="1:22" ht="59.25" customHeight="1">
      <c r="A58" s="35"/>
      <c r="B58" s="408" t="s">
        <v>39</v>
      </c>
      <c r="C58" s="408"/>
      <c r="D58" s="408"/>
      <c r="E58" s="8">
        <v>8000</v>
      </c>
      <c r="F58" s="227">
        <v>6000</v>
      </c>
      <c r="G58" s="225">
        <f>F58*F85</f>
        <v>34560</v>
      </c>
      <c r="H58" s="226">
        <v>12000</v>
      </c>
      <c r="I58" s="227">
        <v>6000</v>
      </c>
      <c r="J58" s="225">
        <f>I58*F85</f>
        <v>34560</v>
      </c>
      <c r="K58" s="226">
        <v>9000</v>
      </c>
      <c r="L58" s="227">
        <v>6000</v>
      </c>
      <c r="M58" s="225">
        <f>L58*G85</f>
        <v>36000</v>
      </c>
      <c r="N58" s="226">
        <v>15000</v>
      </c>
      <c r="O58" s="227">
        <v>6000</v>
      </c>
      <c r="P58" s="225">
        <f>O58*G85</f>
        <v>36000</v>
      </c>
      <c r="Q58" s="226">
        <f t="shared" si="8"/>
        <v>24000</v>
      </c>
      <c r="R58" s="225">
        <f t="shared" si="9"/>
        <v>141120</v>
      </c>
      <c r="S58" s="67" t="s">
        <v>78</v>
      </c>
      <c r="T58" s="12"/>
      <c r="U58" s="11"/>
      <c r="V58" s="12"/>
    </row>
    <row r="59" spans="1:22" s="97" customFormat="1" ht="27" customHeight="1">
      <c r="A59" s="103">
        <v>3</v>
      </c>
      <c r="B59" s="410" t="s">
        <v>42</v>
      </c>
      <c r="C59" s="411"/>
      <c r="D59" s="412"/>
      <c r="E59" s="91">
        <v>9000</v>
      </c>
      <c r="F59" s="223">
        <f>SUM(F60:F63)</f>
        <v>27560</v>
      </c>
      <c r="G59" s="222">
        <f aca="true" t="shared" si="10" ref="G59:P59">SUM(G60:G63)</f>
        <v>158745.59999999998</v>
      </c>
      <c r="H59" s="93">
        <f t="shared" si="10"/>
        <v>0</v>
      </c>
      <c r="I59" s="223">
        <f t="shared" si="10"/>
        <v>27560</v>
      </c>
      <c r="J59" s="222">
        <f t="shared" si="10"/>
        <v>158745.59999999998</v>
      </c>
      <c r="K59" s="93">
        <f t="shared" si="10"/>
        <v>0</v>
      </c>
      <c r="L59" s="223">
        <f t="shared" si="10"/>
        <v>27560</v>
      </c>
      <c r="M59" s="222">
        <f t="shared" si="10"/>
        <v>165360</v>
      </c>
      <c r="N59" s="93">
        <f t="shared" si="10"/>
        <v>0</v>
      </c>
      <c r="O59" s="223">
        <f t="shared" si="10"/>
        <v>27560</v>
      </c>
      <c r="P59" s="222">
        <f t="shared" si="10"/>
        <v>165360</v>
      </c>
      <c r="Q59" s="93">
        <f t="shared" si="8"/>
        <v>110240</v>
      </c>
      <c r="R59" s="222">
        <f t="shared" si="9"/>
        <v>648211.2</v>
      </c>
      <c r="S59" s="94"/>
      <c r="T59" s="95"/>
      <c r="U59" s="96"/>
      <c r="V59" s="95"/>
    </row>
    <row r="60" spans="1:22" s="97" customFormat="1" ht="27" customHeight="1">
      <c r="A60" s="103"/>
      <c r="B60" s="418" t="s">
        <v>135</v>
      </c>
      <c r="C60" s="416"/>
      <c r="D60" s="417"/>
      <c r="E60" s="98"/>
      <c r="F60" s="379">
        <v>21860</v>
      </c>
      <c r="G60" s="305">
        <f>F60*F85</f>
        <v>125913.59999999999</v>
      </c>
      <c r="H60" s="306"/>
      <c r="I60" s="379">
        <v>21860</v>
      </c>
      <c r="J60" s="305">
        <f>I60*F85</f>
        <v>125913.59999999999</v>
      </c>
      <c r="K60" s="306"/>
      <c r="L60" s="379">
        <v>21860</v>
      </c>
      <c r="M60" s="305">
        <f>L60*G85</f>
        <v>131160</v>
      </c>
      <c r="N60" s="306"/>
      <c r="O60" s="379">
        <v>21860</v>
      </c>
      <c r="P60" s="305">
        <f>O60*G85</f>
        <v>131160</v>
      </c>
      <c r="Q60" s="306">
        <f t="shared" si="8"/>
        <v>87440</v>
      </c>
      <c r="R60" s="305">
        <f t="shared" si="8"/>
        <v>514147.19999999995</v>
      </c>
      <c r="S60" s="94"/>
      <c r="T60" s="95"/>
      <c r="U60" s="96"/>
      <c r="V60" s="95"/>
    </row>
    <row r="61" spans="1:22" s="97" customFormat="1" ht="27" customHeight="1">
      <c r="A61" s="103"/>
      <c r="B61" s="418" t="s">
        <v>132</v>
      </c>
      <c r="C61" s="416"/>
      <c r="D61" s="417"/>
      <c r="E61" s="98"/>
      <c r="F61" s="379">
        <v>2400</v>
      </c>
      <c r="G61" s="305">
        <f>F61*F85</f>
        <v>13824</v>
      </c>
      <c r="H61" s="306"/>
      <c r="I61" s="379">
        <v>2400</v>
      </c>
      <c r="J61" s="305">
        <f>I61*F85</f>
        <v>13824</v>
      </c>
      <c r="K61" s="306"/>
      <c r="L61" s="379">
        <v>2400</v>
      </c>
      <c r="M61" s="305">
        <f>L61*G85</f>
        <v>14400</v>
      </c>
      <c r="N61" s="306"/>
      <c r="O61" s="379">
        <v>2400</v>
      </c>
      <c r="P61" s="305">
        <f>O61*G85</f>
        <v>14400</v>
      </c>
      <c r="Q61" s="306">
        <f t="shared" si="8"/>
        <v>9600</v>
      </c>
      <c r="R61" s="305">
        <f t="shared" si="8"/>
        <v>56448</v>
      </c>
      <c r="S61" s="94"/>
      <c r="T61" s="95"/>
      <c r="U61" s="96"/>
      <c r="V61" s="95"/>
    </row>
    <row r="62" spans="1:22" s="97" customFormat="1" ht="27" customHeight="1">
      <c r="A62" s="103"/>
      <c r="B62" s="405" t="s">
        <v>136</v>
      </c>
      <c r="C62" s="416"/>
      <c r="D62" s="417"/>
      <c r="E62" s="91"/>
      <c r="F62" s="227">
        <v>1800</v>
      </c>
      <c r="G62" s="305">
        <f>F62*F85</f>
        <v>10368</v>
      </c>
      <c r="H62" s="93"/>
      <c r="I62" s="227">
        <v>1800</v>
      </c>
      <c r="J62" s="305">
        <f>I62*F85</f>
        <v>10368</v>
      </c>
      <c r="K62" s="93"/>
      <c r="L62" s="227">
        <v>1800</v>
      </c>
      <c r="M62" s="305">
        <f>L62*G85</f>
        <v>10800</v>
      </c>
      <c r="N62" s="93"/>
      <c r="O62" s="227">
        <v>1800</v>
      </c>
      <c r="P62" s="305">
        <f>O62*G85</f>
        <v>10800</v>
      </c>
      <c r="Q62" s="306">
        <f t="shared" si="8"/>
        <v>7200</v>
      </c>
      <c r="R62" s="305">
        <f t="shared" si="8"/>
        <v>42336</v>
      </c>
      <c r="S62" s="94"/>
      <c r="T62" s="95"/>
      <c r="U62" s="96"/>
      <c r="V62" s="95"/>
    </row>
    <row r="63" spans="1:22" s="97" customFormat="1" ht="27" customHeight="1">
      <c r="A63" s="103"/>
      <c r="B63" s="405" t="s">
        <v>137</v>
      </c>
      <c r="C63" s="416"/>
      <c r="D63" s="417"/>
      <c r="E63" s="91"/>
      <c r="F63" s="227">
        <v>1500</v>
      </c>
      <c r="G63" s="305">
        <f>F63*F85</f>
        <v>8640</v>
      </c>
      <c r="H63" s="93"/>
      <c r="I63" s="227">
        <v>1500</v>
      </c>
      <c r="J63" s="305">
        <f>I63*F85</f>
        <v>8640</v>
      </c>
      <c r="K63" s="93"/>
      <c r="L63" s="227">
        <v>1500</v>
      </c>
      <c r="M63" s="305">
        <f>L63*G85</f>
        <v>9000</v>
      </c>
      <c r="N63" s="93"/>
      <c r="O63" s="227">
        <v>1500</v>
      </c>
      <c r="P63" s="305">
        <f>O63*G85</f>
        <v>9000</v>
      </c>
      <c r="Q63" s="306">
        <f t="shared" si="8"/>
        <v>6000</v>
      </c>
      <c r="R63" s="305">
        <f t="shared" si="8"/>
        <v>35280</v>
      </c>
      <c r="S63" s="94"/>
      <c r="T63" s="95"/>
      <c r="U63" s="96"/>
      <c r="V63" s="95"/>
    </row>
    <row r="64" spans="1:22" s="97" customFormat="1" ht="28.5" customHeight="1">
      <c r="A64" s="103">
        <v>4</v>
      </c>
      <c r="B64" s="410" t="s">
        <v>43</v>
      </c>
      <c r="C64" s="411"/>
      <c r="D64" s="412"/>
      <c r="E64" s="91">
        <v>20000</v>
      </c>
      <c r="F64" s="223">
        <f>F65+F66+F67</f>
        <v>54055.8</v>
      </c>
      <c r="G64" s="222">
        <f>G65+G66+G67</f>
        <v>311361.408</v>
      </c>
      <c r="H64" s="93"/>
      <c r="I64" s="223">
        <f>I65+I66+I67</f>
        <v>21293.3</v>
      </c>
      <c r="J64" s="222">
        <f>J65+J66+J67</f>
        <v>122649.408</v>
      </c>
      <c r="K64" s="93"/>
      <c r="L64" s="223">
        <f>L65+L66+L67</f>
        <v>14436.5</v>
      </c>
      <c r="M64" s="222">
        <f>M65+M66+M67</f>
        <v>86619</v>
      </c>
      <c r="N64" s="93"/>
      <c r="O64" s="223">
        <f>O65+O66+O67</f>
        <v>68819.1</v>
      </c>
      <c r="P64" s="222">
        <f>P65+P66+P67</f>
        <v>412914.6</v>
      </c>
      <c r="Q64" s="93">
        <f>Q65+Q66+Q67</f>
        <v>158604.7</v>
      </c>
      <c r="R64" s="222">
        <f>R65+R66+R67</f>
        <v>933544.416</v>
      </c>
      <c r="S64" s="94"/>
      <c r="T64" s="95"/>
      <c r="U64" s="96"/>
      <c r="V64" s="95"/>
    </row>
    <row r="65" spans="1:22" ht="37.5" customHeight="1">
      <c r="A65" s="35"/>
      <c r="B65" s="393" t="s">
        <v>44</v>
      </c>
      <c r="C65" s="394"/>
      <c r="D65" s="395"/>
      <c r="E65" s="8"/>
      <c r="F65" s="227">
        <v>5377.8</v>
      </c>
      <c r="G65" s="225">
        <f>F65*F85</f>
        <v>30976.128</v>
      </c>
      <c r="H65" s="226"/>
      <c r="I65" s="227">
        <v>4645.3</v>
      </c>
      <c r="J65" s="225">
        <f>I65*F85</f>
        <v>26756.928</v>
      </c>
      <c r="K65" s="226"/>
      <c r="L65" s="227">
        <v>4901.5</v>
      </c>
      <c r="M65" s="225">
        <f>L65*G85</f>
        <v>29409</v>
      </c>
      <c r="N65" s="226"/>
      <c r="O65" s="227">
        <v>5942.1</v>
      </c>
      <c r="P65" s="225">
        <f>O65*G85</f>
        <v>35652.600000000006</v>
      </c>
      <c r="Q65" s="226">
        <f aca="true" t="shared" si="11" ref="Q65:R67">F65+I65+L65+O65</f>
        <v>20866.7</v>
      </c>
      <c r="R65" s="225">
        <f t="shared" si="11"/>
        <v>122794.656</v>
      </c>
      <c r="S65" s="67" t="s">
        <v>79</v>
      </c>
      <c r="T65" s="12"/>
      <c r="U65" s="11"/>
      <c r="V65" s="12"/>
    </row>
    <row r="66" spans="1:22" ht="34.5" customHeight="1">
      <c r="A66" s="35"/>
      <c r="B66" s="393" t="s">
        <v>58</v>
      </c>
      <c r="C66" s="394"/>
      <c r="D66" s="395"/>
      <c r="E66" s="8">
        <v>29400</v>
      </c>
      <c r="F66" s="227">
        <v>42474</v>
      </c>
      <c r="G66" s="225">
        <f>F66*F85</f>
        <v>244650.24</v>
      </c>
      <c r="H66" s="226"/>
      <c r="I66" s="227">
        <v>14312</v>
      </c>
      <c r="J66" s="225">
        <f>I66*F85</f>
        <v>82437.12</v>
      </c>
      <c r="K66" s="226"/>
      <c r="L66" s="227">
        <v>6138</v>
      </c>
      <c r="M66" s="225">
        <f>L66*G85</f>
        <v>36828</v>
      </c>
      <c r="N66" s="226"/>
      <c r="O66" s="227">
        <v>56542</v>
      </c>
      <c r="P66" s="225">
        <f>O66*G85</f>
        <v>339252</v>
      </c>
      <c r="Q66" s="226">
        <f t="shared" si="11"/>
        <v>119466</v>
      </c>
      <c r="R66" s="225">
        <f t="shared" si="11"/>
        <v>703167.36</v>
      </c>
      <c r="S66" s="67"/>
      <c r="T66" s="12"/>
      <c r="U66" s="11"/>
      <c r="V66" s="12"/>
    </row>
    <row r="67" spans="1:22" ht="33" customHeight="1">
      <c r="A67" s="35"/>
      <c r="B67" s="393" t="s">
        <v>59</v>
      </c>
      <c r="C67" s="394"/>
      <c r="D67" s="395"/>
      <c r="E67" s="8"/>
      <c r="F67" s="227">
        <v>6204</v>
      </c>
      <c r="G67" s="225">
        <f>F67*F85</f>
        <v>35735.04</v>
      </c>
      <c r="H67" s="226"/>
      <c r="I67" s="227">
        <v>2336</v>
      </c>
      <c r="J67" s="225">
        <f>I67*F85</f>
        <v>13455.359999999999</v>
      </c>
      <c r="K67" s="226"/>
      <c r="L67" s="227">
        <v>3397</v>
      </c>
      <c r="M67" s="225">
        <f>L67*G85</f>
        <v>20382</v>
      </c>
      <c r="N67" s="226"/>
      <c r="O67" s="227">
        <v>6335</v>
      </c>
      <c r="P67" s="225">
        <f>O67*G85</f>
        <v>38010</v>
      </c>
      <c r="Q67" s="226">
        <f t="shared" si="11"/>
        <v>18272</v>
      </c>
      <c r="R67" s="225">
        <f t="shared" si="11"/>
        <v>107582.4</v>
      </c>
      <c r="S67" s="67"/>
      <c r="T67" s="12"/>
      <c r="U67" s="11"/>
      <c r="V67" s="12"/>
    </row>
    <row r="68" spans="1:22" s="97" customFormat="1" ht="27" customHeight="1">
      <c r="A68" s="103">
        <v>5</v>
      </c>
      <c r="B68" s="410" t="s">
        <v>47</v>
      </c>
      <c r="C68" s="411"/>
      <c r="D68" s="412"/>
      <c r="E68" s="98"/>
      <c r="F68" s="223">
        <f>F69+F70+F71+F72</f>
        <v>27639</v>
      </c>
      <c r="G68" s="222">
        <f>G69+G70+G71+G72</f>
        <v>159200.63999999998</v>
      </c>
      <c r="H68" s="93"/>
      <c r="I68" s="223">
        <f>I69+I70+I71+I72</f>
        <v>24645</v>
      </c>
      <c r="J68" s="222">
        <f>J69+J70+J71+J72</f>
        <v>141955.19999999998</v>
      </c>
      <c r="K68" s="93"/>
      <c r="L68" s="223">
        <f>L69+L70+L71+L72</f>
        <v>26938</v>
      </c>
      <c r="M68" s="222">
        <f>M69+M70+M71+M72</f>
        <v>161628</v>
      </c>
      <c r="N68" s="93"/>
      <c r="O68" s="223">
        <f>O69+O70+O71+O72</f>
        <v>29247</v>
      </c>
      <c r="P68" s="222">
        <f>P69+P70+P71+P72</f>
        <v>175482</v>
      </c>
      <c r="Q68" s="93">
        <f>Q69+Q70+Q71+Q72</f>
        <v>108469</v>
      </c>
      <c r="R68" s="222">
        <f>R69+R70+R71++R72</f>
        <v>638265.8400000001</v>
      </c>
      <c r="S68" s="94"/>
      <c r="T68" s="95"/>
      <c r="U68" s="96"/>
      <c r="V68" s="95"/>
    </row>
    <row r="69" spans="1:22" ht="33" customHeight="1">
      <c r="A69" s="35"/>
      <c r="B69" s="393" t="s">
        <v>48</v>
      </c>
      <c r="C69" s="394"/>
      <c r="D69" s="395"/>
      <c r="E69" s="8"/>
      <c r="F69" s="227">
        <v>3193</v>
      </c>
      <c r="G69" s="237">
        <f>F69*F85</f>
        <v>18391.68</v>
      </c>
      <c r="H69" s="226"/>
      <c r="I69" s="227">
        <v>2815</v>
      </c>
      <c r="J69" s="225">
        <f>I69*F85</f>
        <v>16214.4</v>
      </c>
      <c r="K69" s="226"/>
      <c r="L69" s="227">
        <v>2814</v>
      </c>
      <c r="M69" s="225">
        <f>L69*G85</f>
        <v>16884</v>
      </c>
      <c r="N69" s="226"/>
      <c r="O69" s="227">
        <v>2588</v>
      </c>
      <c r="P69" s="225">
        <f>O69*G85</f>
        <v>15528</v>
      </c>
      <c r="Q69" s="226">
        <f aca="true" t="shared" si="12" ref="Q69:R72">F69+I69+L69+O69</f>
        <v>11410</v>
      </c>
      <c r="R69" s="225">
        <f t="shared" si="12"/>
        <v>67018.08</v>
      </c>
      <c r="S69" s="67"/>
      <c r="T69" s="12"/>
      <c r="U69" s="11"/>
      <c r="V69" s="12"/>
    </row>
    <row r="70" spans="1:22" ht="36" customHeight="1">
      <c r="A70" s="35"/>
      <c r="B70" s="393" t="s">
        <v>49</v>
      </c>
      <c r="C70" s="394"/>
      <c r="D70" s="395"/>
      <c r="E70" s="8"/>
      <c r="F70" s="227">
        <v>13050</v>
      </c>
      <c r="G70" s="225">
        <f>F70*F85</f>
        <v>75168</v>
      </c>
      <c r="H70" s="226"/>
      <c r="I70" s="227">
        <v>13050</v>
      </c>
      <c r="J70" s="225">
        <f>I70*F85</f>
        <v>75168</v>
      </c>
      <c r="K70" s="226"/>
      <c r="L70" s="227">
        <v>12950</v>
      </c>
      <c r="M70" s="225">
        <f>L70*G85</f>
        <v>77700</v>
      </c>
      <c r="N70" s="226"/>
      <c r="O70" s="227">
        <v>13682.38</v>
      </c>
      <c r="P70" s="225">
        <f>O70*G85</f>
        <v>82094.28</v>
      </c>
      <c r="Q70" s="226">
        <f t="shared" si="12"/>
        <v>52732.38</v>
      </c>
      <c r="R70" s="225">
        <f t="shared" si="12"/>
        <v>310130.28</v>
      </c>
      <c r="S70" s="67"/>
      <c r="T70" s="12"/>
      <c r="U70" s="11"/>
      <c r="V70" s="12"/>
    </row>
    <row r="71" spans="1:22" ht="34.5" customHeight="1">
      <c r="A71" s="35"/>
      <c r="B71" s="393" t="s">
        <v>50</v>
      </c>
      <c r="C71" s="394"/>
      <c r="D71" s="395"/>
      <c r="E71" s="8"/>
      <c r="F71" s="227">
        <v>8118</v>
      </c>
      <c r="G71" s="225">
        <f>F71*F85</f>
        <v>46759.68</v>
      </c>
      <c r="H71" s="226"/>
      <c r="I71" s="227">
        <v>7069</v>
      </c>
      <c r="J71" s="225">
        <f>I71*F85</f>
        <v>40717.439999999995</v>
      </c>
      <c r="K71" s="226"/>
      <c r="L71" s="227">
        <v>8715</v>
      </c>
      <c r="M71" s="225">
        <f>L71*G85</f>
        <v>52290</v>
      </c>
      <c r="N71" s="226"/>
      <c r="O71" s="227">
        <v>9280.62</v>
      </c>
      <c r="P71" s="225">
        <f>O71*G85</f>
        <v>55683.72</v>
      </c>
      <c r="Q71" s="226">
        <f t="shared" si="12"/>
        <v>33182.62</v>
      </c>
      <c r="R71" s="225">
        <f t="shared" si="12"/>
        <v>195450.84</v>
      </c>
      <c r="S71" s="67"/>
      <c r="T71" s="12"/>
      <c r="U71" s="11"/>
      <c r="V71" s="12"/>
    </row>
    <row r="72" spans="1:22" ht="31.5" customHeight="1">
      <c r="A72" s="35"/>
      <c r="B72" s="408" t="s">
        <v>40</v>
      </c>
      <c r="C72" s="408"/>
      <c r="D72" s="408"/>
      <c r="E72" s="8"/>
      <c r="F72" s="227">
        <v>3278</v>
      </c>
      <c r="G72" s="225">
        <f>F72*F85</f>
        <v>18881.28</v>
      </c>
      <c r="H72" s="226"/>
      <c r="I72" s="227">
        <v>1711</v>
      </c>
      <c r="J72" s="225">
        <f>I72*F85</f>
        <v>9855.359999999999</v>
      </c>
      <c r="K72" s="226"/>
      <c r="L72" s="227">
        <v>2459</v>
      </c>
      <c r="M72" s="225">
        <f>L72*G85</f>
        <v>14754</v>
      </c>
      <c r="N72" s="226"/>
      <c r="O72" s="227">
        <v>3696</v>
      </c>
      <c r="P72" s="225">
        <f>O72*G85</f>
        <v>22176</v>
      </c>
      <c r="Q72" s="226">
        <f t="shared" si="12"/>
        <v>11144</v>
      </c>
      <c r="R72" s="225">
        <f t="shared" si="12"/>
        <v>65666.64</v>
      </c>
      <c r="S72" s="67"/>
      <c r="T72" s="12"/>
      <c r="U72" s="11"/>
      <c r="V72" s="12"/>
    </row>
    <row r="73" spans="1:22" s="97" customFormat="1" ht="27" customHeight="1">
      <c r="A73" s="103">
        <v>6</v>
      </c>
      <c r="B73" s="410" t="s">
        <v>53</v>
      </c>
      <c r="C73" s="411"/>
      <c r="D73" s="412"/>
      <c r="E73" s="98"/>
      <c r="F73" s="223">
        <f>F74+F75+F76</f>
        <v>216845.17</v>
      </c>
      <c r="G73" s="222">
        <f>G74+G75+G76</f>
        <v>1249028.1792000001</v>
      </c>
      <c r="H73" s="93"/>
      <c r="I73" s="223">
        <f>I74+I75+I76</f>
        <v>195445.17</v>
      </c>
      <c r="J73" s="222">
        <f>J74+J75+J76</f>
        <v>1125764.1792000001</v>
      </c>
      <c r="K73" s="93"/>
      <c r="L73" s="223">
        <f>L74+L75+L76</f>
        <v>189645.17</v>
      </c>
      <c r="M73" s="222">
        <f>M74+M75+M76</f>
        <v>1137871.02</v>
      </c>
      <c r="N73" s="93"/>
      <c r="O73" s="223">
        <f>O74+O75+O76</f>
        <v>204645.17</v>
      </c>
      <c r="P73" s="222">
        <f>P74+P75+P76</f>
        <v>1227871.02</v>
      </c>
      <c r="Q73" s="93">
        <f>Q74+Q75+Q76</f>
        <v>806580.68</v>
      </c>
      <c r="R73" s="222">
        <f>R74+R75+R76</f>
        <v>4740534.398399999</v>
      </c>
      <c r="S73" s="94"/>
      <c r="T73" s="95"/>
      <c r="U73" s="96"/>
      <c r="V73" s="95"/>
    </row>
    <row r="74" spans="1:22" ht="36" customHeight="1">
      <c r="A74" s="35"/>
      <c r="B74" s="422" t="s">
        <v>140</v>
      </c>
      <c r="C74" s="423"/>
      <c r="D74" s="424"/>
      <c r="E74" s="8"/>
      <c r="F74" s="227">
        <v>5200</v>
      </c>
      <c r="G74" s="225">
        <f>F74*F85</f>
        <v>29952</v>
      </c>
      <c r="H74" s="226"/>
      <c r="I74" s="227">
        <v>4800</v>
      </c>
      <c r="J74" s="225">
        <f>I74*F85</f>
        <v>27648</v>
      </c>
      <c r="K74" s="226"/>
      <c r="L74" s="227">
        <v>4000</v>
      </c>
      <c r="M74" s="225">
        <f>L74*G85</f>
        <v>24000</v>
      </c>
      <c r="N74" s="226"/>
      <c r="O74" s="227">
        <v>6000</v>
      </c>
      <c r="P74" s="225">
        <f>O74*G85</f>
        <v>36000</v>
      </c>
      <c r="Q74" s="226">
        <f>F74+I74+L74+O74</f>
        <v>20000</v>
      </c>
      <c r="R74" s="225">
        <f>G74+J74+M74+P74</f>
        <v>117600</v>
      </c>
      <c r="S74" s="67" t="s">
        <v>78</v>
      </c>
      <c r="T74" s="12"/>
      <c r="U74" s="11"/>
      <c r="V74" s="12"/>
    </row>
    <row r="75" spans="1:22" ht="31.5" customHeight="1">
      <c r="A75" s="35"/>
      <c r="B75" s="393" t="s">
        <v>55</v>
      </c>
      <c r="C75" s="394"/>
      <c r="D75" s="395"/>
      <c r="E75" s="8"/>
      <c r="F75" s="227">
        <v>30000</v>
      </c>
      <c r="G75" s="225">
        <f>F75*F85</f>
        <v>172800</v>
      </c>
      <c r="H75" s="226"/>
      <c r="I75" s="227">
        <v>9000</v>
      </c>
      <c r="J75" s="225">
        <f>I75*F85</f>
        <v>51840</v>
      </c>
      <c r="K75" s="226"/>
      <c r="L75" s="227">
        <v>4000</v>
      </c>
      <c r="M75" s="225">
        <f>L75*G85</f>
        <v>24000</v>
      </c>
      <c r="N75" s="226"/>
      <c r="O75" s="227">
        <v>17000</v>
      </c>
      <c r="P75" s="225">
        <f>O75*G85</f>
        <v>102000</v>
      </c>
      <c r="Q75" s="226">
        <f>F75+I75+L75+O75</f>
        <v>60000</v>
      </c>
      <c r="R75" s="225">
        <f>G75+J75+M75+P75</f>
        <v>350640</v>
      </c>
      <c r="S75" s="67" t="s">
        <v>78</v>
      </c>
      <c r="T75" s="12"/>
      <c r="U75" s="11"/>
      <c r="V75" s="12"/>
    </row>
    <row r="76" spans="1:22" ht="31.5" customHeight="1">
      <c r="A76" s="35"/>
      <c r="B76" s="393" t="s">
        <v>84</v>
      </c>
      <c r="C76" s="394"/>
      <c r="D76" s="395"/>
      <c r="E76" s="8"/>
      <c r="F76" s="227">
        <v>181645.17</v>
      </c>
      <c r="G76" s="225">
        <f>SUM(F76)*F85</f>
        <v>1046276.1792</v>
      </c>
      <c r="H76" s="226"/>
      <c r="I76" s="227">
        <v>181645.17</v>
      </c>
      <c r="J76" s="225">
        <f>SUM(I76)*F85</f>
        <v>1046276.1792</v>
      </c>
      <c r="K76" s="226"/>
      <c r="L76" s="227">
        <v>181645.17</v>
      </c>
      <c r="M76" s="225">
        <f>SUM(L76)*G85</f>
        <v>1089871.02</v>
      </c>
      <c r="N76" s="226"/>
      <c r="O76" s="227">
        <v>181645.17</v>
      </c>
      <c r="P76" s="225">
        <f>SUM(O76)*G85</f>
        <v>1089871.02</v>
      </c>
      <c r="Q76" s="226">
        <f>F76+I76+L76+O76</f>
        <v>726580.68</v>
      </c>
      <c r="R76" s="225">
        <f>SUM(G76)+J76+M76+P76</f>
        <v>4272294.398399999</v>
      </c>
      <c r="S76" s="67"/>
      <c r="T76" s="12"/>
      <c r="U76" s="11"/>
      <c r="V76" s="12"/>
    </row>
    <row r="77" spans="1:22" ht="31.5" customHeight="1">
      <c r="A77" s="99">
        <v>7</v>
      </c>
      <c r="B77" s="410" t="s">
        <v>85</v>
      </c>
      <c r="C77" s="411"/>
      <c r="D77" s="412"/>
      <c r="E77" s="8"/>
      <c r="F77" s="282">
        <f>SUM(F78:F79)</f>
        <v>5703</v>
      </c>
      <c r="G77" s="285">
        <f aca="true" t="shared" si="13" ref="G77:R77">SUM(G78:G79)</f>
        <v>32849.28</v>
      </c>
      <c r="H77" s="281">
        <f t="shared" si="13"/>
        <v>0</v>
      </c>
      <c r="I77" s="282">
        <f t="shared" si="13"/>
        <v>5447</v>
      </c>
      <c r="J77" s="285">
        <f t="shared" si="13"/>
        <v>31374.719999999998</v>
      </c>
      <c r="K77" s="281">
        <f t="shared" si="13"/>
        <v>0</v>
      </c>
      <c r="L77" s="282">
        <f t="shared" si="13"/>
        <v>6414</v>
      </c>
      <c r="M77" s="285">
        <f t="shared" si="13"/>
        <v>38484</v>
      </c>
      <c r="N77" s="281">
        <f t="shared" si="13"/>
        <v>0</v>
      </c>
      <c r="O77" s="282">
        <f t="shared" si="13"/>
        <v>5543</v>
      </c>
      <c r="P77" s="285">
        <f t="shared" si="13"/>
        <v>33258</v>
      </c>
      <c r="Q77" s="281">
        <f t="shared" si="13"/>
        <v>23107</v>
      </c>
      <c r="R77" s="285">
        <f t="shared" si="13"/>
        <v>135966</v>
      </c>
      <c r="S77" s="67"/>
      <c r="T77" s="12"/>
      <c r="U77" s="11"/>
      <c r="V77" s="12"/>
    </row>
    <row r="78" spans="1:22" ht="31.5" customHeight="1">
      <c r="A78" s="99"/>
      <c r="B78" s="399" t="s">
        <v>86</v>
      </c>
      <c r="C78" s="474"/>
      <c r="D78" s="475"/>
      <c r="E78" s="8"/>
      <c r="F78" s="227">
        <v>0</v>
      </c>
      <c r="G78" s="225">
        <f>SUM(F78)*F85</f>
        <v>0</v>
      </c>
      <c r="H78" s="226"/>
      <c r="I78" s="227">
        <v>0</v>
      </c>
      <c r="J78" s="225">
        <f>SUM(I78)*F85</f>
        <v>0</v>
      </c>
      <c r="K78" s="226"/>
      <c r="L78" s="227">
        <v>0</v>
      </c>
      <c r="M78" s="225">
        <f>SUM(L78)*G85</f>
        <v>0</v>
      </c>
      <c r="N78" s="226"/>
      <c r="O78" s="227">
        <v>0</v>
      </c>
      <c r="P78" s="225">
        <f>SUM(O78)*G85</f>
        <v>0</v>
      </c>
      <c r="Q78" s="226">
        <f aca="true" t="shared" si="14" ref="Q78:R80">SUM(F78)+I78+L78+O78</f>
        <v>0</v>
      </c>
      <c r="R78" s="225">
        <f t="shared" si="14"/>
        <v>0</v>
      </c>
      <c r="S78" s="67"/>
      <c r="T78" s="12"/>
      <c r="U78" s="11"/>
      <c r="V78" s="12"/>
    </row>
    <row r="79" spans="1:22" ht="31.5" customHeight="1">
      <c r="A79" s="99"/>
      <c r="B79" s="399" t="s">
        <v>87</v>
      </c>
      <c r="C79" s="474"/>
      <c r="D79" s="475"/>
      <c r="E79" s="8"/>
      <c r="F79" s="227">
        <v>5703</v>
      </c>
      <c r="G79" s="225">
        <f>SUM(F79)*F85</f>
        <v>32849.28</v>
      </c>
      <c r="H79" s="226"/>
      <c r="I79" s="227">
        <v>5447</v>
      </c>
      <c r="J79" s="225">
        <f>SUM(I79)*F85</f>
        <v>31374.719999999998</v>
      </c>
      <c r="K79" s="226"/>
      <c r="L79" s="227">
        <v>6414</v>
      </c>
      <c r="M79" s="225">
        <f>SUM(L79)*G85</f>
        <v>38484</v>
      </c>
      <c r="N79" s="226"/>
      <c r="O79" s="227">
        <v>5543</v>
      </c>
      <c r="P79" s="225">
        <f>SUM(O79)*G85</f>
        <v>33258</v>
      </c>
      <c r="Q79" s="226">
        <f t="shared" si="14"/>
        <v>23107</v>
      </c>
      <c r="R79" s="225">
        <f t="shared" si="14"/>
        <v>135966</v>
      </c>
      <c r="S79" s="67"/>
      <c r="T79" s="12"/>
      <c r="U79" s="11"/>
      <c r="V79" s="12"/>
    </row>
    <row r="80" spans="1:22" ht="31.5" customHeight="1">
      <c r="A80" s="99">
        <v>8</v>
      </c>
      <c r="B80" s="402" t="s">
        <v>56</v>
      </c>
      <c r="C80" s="403"/>
      <c r="D80" s="404"/>
      <c r="E80" s="91"/>
      <c r="F80" s="223">
        <f>SUM(F81:F82)</f>
        <v>89160</v>
      </c>
      <c r="G80" s="222">
        <f aca="true" t="shared" si="15" ref="G80:P80">SUM(G81:G82)</f>
        <v>513561.6</v>
      </c>
      <c r="H80" s="93">
        <f t="shared" si="15"/>
        <v>0</v>
      </c>
      <c r="I80" s="223">
        <f t="shared" si="15"/>
        <v>61792</v>
      </c>
      <c r="J80" s="222">
        <f t="shared" si="15"/>
        <v>355921.92</v>
      </c>
      <c r="K80" s="93">
        <f t="shared" si="15"/>
        <v>0</v>
      </c>
      <c r="L80" s="223">
        <f t="shared" si="15"/>
        <v>43368</v>
      </c>
      <c r="M80" s="222">
        <f t="shared" si="15"/>
        <v>260208</v>
      </c>
      <c r="N80" s="93">
        <f t="shared" si="15"/>
        <v>0</v>
      </c>
      <c r="O80" s="223">
        <f t="shared" si="15"/>
        <v>91168</v>
      </c>
      <c r="P80" s="222">
        <f t="shared" si="15"/>
        <v>547008</v>
      </c>
      <c r="Q80" s="93">
        <f t="shared" si="14"/>
        <v>285488</v>
      </c>
      <c r="R80" s="222">
        <f t="shared" si="14"/>
        <v>1676699.52</v>
      </c>
      <c r="S80" s="67"/>
      <c r="T80" s="12"/>
      <c r="U80" s="11"/>
      <c r="V80" s="12"/>
    </row>
    <row r="81" spans="1:22" ht="31.5" customHeight="1">
      <c r="A81" s="99"/>
      <c r="B81" s="399" t="s">
        <v>90</v>
      </c>
      <c r="C81" s="400"/>
      <c r="D81" s="401"/>
      <c r="E81" s="8"/>
      <c r="F81" s="227">
        <v>600</v>
      </c>
      <c r="G81" s="225">
        <f>F81*F85</f>
        <v>3456</v>
      </c>
      <c r="H81" s="226"/>
      <c r="I81" s="227">
        <v>600</v>
      </c>
      <c r="J81" s="225">
        <f>I81*F85</f>
        <v>3456</v>
      </c>
      <c r="K81" s="226"/>
      <c r="L81" s="227">
        <v>600</v>
      </c>
      <c r="M81" s="225">
        <f>L81*G85</f>
        <v>3600</v>
      </c>
      <c r="N81" s="226"/>
      <c r="O81" s="227">
        <v>600</v>
      </c>
      <c r="P81" s="225">
        <f>O81*G85</f>
        <v>3600</v>
      </c>
      <c r="Q81" s="226">
        <f>F81+I81+L81+O81</f>
        <v>2400</v>
      </c>
      <c r="R81" s="225">
        <f>G81+J81+M81+P81</f>
        <v>14112</v>
      </c>
      <c r="S81" s="67"/>
      <c r="T81" s="12"/>
      <c r="U81" s="11"/>
      <c r="V81" s="12"/>
    </row>
    <row r="82" spans="1:22" ht="31.5" customHeight="1">
      <c r="A82" s="99"/>
      <c r="B82" s="399" t="s">
        <v>101</v>
      </c>
      <c r="C82" s="400"/>
      <c r="D82" s="401"/>
      <c r="E82" s="8"/>
      <c r="F82" s="227">
        <v>88560</v>
      </c>
      <c r="G82" s="225">
        <f>F82*F85</f>
        <v>510105.6</v>
      </c>
      <c r="H82" s="226"/>
      <c r="I82" s="227">
        <v>61192</v>
      </c>
      <c r="J82" s="225">
        <f>I82*F85</f>
        <v>352465.92</v>
      </c>
      <c r="K82" s="226"/>
      <c r="L82" s="227">
        <v>42768</v>
      </c>
      <c r="M82" s="225">
        <f>L82*G85</f>
        <v>256608</v>
      </c>
      <c r="N82" s="226"/>
      <c r="O82" s="227">
        <v>90568</v>
      </c>
      <c r="P82" s="225">
        <f>O82*G85</f>
        <v>543408</v>
      </c>
      <c r="Q82" s="226">
        <f>F82+I82+L82+O82</f>
        <v>283088</v>
      </c>
      <c r="R82" s="225">
        <f>G82+J82+M82+P82</f>
        <v>1662587.52</v>
      </c>
      <c r="S82" s="67"/>
      <c r="T82" s="12"/>
      <c r="U82" s="11"/>
      <c r="V82" s="12"/>
    </row>
    <row r="83" spans="1:22" ht="30" customHeight="1">
      <c r="A83" s="35"/>
      <c r="B83" s="466" t="s">
        <v>19</v>
      </c>
      <c r="C83" s="466"/>
      <c r="D83" s="466"/>
      <c r="E83" s="15">
        <f>SUM(E51:E66)</f>
        <v>266200</v>
      </c>
      <c r="F83" s="233">
        <f>F51+F52+F59+F64+F68+F73+F77+F80</f>
        <v>555962.97</v>
      </c>
      <c r="G83" s="234">
        <f aca="true" t="shared" si="16" ref="G83:Q83">G51+G52+G59+G64+G68+G73+G77+G80</f>
        <v>3202346.7072</v>
      </c>
      <c r="H83" s="60">
        <f t="shared" si="16"/>
        <v>1200</v>
      </c>
      <c r="I83" s="233">
        <f t="shared" si="16"/>
        <v>451752.47</v>
      </c>
      <c r="J83" s="234">
        <f t="shared" si="16"/>
        <v>2602094.2272</v>
      </c>
      <c r="K83" s="60">
        <f t="shared" si="16"/>
        <v>1500</v>
      </c>
      <c r="L83" s="233">
        <f t="shared" si="16"/>
        <v>423260.67000000004</v>
      </c>
      <c r="M83" s="234">
        <f t="shared" si="16"/>
        <v>2539564.02</v>
      </c>
      <c r="N83" s="60">
        <f t="shared" si="16"/>
        <v>1500</v>
      </c>
      <c r="O83" s="233">
        <f t="shared" si="16"/>
        <v>626743.37</v>
      </c>
      <c r="P83" s="234">
        <f t="shared" si="16"/>
        <v>3760460.22</v>
      </c>
      <c r="Q83" s="60">
        <f t="shared" si="16"/>
        <v>2057719.48</v>
      </c>
      <c r="R83" s="234">
        <v>12104465.18</v>
      </c>
      <c r="S83" s="69"/>
      <c r="T83" s="37"/>
      <c r="U83" s="12"/>
      <c r="V83" s="12"/>
    </row>
    <row r="84" spans="1:22" ht="50.25" customHeight="1">
      <c r="A84" s="38"/>
      <c r="B84" s="467" t="s">
        <v>8</v>
      </c>
      <c r="C84" s="467"/>
      <c r="D84" s="467"/>
      <c r="E84" s="427" t="s">
        <v>116</v>
      </c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9"/>
      <c r="T84" s="12"/>
      <c r="U84" s="12"/>
      <c r="V84" s="12"/>
    </row>
    <row r="85" spans="1:22" ht="32.25" customHeight="1">
      <c r="A85" s="5"/>
      <c r="B85" s="5"/>
      <c r="C85" s="5"/>
      <c r="D85" s="5"/>
      <c r="E85" s="5"/>
      <c r="F85" s="176">
        <v>5.76</v>
      </c>
      <c r="G85" s="176">
        <v>6</v>
      </c>
      <c r="H85" s="176"/>
      <c r="I85" s="176"/>
      <c r="J85" s="177"/>
      <c r="K85" s="5"/>
      <c r="L85" s="5"/>
      <c r="M85" s="104"/>
      <c r="N85" s="5"/>
      <c r="O85" s="5"/>
      <c r="P85" s="112"/>
      <c r="Q85" s="39"/>
      <c r="R85" s="104"/>
      <c r="T85" s="12"/>
      <c r="U85" s="12"/>
      <c r="V85" s="12"/>
    </row>
    <row r="86" spans="1:22" ht="21" customHeight="1">
      <c r="A86" s="41"/>
      <c r="B86" s="42"/>
      <c r="C86" s="42"/>
      <c r="D86" s="42"/>
      <c r="E86" s="43" t="s">
        <v>13</v>
      </c>
      <c r="F86" s="176"/>
      <c r="G86" s="178"/>
      <c r="H86" s="179"/>
      <c r="I86" s="179"/>
      <c r="J86" s="180"/>
      <c r="K86" s="44"/>
      <c r="L86" s="44"/>
      <c r="M86" s="109"/>
      <c r="N86" s="44"/>
      <c r="O86" s="44"/>
      <c r="P86" s="109"/>
      <c r="Q86" s="44"/>
      <c r="R86" s="109"/>
      <c r="T86" s="12"/>
      <c r="U86" s="12"/>
      <c r="V86" s="12"/>
    </row>
    <row r="87" spans="1:22" ht="2.25" customHeight="1">
      <c r="A87" s="41"/>
      <c r="B87" s="42"/>
      <c r="C87" s="42"/>
      <c r="D87" s="42"/>
      <c r="E87" s="43"/>
      <c r="F87" s="181"/>
      <c r="G87" s="177"/>
      <c r="H87" s="181"/>
      <c r="I87" s="181"/>
      <c r="J87" s="180"/>
      <c r="K87" s="44"/>
      <c r="L87" s="44"/>
      <c r="M87" s="109"/>
      <c r="N87" s="44"/>
      <c r="O87" s="44"/>
      <c r="P87" s="112"/>
      <c r="Q87" s="45"/>
      <c r="R87" s="113"/>
      <c r="T87" s="12"/>
      <c r="U87" s="12"/>
      <c r="V87" s="12"/>
    </row>
    <row r="88" spans="1:22" ht="14.25" customHeight="1">
      <c r="A88" s="41"/>
      <c r="B88" s="46"/>
      <c r="C88" s="46"/>
      <c r="D88" s="46"/>
      <c r="E88" s="47"/>
      <c r="F88" s="176"/>
      <c r="G88" s="177"/>
      <c r="H88" s="176"/>
      <c r="I88" s="176"/>
      <c r="J88" s="180"/>
      <c r="K88" s="48"/>
      <c r="L88" s="48"/>
      <c r="M88" s="109"/>
      <c r="N88" s="49"/>
      <c r="O88" s="49"/>
      <c r="P88" s="434"/>
      <c r="Q88" s="434"/>
      <c r="R88" s="434"/>
      <c r="T88" s="12"/>
      <c r="U88" s="12"/>
      <c r="V88" s="12"/>
    </row>
    <row r="89" spans="1:22" ht="9.75" customHeight="1">
      <c r="A89" s="41"/>
      <c r="B89" s="46"/>
      <c r="C89" s="46"/>
      <c r="D89" s="46"/>
      <c r="E89" s="47"/>
      <c r="F89" s="5"/>
      <c r="G89" s="104"/>
      <c r="H89" s="5"/>
      <c r="I89" s="5"/>
      <c r="J89" s="109"/>
      <c r="K89" s="48"/>
      <c r="L89" s="48"/>
      <c r="M89" s="109"/>
      <c r="N89" s="49"/>
      <c r="O89" s="49"/>
      <c r="P89" s="434"/>
      <c r="Q89" s="434"/>
      <c r="R89" s="434"/>
      <c r="T89" s="12"/>
      <c r="U89" s="12"/>
      <c r="V89" s="12"/>
    </row>
    <row r="90" spans="1:22" ht="13.5" customHeight="1" hidden="1">
      <c r="A90" s="41"/>
      <c r="B90" s="46"/>
      <c r="C90" s="46"/>
      <c r="D90" s="46"/>
      <c r="E90" s="47"/>
      <c r="F90" s="5"/>
      <c r="G90" s="104"/>
      <c r="H90" s="5"/>
      <c r="I90" s="5"/>
      <c r="J90" s="109"/>
      <c r="K90" s="48"/>
      <c r="L90" s="48"/>
      <c r="M90" s="109"/>
      <c r="N90" s="49"/>
      <c r="O90" s="49"/>
      <c r="P90" s="434"/>
      <c r="Q90" s="434"/>
      <c r="R90" s="434"/>
      <c r="T90" s="12"/>
      <c r="U90" s="12"/>
      <c r="V90" s="12"/>
    </row>
    <row r="91" spans="1:22" ht="15.75" customHeight="1" hidden="1">
      <c r="A91" s="41"/>
      <c r="B91" s="46"/>
      <c r="C91" s="46"/>
      <c r="D91" s="46"/>
      <c r="E91" s="47"/>
      <c r="F91" s="5"/>
      <c r="G91" s="104"/>
      <c r="H91" s="5"/>
      <c r="I91" s="5"/>
      <c r="J91" s="109"/>
      <c r="K91" s="48"/>
      <c r="L91" s="48"/>
      <c r="M91" s="109"/>
      <c r="N91" s="49"/>
      <c r="O91" s="49"/>
      <c r="P91" s="109"/>
      <c r="Q91" s="49"/>
      <c r="R91" s="109"/>
      <c r="T91" s="12"/>
      <c r="U91" s="12"/>
      <c r="V91" s="12"/>
    </row>
    <row r="92" spans="1:22" ht="26.25" customHeight="1">
      <c r="A92" s="468" t="s">
        <v>95</v>
      </c>
      <c r="B92" s="468"/>
      <c r="C92" s="468"/>
      <c r="D92" s="468"/>
      <c r="E92" s="468"/>
      <c r="F92" s="468"/>
      <c r="G92" s="468"/>
      <c r="H92" s="468"/>
      <c r="I92" s="468"/>
      <c r="J92" s="468"/>
      <c r="K92" s="468"/>
      <c r="L92" s="468"/>
      <c r="M92" s="468"/>
      <c r="N92" s="468"/>
      <c r="O92" s="468"/>
      <c r="P92" s="468"/>
      <c r="Q92" s="468"/>
      <c r="R92" s="468"/>
      <c r="T92" s="12"/>
      <c r="U92" s="12"/>
      <c r="V92" s="12"/>
    </row>
    <row r="93" spans="1:18" ht="25.5">
      <c r="A93" s="469" t="s">
        <v>15</v>
      </c>
      <c r="B93" s="478" t="s">
        <v>0</v>
      </c>
      <c r="C93" s="479"/>
      <c r="D93" s="480"/>
      <c r="E93" s="409" t="s">
        <v>1</v>
      </c>
      <c r="F93" s="409"/>
      <c r="G93" s="409"/>
      <c r="H93" s="409" t="s">
        <v>3</v>
      </c>
      <c r="I93" s="409"/>
      <c r="J93" s="409"/>
      <c r="K93" s="409" t="s">
        <v>4</v>
      </c>
      <c r="L93" s="409"/>
      <c r="M93" s="409"/>
      <c r="N93" s="409" t="s">
        <v>6</v>
      </c>
      <c r="O93" s="409"/>
      <c r="P93" s="409"/>
      <c r="Q93" s="409" t="s">
        <v>7</v>
      </c>
      <c r="R93" s="409"/>
    </row>
    <row r="94" spans="1:18" ht="25.5">
      <c r="A94" s="469"/>
      <c r="B94" s="481"/>
      <c r="C94" s="482"/>
      <c r="D94" s="483"/>
      <c r="F94" s="65" t="s">
        <v>10</v>
      </c>
      <c r="G94" s="108" t="s">
        <v>5</v>
      </c>
      <c r="H94" s="65" t="s">
        <v>10</v>
      </c>
      <c r="I94" s="65" t="s">
        <v>10</v>
      </c>
      <c r="J94" s="108" t="s">
        <v>5</v>
      </c>
      <c r="K94" s="65" t="s">
        <v>10</v>
      </c>
      <c r="L94" s="65" t="s">
        <v>10</v>
      </c>
      <c r="M94" s="108" t="s">
        <v>5</v>
      </c>
      <c r="N94" s="65" t="s">
        <v>10</v>
      </c>
      <c r="O94" s="65" t="s">
        <v>10</v>
      </c>
      <c r="P94" s="108" t="s">
        <v>5</v>
      </c>
      <c r="Q94" s="65" t="s">
        <v>10</v>
      </c>
      <c r="R94" s="108" t="s">
        <v>5</v>
      </c>
    </row>
    <row r="95" spans="1:21" s="97" customFormat="1" ht="32.25" customHeight="1">
      <c r="A95" s="103">
        <v>1</v>
      </c>
      <c r="B95" s="410" t="s">
        <v>33</v>
      </c>
      <c r="C95" s="411"/>
      <c r="D95" s="412"/>
      <c r="E95" s="91">
        <v>14.8</v>
      </c>
      <c r="F95" s="223">
        <v>3.3</v>
      </c>
      <c r="G95" s="222">
        <f>F95*F124</f>
        <v>127.21499999999999</v>
      </c>
      <c r="H95" s="93">
        <v>14.8</v>
      </c>
      <c r="I95" s="223">
        <v>3.3</v>
      </c>
      <c r="J95" s="222">
        <f>I95*F124</f>
        <v>127.21499999999999</v>
      </c>
      <c r="K95" s="93">
        <v>15</v>
      </c>
      <c r="L95" s="223">
        <v>3.4</v>
      </c>
      <c r="M95" s="222">
        <f>L95*G124</f>
        <v>136.306</v>
      </c>
      <c r="N95" s="93">
        <v>15</v>
      </c>
      <c r="O95" s="223">
        <v>3.3</v>
      </c>
      <c r="P95" s="238">
        <f>O95*G124</f>
        <v>132.297</v>
      </c>
      <c r="Q95" s="239">
        <f>F95+I95+L95+O95</f>
        <v>13.3</v>
      </c>
      <c r="R95" s="238">
        <v>523.05</v>
      </c>
      <c r="S95" s="94" t="s">
        <v>21</v>
      </c>
      <c r="T95" s="100"/>
      <c r="U95" s="100"/>
    </row>
    <row r="96" spans="1:21" s="97" customFormat="1" ht="32.25" customHeight="1">
      <c r="A96" s="103">
        <v>2</v>
      </c>
      <c r="B96" s="410" t="s">
        <v>41</v>
      </c>
      <c r="C96" s="411"/>
      <c r="D96" s="412"/>
      <c r="E96" s="98"/>
      <c r="F96" s="223">
        <f>F97+F98+F99+F100+F101+F102</f>
        <v>1459</v>
      </c>
      <c r="G96" s="222">
        <f>G97+G98+G99+G100+G101+G102</f>
        <v>61459.45</v>
      </c>
      <c r="H96" s="93"/>
      <c r="I96" s="223">
        <f>I97+I98+I99+I100+I101+I102</f>
        <v>1766.4</v>
      </c>
      <c r="J96" s="222">
        <f>J97+J98+J99+J100+J101+J102</f>
        <v>75812.92</v>
      </c>
      <c r="K96" s="93"/>
      <c r="L96" s="223">
        <f>L97+L98+L99+L100+L101+L102</f>
        <v>1840.8</v>
      </c>
      <c r="M96" s="222">
        <f>M97+M98+M99+M100+M101+M102</f>
        <v>83888.172</v>
      </c>
      <c r="N96" s="93"/>
      <c r="O96" s="223">
        <f>O97+O98+O99+O100+O101+O102</f>
        <v>1893.8</v>
      </c>
      <c r="P96" s="238">
        <f>P97+P98+P99+P100+P101+P102</f>
        <v>84927.942</v>
      </c>
      <c r="Q96" s="239">
        <f>Q97+Q98+Q99+Q100+Q101+Q102</f>
        <v>6960</v>
      </c>
      <c r="R96" s="238">
        <f>R97+R98+R99+R100+R101+R102</f>
        <v>306088.48399999994</v>
      </c>
      <c r="S96" s="94"/>
      <c r="T96" s="100"/>
      <c r="U96" s="100"/>
    </row>
    <row r="97" spans="1:21" s="18" customFormat="1" ht="49.5" customHeight="1">
      <c r="A97" s="33"/>
      <c r="B97" s="393" t="s">
        <v>34</v>
      </c>
      <c r="C97" s="394"/>
      <c r="D97" s="395"/>
      <c r="E97" s="8">
        <v>3068.8</v>
      </c>
      <c r="F97" s="227">
        <v>350</v>
      </c>
      <c r="G97" s="225">
        <f>F97*F124</f>
        <v>13492.499999999998</v>
      </c>
      <c r="H97" s="226">
        <v>2511</v>
      </c>
      <c r="I97" s="227">
        <v>300</v>
      </c>
      <c r="J97" s="225">
        <f>I97*F124</f>
        <v>11565</v>
      </c>
      <c r="K97" s="226">
        <v>2511</v>
      </c>
      <c r="L97" s="227">
        <v>308</v>
      </c>
      <c r="M97" s="225">
        <f>L97*G124</f>
        <v>12347.720000000001</v>
      </c>
      <c r="N97" s="226">
        <v>2511</v>
      </c>
      <c r="O97" s="227">
        <v>342</v>
      </c>
      <c r="P97" s="240">
        <f>O97*G124</f>
        <v>13710.78</v>
      </c>
      <c r="Q97" s="241">
        <f aca="true" t="shared" si="17" ref="Q97:R106">F97+I97+L97+O97</f>
        <v>1300</v>
      </c>
      <c r="R97" s="240">
        <f aca="true" t="shared" si="18" ref="R97:R102">G97+J97+M97+P97</f>
        <v>51116</v>
      </c>
      <c r="S97" s="67" t="s">
        <v>78</v>
      </c>
      <c r="T97" s="17"/>
      <c r="U97" s="17"/>
    </row>
    <row r="98" spans="1:21" ht="48.75" customHeight="1">
      <c r="A98" s="30"/>
      <c r="B98" s="393" t="s">
        <v>35</v>
      </c>
      <c r="C98" s="394"/>
      <c r="D98" s="395"/>
      <c r="E98" s="50">
        <v>609</v>
      </c>
      <c r="F98" s="227">
        <v>170</v>
      </c>
      <c r="G98" s="225">
        <f>F98*F124</f>
        <v>6553.499999999999</v>
      </c>
      <c r="H98" s="226">
        <v>609</v>
      </c>
      <c r="I98" s="227">
        <v>150</v>
      </c>
      <c r="J98" s="225">
        <f>I98*F124</f>
        <v>5782.5</v>
      </c>
      <c r="K98" s="226">
        <v>609</v>
      </c>
      <c r="L98" s="227">
        <v>170</v>
      </c>
      <c r="M98" s="225">
        <f>L98*G124</f>
        <v>6815.3</v>
      </c>
      <c r="N98" s="226">
        <v>609</v>
      </c>
      <c r="O98" s="227">
        <v>150</v>
      </c>
      <c r="P98" s="240">
        <f>O98*G124</f>
        <v>6013.500000000001</v>
      </c>
      <c r="Q98" s="241">
        <f t="shared" si="17"/>
        <v>640</v>
      </c>
      <c r="R98" s="240">
        <f t="shared" si="18"/>
        <v>25164.8</v>
      </c>
      <c r="S98" s="67" t="s">
        <v>78</v>
      </c>
      <c r="T98" s="13"/>
      <c r="U98" s="13"/>
    </row>
    <row r="99" spans="1:21" ht="47.25" customHeight="1">
      <c r="A99" s="33"/>
      <c r="B99" s="393" t="s">
        <v>36</v>
      </c>
      <c r="C99" s="394"/>
      <c r="D99" s="395"/>
      <c r="E99" s="8">
        <v>725.1</v>
      </c>
      <c r="F99" s="227">
        <v>350</v>
      </c>
      <c r="G99" s="225">
        <f>F99*F125</f>
        <v>17143</v>
      </c>
      <c r="H99" s="226">
        <v>885.2</v>
      </c>
      <c r="I99" s="227">
        <v>300</v>
      </c>
      <c r="J99" s="225">
        <f>I99*F125</f>
        <v>14693.999999999998</v>
      </c>
      <c r="K99" s="226">
        <v>727.3</v>
      </c>
      <c r="L99" s="227">
        <v>200</v>
      </c>
      <c r="M99" s="225">
        <f>L99*G125</f>
        <v>10188</v>
      </c>
      <c r="N99" s="226">
        <v>892.61</v>
      </c>
      <c r="O99" s="227">
        <v>350</v>
      </c>
      <c r="P99" s="240">
        <f>O99*G125</f>
        <v>17829</v>
      </c>
      <c r="Q99" s="241">
        <f t="shared" si="17"/>
        <v>1200</v>
      </c>
      <c r="R99" s="240">
        <f t="shared" si="18"/>
        <v>59854</v>
      </c>
      <c r="S99" s="67" t="s">
        <v>78</v>
      </c>
      <c r="T99" s="13"/>
      <c r="U99" s="13"/>
    </row>
    <row r="100" spans="1:21" ht="30.75" customHeight="1">
      <c r="A100" s="33"/>
      <c r="B100" s="408" t="s">
        <v>37</v>
      </c>
      <c r="C100" s="408"/>
      <c r="D100" s="408"/>
      <c r="E100" s="8">
        <v>1639</v>
      </c>
      <c r="F100" s="227">
        <v>150</v>
      </c>
      <c r="G100" s="225">
        <f>F100*F125</f>
        <v>7346.999999999999</v>
      </c>
      <c r="H100" s="226">
        <v>1584</v>
      </c>
      <c r="I100" s="227">
        <v>440</v>
      </c>
      <c r="J100" s="225">
        <f>I100*F125</f>
        <v>21551.199999999997</v>
      </c>
      <c r="K100" s="226">
        <v>1344</v>
      </c>
      <c r="L100" s="227">
        <v>730</v>
      </c>
      <c r="M100" s="225">
        <f>L100*G125</f>
        <v>37186.2</v>
      </c>
      <c r="N100" s="226">
        <v>1639</v>
      </c>
      <c r="O100" s="227">
        <v>480</v>
      </c>
      <c r="P100" s="240">
        <f>O100*G125</f>
        <v>24451.199999999997</v>
      </c>
      <c r="Q100" s="241">
        <f t="shared" si="17"/>
        <v>1800</v>
      </c>
      <c r="R100" s="240">
        <f t="shared" si="18"/>
        <v>90535.59999999999</v>
      </c>
      <c r="S100" s="67" t="s">
        <v>78</v>
      </c>
      <c r="T100" s="13"/>
      <c r="U100" s="13"/>
    </row>
    <row r="101" spans="1:21" s="120" customFormat="1" ht="33" customHeight="1">
      <c r="A101" s="121"/>
      <c r="B101" s="470" t="s">
        <v>38</v>
      </c>
      <c r="C101" s="470"/>
      <c r="D101" s="470"/>
      <c r="E101" s="116">
        <v>53.7</v>
      </c>
      <c r="F101" s="242">
        <v>400</v>
      </c>
      <c r="G101" s="243">
        <f>F101*F124</f>
        <v>15419.999999999998</v>
      </c>
      <c r="H101" s="244">
        <v>43.6</v>
      </c>
      <c r="I101" s="242">
        <v>550</v>
      </c>
      <c r="J101" s="243">
        <f>I101*F124</f>
        <v>21202.5</v>
      </c>
      <c r="K101" s="244">
        <v>43.8</v>
      </c>
      <c r="L101" s="242">
        <v>350</v>
      </c>
      <c r="M101" s="243">
        <f>L101*G124</f>
        <v>14031.500000000002</v>
      </c>
      <c r="N101" s="244">
        <v>43.8</v>
      </c>
      <c r="O101" s="242">
        <v>550</v>
      </c>
      <c r="P101" s="245">
        <f>O101*G124</f>
        <v>22049.500000000004</v>
      </c>
      <c r="Q101" s="246">
        <f t="shared" si="17"/>
        <v>1850</v>
      </c>
      <c r="R101" s="245">
        <f t="shared" si="18"/>
        <v>72703.5</v>
      </c>
      <c r="S101" s="117" t="s">
        <v>78</v>
      </c>
      <c r="T101" s="122"/>
      <c r="U101" s="122"/>
    </row>
    <row r="102" spans="1:21" s="120" customFormat="1" ht="54.75" customHeight="1">
      <c r="A102" s="121"/>
      <c r="B102" s="470" t="s">
        <v>39</v>
      </c>
      <c r="C102" s="470"/>
      <c r="D102" s="470"/>
      <c r="E102" s="116">
        <v>51</v>
      </c>
      <c r="F102" s="242">
        <v>39</v>
      </c>
      <c r="G102" s="243">
        <f>F102*F124</f>
        <v>1503.4499999999998</v>
      </c>
      <c r="H102" s="244">
        <v>48</v>
      </c>
      <c r="I102" s="242">
        <v>26.4</v>
      </c>
      <c r="J102" s="243">
        <f>I102*F124</f>
        <v>1017.7199999999999</v>
      </c>
      <c r="K102" s="244">
        <v>48</v>
      </c>
      <c r="L102" s="242">
        <v>82.8</v>
      </c>
      <c r="M102" s="243">
        <f>L102*G124</f>
        <v>3319.452</v>
      </c>
      <c r="N102" s="244">
        <v>51</v>
      </c>
      <c r="O102" s="242">
        <v>21.8</v>
      </c>
      <c r="P102" s="245">
        <f>O102*G124</f>
        <v>873.9620000000001</v>
      </c>
      <c r="Q102" s="246">
        <f t="shared" si="17"/>
        <v>170</v>
      </c>
      <c r="R102" s="245">
        <f t="shared" si="18"/>
        <v>6714.584</v>
      </c>
      <c r="S102" s="117" t="s">
        <v>78</v>
      </c>
      <c r="T102" s="122"/>
      <c r="U102" s="122"/>
    </row>
    <row r="103" spans="1:21" s="97" customFormat="1" ht="55.5" customHeight="1">
      <c r="A103" s="103">
        <v>3</v>
      </c>
      <c r="B103" s="410" t="s">
        <v>42</v>
      </c>
      <c r="C103" s="411"/>
      <c r="D103" s="412"/>
      <c r="E103" s="98">
        <v>76.86</v>
      </c>
      <c r="F103" s="232">
        <f>SUM(F104:F107)</f>
        <v>94.53</v>
      </c>
      <c r="G103" s="222">
        <f aca="true" t="shared" si="19" ref="G103:R103">SUM(G104:G107)</f>
        <v>3706.7114999999994</v>
      </c>
      <c r="H103" s="93">
        <f t="shared" si="19"/>
        <v>0</v>
      </c>
      <c r="I103" s="232">
        <f t="shared" si="19"/>
        <v>94.53</v>
      </c>
      <c r="J103" s="222">
        <f t="shared" si="19"/>
        <v>3706.7114999999994</v>
      </c>
      <c r="K103" s="93">
        <f t="shared" si="19"/>
        <v>0</v>
      </c>
      <c r="L103" s="232">
        <f t="shared" si="19"/>
        <v>94.53</v>
      </c>
      <c r="M103" s="222">
        <f t="shared" si="19"/>
        <v>3854.8077000000003</v>
      </c>
      <c r="N103" s="93">
        <f t="shared" si="19"/>
        <v>0</v>
      </c>
      <c r="O103" s="232">
        <f t="shared" si="19"/>
        <v>94.53</v>
      </c>
      <c r="P103" s="238">
        <f t="shared" si="19"/>
        <v>3854.8077000000003</v>
      </c>
      <c r="Q103" s="247">
        <f t="shared" si="19"/>
        <v>378.12</v>
      </c>
      <c r="R103" s="238">
        <f t="shared" si="19"/>
        <v>15123.038400000001</v>
      </c>
      <c r="S103" s="94" t="s">
        <v>21</v>
      </c>
      <c r="T103" s="100"/>
      <c r="U103" s="100"/>
    </row>
    <row r="104" spans="1:21" s="97" customFormat="1" ht="36" customHeight="1">
      <c r="A104" s="103"/>
      <c r="B104" s="418" t="s">
        <v>131</v>
      </c>
      <c r="C104" s="416"/>
      <c r="D104" s="417"/>
      <c r="E104" s="98"/>
      <c r="F104" s="382">
        <v>58.53</v>
      </c>
      <c r="G104" s="305">
        <f>F104*F124</f>
        <v>2256.3315</v>
      </c>
      <c r="H104" s="306"/>
      <c r="I104" s="382">
        <v>58.53</v>
      </c>
      <c r="J104" s="305">
        <f>I104*F124</f>
        <v>2256.3315</v>
      </c>
      <c r="K104" s="306"/>
      <c r="L104" s="382">
        <v>58.53</v>
      </c>
      <c r="M104" s="305">
        <f>L104*G124</f>
        <v>2346.4677</v>
      </c>
      <c r="N104" s="306"/>
      <c r="O104" s="382">
        <v>58.53</v>
      </c>
      <c r="P104" s="380">
        <f>O104*G124</f>
        <v>2346.4677</v>
      </c>
      <c r="Q104" s="381">
        <f t="shared" si="17"/>
        <v>234.12</v>
      </c>
      <c r="R104" s="380">
        <f t="shared" si="17"/>
        <v>9205.598399999999</v>
      </c>
      <c r="S104" s="94"/>
      <c r="T104" s="100"/>
      <c r="U104" s="100"/>
    </row>
    <row r="105" spans="1:21" s="97" customFormat="1" ht="34.5" customHeight="1">
      <c r="A105" s="103"/>
      <c r="B105" s="418" t="s">
        <v>132</v>
      </c>
      <c r="C105" s="416"/>
      <c r="D105" s="417"/>
      <c r="E105" s="98"/>
      <c r="F105" s="382">
        <v>6</v>
      </c>
      <c r="G105" s="305">
        <f>F105*F125</f>
        <v>293.88</v>
      </c>
      <c r="H105" s="306"/>
      <c r="I105" s="382">
        <v>6</v>
      </c>
      <c r="J105" s="305">
        <f>I105*F125</f>
        <v>293.88</v>
      </c>
      <c r="K105" s="306"/>
      <c r="L105" s="382">
        <v>6</v>
      </c>
      <c r="M105" s="305">
        <f>L105*G125</f>
        <v>305.64</v>
      </c>
      <c r="N105" s="306"/>
      <c r="O105" s="382">
        <v>6</v>
      </c>
      <c r="P105" s="380">
        <f>O105*G125</f>
        <v>305.64</v>
      </c>
      <c r="Q105" s="381">
        <f t="shared" si="17"/>
        <v>24</v>
      </c>
      <c r="R105" s="380">
        <f t="shared" si="17"/>
        <v>1199.04</v>
      </c>
      <c r="S105" s="94"/>
      <c r="T105" s="100"/>
      <c r="U105" s="100"/>
    </row>
    <row r="106" spans="1:21" ht="40.5" customHeight="1">
      <c r="A106" s="33"/>
      <c r="B106" s="393" t="s">
        <v>136</v>
      </c>
      <c r="C106" s="394"/>
      <c r="D106" s="395"/>
      <c r="E106" s="8"/>
      <c r="F106" s="227">
        <v>9</v>
      </c>
      <c r="G106" s="225">
        <f>F106*F124</f>
        <v>346.95</v>
      </c>
      <c r="H106" s="226"/>
      <c r="I106" s="227">
        <v>9</v>
      </c>
      <c r="J106" s="225">
        <f>I106*F124</f>
        <v>346.95</v>
      </c>
      <c r="K106" s="226"/>
      <c r="L106" s="227">
        <v>9</v>
      </c>
      <c r="M106" s="225">
        <f>L106*G124</f>
        <v>360.81000000000006</v>
      </c>
      <c r="N106" s="226"/>
      <c r="O106" s="227">
        <v>9</v>
      </c>
      <c r="P106" s="240">
        <f>O106*G124</f>
        <v>360.81000000000006</v>
      </c>
      <c r="Q106" s="241">
        <f t="shared" si="17"/>
        <v>36</v>
      </c>
      <c r="R106" s="240">
        <f>G106+J106+M106+P106</f>
        <v>1415.52</v>
      </c>
      <c r="S106" s="67"/>
      <c r="T106" s="13"/>
      <c r="U106" s="13"/>
    </row>
    <row r="107" spans="1:21" ht="38.25" customHeight="1">
      <c r="A107" s="33"/>
      <c r="B107" s="393" t="s">
        <v>137</v>
      </c>
      <c r="C107" s="394"/>
      <c r="D107" s="395"/>
      <c r="E107" s="8"/>
      <c r="F107" s="248">
        <v>21</v>
      </c>
      <c r="G107" s="225">
        <f>F107*F124</f>
        <v>809.55</v>
      </c>
      <c r="H107" s="60"/>
      <c r="I107" s="248">
        <v>21</v>
      </c>
      <c r="J107" s="225">
        <f>I107*F124</f>
        <v>809.55</v>
      </c>
      <c r="K107" s="60"/>
      <c r="L107" s="248">
        <v>21</v>
      </c>
      <c r="M107" s="225">
        <f>L107*G124</f>
        <v>841.8900000000001</v>
      </c>
      <c r="N107" s="60"/>
      <c r="O107" s="248">
        <v>21</v>
      </c>
      <c r="P107" s="240">
        <f>O107*G124</f>
        <v>841.8900000000001</v>
      </c>
      <c r="Q107" s="241">
        <f>F107+I107+L107+O107</f>
        <v>84</v>
      </c>
      <c r="R107" s="240">
        <f>G107+J107+M107+P107</f>
        <v>3302.88</v>
      </c>
      <c r="S107" s="67"/>
      <c r="T107" s="13"/>
      <c r="U107" s="13"/>
    </row>
    <row r="108" spans="1:21" s="97" customFormat="1" ht="30.75" customHeight="1">
      <c r="A108" s="103">
        <v>4</v>
      </c>
      <c r="B108" s="410" t="s">
        <v>43</v>
      </c>
      <c r="C108" s="411"/>
      <c r="D108" s="412"/>
      <c r="E108" s="98">
        <v>172</v>
      </c>
      <c r="F108" s="223">
        <f>F109</f>
        <v>23.4</v>
      </c>
      <c r="G108" s="222">
        <f>G109</f>
        <v>902.0699999999998</v>
      </c>
      <c r="H108" s="93"/>
      <c r="I108" s="223">
        <f>I109</f>
        <v>23.4</v>
      </c>
      <c r="J108" s="222">
        <f>J109</f>
        <v>902.0699999999998</v>
      </c>
      <c r="K108" s="93"/>
      <c r="L108" s="223">
        <f>L109</f>
        <v>23.7</v>
      </c>
      <c r="M108" s="222">
        <f>M109</f>
        <v>950.133</v>
      </c>
      <c r="N108" s="93"/>
      <c r="O108" s="223">
        <f>O109</f>
        <v>23.1</v>
      </c>
      <c r="P108" s="238">
        <f>P109</f>
        <v>926.0790000000002</v>
      </c>
      <c r="Q108" s="239">
        <f>Q109</f>
        <v>93.6</v>
      </c>
      <c r="R108" s="238">
        <f>R109</f>
        <v>3680.352</v>
      </c>
      <c r="S108" s="94" t="s">
        <v>21</v>
      </c>
      <c r="T108" s="100"/>
      <c r="U108" s="100"/>
    </row>
    <row r="109" spans="1:21" ht="36.75" customHeight="1">
      <c r="A109" s="33"/>
      <c r="B109" s="393" t="s">
        <v>44</v>
      </c>
      <c r="C109" s="394"/>
      <c r="D109" s="395"/>
      <c r="E109" s="8"/>
      <c r="F109" s="227">
        <v>23.4</v>
      </c>
      <c r="G109" s="225">
        <f>F109*F124</f>
        <v>902.0699999999998</v>
      </c>
      <c r="H109" s="226"/>
      <c r="I109" s="227">
        <v>23.4</v>
      </c>
      <c r="J109" s="225">
        <f>I109*F124</f>
        <v>902.0699999999998</v>
      </c>
      <c r="K109" s="226"/>
      <c r="L109" s="227">
        <v>23.7</v>
      </c>
      <c r="M109" s="225">
        <f>L109*G124</f>
        <v>950.133</v>
      </c>
      <c r="N109" s="226"/>
      <c r="O109" s="227">
        <v>23.1</v>
      </c>
      <c r="P109" s="240">
        <f>O109*G124</f>
        <v>926.0790000000002</v>
      </c>
      <c r="Q109" s="241">
        <f>F109+I109+L109+O109</f>
        <v>93.6</v>
      </c>
      <c r="R109" s="240">
        <f>G109+J109+M109+P109</f>
        <v>3680.352</v>
      </c>
      <c r="S109" s="67"/>
      <c r="T109" s="13"/>
      <c r="U109" s="13"/>
    </row>
    <row r="110" spans="1:21" s="97" customFormat="1" ht="48.75" customHeight="1">
      <c r="A110" s="103">
        <v>5</v>
      </c>
      <c r="B110" s="410" t="s">
        <v>47</v>
      </c>
      <c r="C110" s="411"/>
      <c r="D110" s="412"/>
      <c r="E110" s="98"/>
      <c r="F110" s="223">
        <f>F111+F112+F113+F114</f>
        <v>139.38</v>
      </c>
      <c r="G110" s="222">
        <f>G111+G112+G113+G114</f>
        <v>5542.065</v>
      </c>
      <c r="H110" s="93"/>
      <c r="I110" s="223">
        <f>I111+I112+I113+I114</f>
        <v>136.18</v>
      </c>
      <c r="J110" s="222">
        <f>J111+J112+J113+J114</f>
        <v>5610.83828</v>
      </c>
      <c r="K110" s="93"/>
      <c r="L110" s="223">
        <f>L111+L112+L113+L114</f>
        <v>129.14</v>
      </c>
      <c r="M110" s="222">
        <f>M111+M112+M113+M114</f>
        <v>5503.807600000001</v>
      </c>
      <c r="N110" s="93"/>
      <c r="O110" s="223">
        <f>O111+O112+O113+O114</f>
        <v>245.81</v>
      </c>
      <c r="P110" s="238">
        <f>P111+P112+P113+P114</f>
        <v>10122.5179</v>
      </c>
      <c r="Q110" s="239">
        <f>Q111+Q112+Q113+Q114</f>
        <v>650.51</v>
      </c>
      <c r="R110" s="238">
        <f>R111+R112+R113+R114</f>
        <v>26779.24078</v>
      </c>
      <c r="S110" s="94"/>
      <c r="T110" s="100"/>
      <c r="U110" s="100"/>
    </row>
    <row r="111" spans="1:21" ht="33.75" customHeight="1">
      <c r="A111" s="33"/>
      <c r="B111" s="393" t="s">
        <v>48</v>
      </c>
      <c r="C111" s="394"/>
      <c r="D111" s="395"/>
      <c r="E111" s="8"/>
      <c r="F111" s="227">
        <v>14.18</v>
      </c>
      <c r="G111" s="225">
        <f>F111*F124</f>
        <v>546.6389999999999</v>
      </c>
      <c r="H111" s="226"/>
      <c r="I111" s="227">
        <v>13.14</v>
      </c>
      <c r="J111" s="225">
        <f>I111*F124</f>
        <v>506.54699999999997</v>
      </c>
      <c r="K111" s="226"/>
      <c r="L111" s="227">
        <v>13.29</v>
      </c>
      <c r="M111" s="225">
        <f>L111*G124</f>
        <v>532.7961</v>
      </c>
      <c r="N111" s="226"/>
      <c r="O111" s="227">
        <v>32.91</v>
      </c>
      <c r="P111" s="240">
        <f>O111*G124</f>
        <v>1319.3618999999999</v>
      </c>
      <c r="Q111" s="241">
        <f aca="true" t="shared" si="20" ref="Q111:R114">F111+I111+L111+O111</f>
        <v>73.52</v>
      </c>
      <c r="R111" s="240">
        <v>2905.35</v>
      </c>
      <c r="S111" s="67"/>
      <c r="T111" s="13"/>
      <c r="U111" s="13"/>
    </row>
    <row r="112" spans="1:21" ht="33.75" customHeight="1">
      <c r="A112" s="33"/>
      <c r="B112" s="393" t="s">
        <v>49</v>
      </c>
      <c r="C112" s="394"/>
      <c r="D112" s="395"/>
      <c r="E112" s="8"/>
      <c r="F112" s="227">
        <v>48</v>
      </c>
      <c r="G112" s="225">
        <f>36*F124+12*F125</f>
        <v>1975.56</v>
      </c>
      <c r="H112" s="226"/>
      <c r="I112" s="227">
        <v>48</v>
      </c>
      <c r="J112" s="225">
        <f>36*F124+12*F125</f>
        <v>1975.56</v>
      </c>
      <c r="K112" s="226"/>
      <c r="L112" s="227">
        <v>72.35</v>
      </c>
      <c r="M112" s="225">
        <f>52.35*G124+20*G125</f>
        <v>3117.5115000000005</v>
      </c>
      <c r="N112" s="226"/>
      <c r="O112" s="227">
        <v>48</v>
      </c>
      <c r="P112" s="240">
        <f>36*G124+12*G125</f>
        <v>2054.5200000000004</v>
      </c>
      <c r="Q112" s="241">
        <f t="shared" si="20"/>
        <v>216.35</v>
      </c>
      <c r="R112" s="240">
        <f t="shared" si="20"/>
        <v>9123.1515</v>
      </c>
      <c r="S112" s="67"/>
      <c r="T112" s="13"/>
      <c r="U112" s="13"/>
    </row>
    <row r="113" spans="1:21" ht="33.75" customHeight="1">
      <c r="A113" s="33"/>
      <c r="B113" s="393" t="s">
        <v>50</v>
      </c>
      <c r="C113" s="394"/>
      <c r="D113" s="395"/>
      <c r="E113" s="8"/>
      <c r="F113" s="227">
        <v>32.2</v>
      </c>
      <c r="G113" s="225">
        <f>28*F124+4.2*F125</f>
        <v>1285.116</v>
      </c>
      <c r="H113" s="226"/>
      <c r="I113" s="227">
        <v>50.64</v>
      </c>
      <c r="J113" s="225">
        <f>28*F124+22.636*F125</f>
        <v>2188.11128</v>
      </c>
      <c r="K113" s="226"/>
      <c r="L113" s="227">
        <v>29.1</v>
      </c>
      <c r="M113" s="225">
        <f>19*G124+10.1*G125</f>
        <v>1276.204</v>
      </c>
      <c r="N113" s="226"/>
      <c r="O113" s="227">
        <v>31.7</v>
      </c>
      <c r="P113" s="240">
        <f>19*G124+12.7*G125</f>
        <v>1408.6480000000001</v>
      </c>
      <c r="Q113" s="241">
        <f t="shared" si="20"/>
        <v>143.64</v>
      </c>
      <c r="R113" s="240">
        <f t="shared" si="20"/>
        <v>6158.07928</v>
      </c>
      <c r="S113" s="67"/>
      <c r="T113" s="13"/>
      <c r="U113" s="13"/>
    </row>
    <row r="114" spans="1:21" ht="35.25" customHeight="1">
      <c r="A114" s="33"/>
      <c r="B114" s="408" t="s">
        <v>40</v>
      </c>
      <c r="C114" s="408"/>
      <c r="D114" s="408"/>
      <c r="E114" s="8"/>
      <c r="F114" s="227">
        <v>45</v>
      </c>
      <c r="G114" s="225">
        <f>F114*F124</f>
        <v>1734.7499999999998</v>
      </c>
      <c r="H114" s="226"/>
      <c r="I114" s="227">
        <v>24.4</v>
      </c>
      <c r="J114" s="225">
        <f>I114*F124</f>
        <v>940.6199999999999</v>
      </c>
      <c r="K114" s="226"/>
      <c r="L114" s="227">
        <v>14.4</v>
      </c>
      <c r="M114" s="225">
        <f>L114*G124</f>
        <v>577.296</v>
      </c>
      <c r="N114" s="226"/>
      <c r="O114" s="227">
        <v>133.2</v>
      </c>
      <c r="P114" s="240">
        <f>O114*G124</f>
        <v>5339.988</v>
      </c>
      <c r="Q114" s="241">
        <f t="shared" si="20"/>
        <v>217</v>
      </c>
      <c r="R114" s="240">
        <v>8592.66</v>
      </c>
      <c r="S114" s="67" t="s">
        <v>79</v>
      </c>
      <c r="T114" s="13"/>
      <c r="U114" s="13"/>
    </row>
    <row r="115" spans="1:21" s="97" customFormat="1" ht="30.75" customHeight="1">
      <c r="A115" s="103">
        <v>6</v>
      </c>
      <c r="B115" s="410" t="s">
        <v>53</v>
      </c>
      <c r="C115" s="411"/>
      <c r="D115" s="412"/>
      <c r="E115" s="98"/>
      <c r="F115" s="223">
        <f>F116+F117+F118</f>
        <v>2682</v>
      </c>
      <c r="G115" s="222">
        <f>G116+G117+G118</f>
        <v>103391.1</v>
      </c>
      <c r="H115" s="93"/>
      <c r="I115" s="223">
        <f>I116+I117+I118</f>
        <v>2575</v>
      </c>
      <c r="J115" s="222">
        <f>J116+J117+J118</f>
        <v>99266.25</v>
      </c>
      <c r="K115" s="93"/>
      <c r="L115" s="223">
        <f>L116+L117+L118</f>
        <v>2376</v>
      </c>
      <c r="M115" s="222">
        <f>M116+M117+M118</f>
        <v>95253.84000000001</v>
      </c>
      <c r="N115" s="93"/>
      <c r="O115" s="223">
        <f>O116+O117+O118</f>
        <v>2710</v>
      </c>
      <c r="P115" s="238">
        <f>P116+P117+P118</f>
        <v>108643.90000000001</v>
      </c>
      <c r="Q115" s="239">
        <f>Q116+Q117+Q118</f>
        <v>10343</v>
      </c>
      <c r="R115" s="238">
        <f>R116+R117+R118</f>
        <v>406555.09</v>
      </c>
      <c r="S115" s="94"/>
      <c r="T115" s="100"/>
      <c r="U115" s="100"/>
    </row>
    <row r="116" spans="1:21" ht="36.75" customHeight="1">
      <c r="A116" s="35"/>
      <c r="B116" s="422" t="s">
        <v>140</v>
      </c>
      <c r="C116" s="423"/>
      <c r="D116" s="424"/>
      <c r="E116" s="8"/>
      <c r="F116" s="227">
        <v>192</v>
      </c>
      <c r="G116" s="225">
        <f>F116*F124</f>
        <v>7401.599999999999</v>
      </c>
      <c r="H116" s="226"/>
      <c r="I116" s="227">
        <v>185</v>
      </c>
      <c r="J116" s="225">
        <f>I116*F124</f>
        <v>7131.749999999999</v>
      </c>
      <c r="K116" s="226"/>
      <c r="L116" s="227">
        <v>86</v>
      </c>
      <c r="M116" s="225">
        <f>L116*G124</f>
        <v>3447.7400000000002</v>
      </c>
      <c r="N116" s="226"/>
      <c r="O116" s="227">
        <v>220</v>
      </c>
      <c r="P116" s="240">
        <f>O116*G124</f>
        <v>8819.800000000001</v>
      </c>
      <c r="Q116" s="241">
        <f>F116+I116+L116+O116</f>
        <v>683</v>
      </c>
      <c r="R116" s="240">
        <f>G116+J116+M116+P116</f>
        <v>26800.89</v>
      </c>
      <c r="S116" s="67"/>
      <c r="T116" s="13"/>
      <c r="U116" s="13"/>
    </row>
    <row r="117" spans="1:21" ht="35.25" customHeight="1">
      <c r="A117" s="35"/>
      <c r="B117" s="393" t="s">
        <v>55</v>
      </c>
      <c r="C117" s="394"/>
      <c r="D117" s="395"/>
      <c r="E117" s="8"/>
      <c r="F117" s="227">
        <v>300</v>
      </c>
      <c r="G117" s="225">
        <f>F117*F124</f>
        <v>11565</v>
      </c>
      <c r="H117" s="226"/>
      <c r="I117" s="227">
        <v>200</v>
      </c>
      <c r="J117" s="225">
        <f>I117*F124</f>
        <v>7709.999999999999</v>
      </c>
      <c r="K117" s="226"/>
      <c r="L117" s="227">
        <v>100</v>
      </c>
      <c r="M117" s="225">
        <f>L117*G124</f>
        <v>4009.0000000000005</v>
      </c>
      <c r="N117" s="226"/>
      <c r="O117" s="227">
        <v>300</v>
      </c>
      <c r="P117" s="240">
        <f>O117*G124</f>
        <v>12027.000000000002</v>
      </c>
      <c r="Q117" s="241">
        <f>F117+I117+L117+O117</f>
        <v>900</v>
      </c>
      <c r="R117" s="240">
        <f>G117+J117+M117+P117</f>
        <v>35311</v>
      </c>
      <c r="S117" s="67"/>
      <c r="T117" s="13"/>
      <c r="U117" s="13"/>
    </row>
    <row r="118" spans="1:21" ht="36.75" customHeight="1">
      <c r="A118" s="35"/>
      <c r="B118" s="393" t="s">
        <v>84</v>
      </c>
      <c r="C118" s="394"/>
      <c r="D118" s="395"/>
      <c r="E118" s="8"/>
      <c r="F118" s="227">
        <v>2190</v>
      </c>
      <c r="G118" s="225">
        <f>SUM(F118)*F124</f>
        <v>84424.5</v>
      </c>
      <c r="H118" s="226"/>
      <c r="I118" s="227">
        <v>2190</v>
      </c>
      <c r="J118" s="225">
        <f>SUM(I118)*F124</f>
        <v>84424.5</v>
      </c>
      <c r="K118" s="226"/>
      <c r="L118" s="227">
        <v>2190</v>
      </c>
      <c r="M118" s="225">
        <f>SUM(L118)*G124</f>
        <v>87797.1</v>
      </c>
      <c r="N118" s="226"/>
      <c r="O118" s="227">
        <v>2190</v>
      </c>
      <c r="P118" s="240">
        <f>SUM(O118)*G124</f>
        <v>87797.1</v>
      </c>
      <c r="Q118" s="241">
        <f>F118+I118+L118+O118</f>
        <v>8760</v>
      </c>
      <c r="R118" s="240">
        <f>SUM(G118)+J118+M118+P118</f>
        <v>344443.2</v>
      </c>
      <c r="S118" s="67"/>
      <c r="T118" s="13"/>
      <c r="U118" s="13"/>
    </row>
    <row r="119" spans="1:21" ht="36.75" customHeight="1">
      <c r="A119" s="99">
        <v>7</v>
      </c>
      <c r="B119" s="410" t="s">
        <v>85</v>
      </c>
      <c r="C119" s="411"/>
      <c r="D119" s="412"/>
      <c r="E119" s="8"/>
      <c r="F119" s="282">
        <f>SUM(F120:F121)</f>
        <v>30</v>
      </c>
      <c r="G119" s="285">
        <f aca="true" t="shared" si="21" ref="G119:R119">SUM(G120:G121)</f>
        <v>1156.5</v>
      </c>
      <c r="H119" s="281">
        <f t="shared" si="21"/>
        <v>0</v>
      </c>
      <c r="I119" s="282">
        <f t="shared" si="21"/>
        <v>30</v>
      </c>
      <c r="J119" s="285">
        <f t="shared" si="21"/>
        <v>1156.5</v>
      </c>
      <c r="K119" s="281">
        <f t="shared" si="21"/>
        <v>0</v>
      </c>
      <c r="L119" s="282">
        <f t="shared" si="21"/>
        <v>30</v>
      </c>
      <c r="M119" s="285">
        <f t="shared" si="21"/>
        <v>1202.7</v>
      </c>
      <c r="N119" s="281">
        <f t="shared" si="21"/>
        <v>0</v>
      </c>
      <c r="O119" s="282">
        <f t="shared" si="21"/>
        <v>30</v>
      </c>
      <c r="P119" s="283">
        <f t="shared" si="21"/>
        <v>1202.7</v>
      </c>
      <c r="Q119" s="286">
        <f t="shared" si="21"/>
        <v>120</v>
      </c>
      <c r="R119" s="283">
        <f t="shared" si="21"/>
        <v>4718.4</v>
      </c>
      <c r="S119" s="67"/>
      <c r="T119" s="13"/>
      <c r="U119" s="13"/>
    </row>
    <row r="120" spans="1:21" ht="32.25" customHeight="1">
      <c r="A120" s="99"/>
      <c r="B120" s="399" t="s">
        <v>86</v>
      </c>
      <c r="C120" s="474"/>
      <c r="D120" s="475"/>
      <c r="E120" s="8"/>
      <c r="F120" s="227">
        <v>0</v>
      </c>
      <c r="G120" s="225">
        <f>SUM(F120)*F124</f>
        <v>0</v>
      </c>
      <c r="H120" s="226"/>
      <c r="I120" s="227">
        <v>0</v>
      </c>
      <c r="J120" s="225">
        <f>SUM(I120)*F124</f>
        <v>0</v>
      </c>
      <c r="K120" s="226"/>
      <c r="L120" s="227">
        <v>0</v>
      </c>
      <c r="M120" s="225">
        <f>SUM(L120)*G124</f>
        <v>0</v>
      </c>
      <c r="N120" s="226"/>
      <c r="O120" s="227">
        <v>0</v>
      </c>
      <c r="P120" s="240">
        <f>SUM(O120)*G124</f>
        <v>0</v>
      </c>
      <c r="Q120" s="241">
        <f>F120+I120+L120+O120</f>
        <v>0</v>
      </c>
      <c r="R120" s="240">
        <f>G120+J120+M120+P120</f>
        <v>0</v>
      </c>
      <c r="S120" s="67"/>
      <c r="T120" s="13"/>
      <c r="U120" s="13"/>
    </row>
    <row r="121" spans="1:21" ht="36.75" customHeight="1">
      <c r="A121" s="99"/>
      <c r="B121" s="399" t="s">
        <v>87</v>
      </c>
      <c r="C121" s="474"/>
      <c r="D121" s="475"/>
      <c r="E121" s="8"/>
      <c r="F121" s="227">
        <v>30</v>
      </c>
      <c r="G121" s="225">
        <f>SUM(F121)*F124</f>
        <v>1156.5</v>
      </c>
      <c r="H121" s="226"/>
      <c r="I121" s="227">
        <v>30</v>
      </c>
      <c r="J121" s="225">
        <f>SUM(I121)*F124</f>
        <v>1156.5</v>
      </c>
      <c r="K121" s="226"/>
      <c r="L121" s="227">
        <v>30</v>
      </c>
      <c r="M121" s="225">
        <f>SUM(L121)*G124</f>
        <v>1202.7</v>
      </c>
      <c r="N121" s="226"/>
      <c r="O121" s="227">
        <v>30</v>
      </c>
      <c r="P121" s="240">
        <f>SUM(O121)*G124</f>
        <v>1202.7</v>
      </c>
      <c r="Q121" s="241">
        <f>F121+I121+L121+O121</f>
        <v>120</v>
      </c>
      <c r="R121" s="240">
        <f>SUM(G121)+J121+M121+P121</f>
        <v>4718.4</v>
      </c>
      <c r="S121" s="67"/>
      <c r="T121" s="13"/>
      <c r="U121" s="13"/>
    </row>
    <row r="122" spans="1:22" ht="31.5" customHeight="1">
      <c r="A122" s="38"/>
      <c r="B122" s="491" t="s">
        <v>19</v>
      </c>
      <c r="C122" s="492"/>
      <c r="D122" s="493"/>
      <c r="E122" s="15" t="e">
        <f>E95+#REF!+#REF!+E97+E98+E99+#REF!+E100+E101+E102+E103+E108+#REF!</f>
        <v>#REF!</v>
      </c>
      <c r="F122" s="233">
        <f>F95+F96+F103+F108+F110+F115+F119</f>
        <v>4431.610000000001</v>
      </c>
      <c r="G122" s="234">
        <v>176285.12</v>
      </c>
      <c r="H122" s="60">
        <f aca="true" t="shared" si="22" ref="H122:Q122">H95+H96+H103+H108+H110+H115+H119</f>
        <v>14.8</v>
      </c>
      <c r="I122" s="60">
        <f t="shared" si="22"/>
        <v>4628.81</v>
      </c>
      <c r="J122" s="234">
        <v>186582.51</v>
      </c>
      <c r="K122" s="60">
        <f t="shared" si="22"/>
        <v>15</v>
      </c>
      <c r="L122" s="233">
        <f t="shared" si="22"/>
        <v>4497.57</v>
      </c>
      <c r="M122" s="234">
        <f t="shared" si="22"/>
        <v>190789.76630000002</v>
      </c>
      <c r="N122" s="60">
        <f t="shared" si="22"/>
        <v>15</v>
      </c>
      <c r="O122" s="233">
        <f t="shared" si="22"/>
        <v>5000.54</v>
      </c>
      <c r="P122" s="249">
        <v>209810.25</v>
      </c>
      <c r="Q122" s="250">
        <f t="shared" si="22"/>
        <v>18558.53</v>
      </c>
      <c r="R122" s="249">
        <v>763467.65</v>
      </c>
      <c r="T122" s="12"/>
      <c r="U122" s="12"/>
      <c r="V122" s="12"/>
    </row>
    <row r="123" spans="1:22" ht="26.25" customHeight="1">
      <c r="A123" s="38"/>
      <c r="B123" s="467" t="s">
        <v>17</v>
      </c>
      <c r="C123" s="467"/>
      <c r="D123" s="467"/>
      <c r="E123" s="409" t="s">
        <v>117</v>
      </c>
      <c r="F123" s="409"/>
      <c r="G123" s="409"/>
      <c r="H123" s="409"/>
      <c r="I123" s="409"/>
      <c r="J123" s="409"/>
      <c r="K123" s="409"/>
      <c r="L123" s="409"/>
      <c r="M123" s="409"/>
      <c r="N123" s="409"/>
      <c r="O123" s="409"/>
      <c r="P123" s="409"/>
      <c r="Q123" s="409"/>
      <c r="R123" s="409"/>
      <c r="T123" s="12"/>
      <c r="U123" s="12"/>
      <c r="V123" s="12"/>
    </row>
    <row r="124" spans="1:22" ht="25.5" customHeight="1">
      <c r="A124" s="47"/>
      <c r="B124" s="47"/>
      <c r="C124" s="47"/>
      <c r="D124" s="182"/>
      <c r="E124" s="182"/>
      <c r="F124" s="176">
        <v>38.55</v>
      </c>
      <c r="G124" s="179">
        <v>40.09</v>
      </c>
      <c r="H124" s="179"/>
      <c r="I124" s="179"/>
      <c r="J124" s="178"/>
      <c r="K124" s="43"/>
      <c r="L124" s="43"/>
      <c r="M124" s="104"/>
      <c r="N124" s="43"/>
      <c r="O124" s="43"/>
      <c r="P124" s="104"/>
      <c r="Q124" s="43"/>
      <c r="R124" s="104"/>
      <c r="T124" s="12"/>
      <c r="U124" s="12"/>
      <c r="V124" s="12"/>
    </row>
    <row r="125" spans="1:22" ht="33" customHeight="1">
      <c r="A125" s="47"/>
      <c r="B125" s="47"/>
      <c r="C125" s="47"/>
      <c r="D125" s="182"/>
      <c r="E125" s="182"/>
      <c r="F125" s="183">
        <v>48.98</v>
      </c>
      <c r="G125" s="179">
        <v>50.94</v>
      </c>
      <c r="H125" s="179"/>
      <c r="I125" s="179"/>
      <c r="J125" s="178"/>
      <c r="K125" s="43"/>
      <c r="L125" s="43"/>
      <c r="M125" s="104"/>
      <c r="N125" s="43"/>
      <c r="O125" s="43"/>
      <c r="P125" s="112"/>
      <c r="Q125" s="45"/>
      <c r="R125" s="104"/>
      <c r="T125" s="12"/>
      <c r="U125" s="12"/>
      <c r="V125" s="12"/>
    </row>
    <row r="126" spans="1:22" ht="34.5" customHeight="1">
      <c r="A126" s="468" t="s">
        <v>96</v>
      </c>
      <c r="B126" s="468"/>
      <c r="C126" s="468"/>
      <c r="D126" s="468"/>
      <c r="E126" s="468"/>
      <c r="F126" s="468"/>
      <c r="G126" s="468"/>
      <c r="H126" s="468"/>
      <c r="I126" s="468"/>
      <c r="J126" s="468"/>
      <c r="K126" s="468"/>
      <c r="L126" s="468"/>
      <c r="M126" s="468"/>
      <c r="N126" s="468"/>
      <c r="O126" s="468"/>
      <c r="P126" s="468"/>
      <c r="Q126" s="468"/>
      <c r="R126" s="468"/>
      <c r="T126" s="12"/>
      <c r="U126" s="12"/>
      <c r="V126" s="12"/>
    </row>
    <row r="127" spans="1:22" ht="25.5">
      <c r="A127" s="469" t="s">
        <v>15</v>
      </c>
      <c r="B127" s="478" t="s">
        <v>0</v>
      </c>
      <c r="C127" s="479"/>
      <c r="D127" s="480"/>
      <c r="E127" s="409" t="s">
        <v>1</v>
      </c>
      <c r="F127" s="409"/>
      <c r="G127" s="409"/>
      <c r="H127" s="409" t="s">
        <v>3</v>
      </c>
      <c r="I127" s="409"/>
      <c r="J127" s="409"/>
      <c r="K127" s="409" t="s">
        <v>4</v>
      </c>
      <c r="L127" s="409"/>
      <c r="M127" s="409"/>
      <c r="N127" s="409" t="s">
        <v>6</v>
      </c>
      <c r="O127" s="409"/>
      <c r="P127" s="409"/>
      <c r="Q127" s="409" t="s">
        <v>7</v>
      </c>
      <c r="R127" s="409"/>
      <c r="T127" s="12"/>
      <c r="U127" s="12"/>
      <c r="V127" s="12"/>
    </row>
    <row r="128" spans="1:22" ht="25.5">
      <c r="A128" s="469"/>
      <c r="B128" s="481"/>
      <c r="C128" s="482"/>
      <c r="D128" s="483"/>
      <c r="E128" s="65" t="s">
        <v>10</v>
      </c>
      <c r="F128" s="65" t="s">
        <v>10</v>
      </c>
      <c r="G128" s="108" t="s">
        <v>5</v>
      </c>
      <c r="H128" s="65" t="s">
        <v>10</v>
      </c>
      <c r="I128" s="65" t="s">
        <v>10</v>
      </c>
      <c r="J128" s="108" t="s">
        <v>5</v>
      </c>
      <c r="K128" s="65" t="s">
        <v>10</v>
      </c>
      <c r="L128" s="65" t="s">
        <v>10</v>
      </c>
      <c r="M128" s="108" t="s">
        <v>5</v>
      </c>
      <c r="N128" s="65" t="s">
        <v>10</v>
      </c>
      <c r="O128" s="65" t="s">
        <v>10</v>
      </c>
      <c r="P128" s="108" t="s">
        <v>5</v>
      </c>
      <c r="Q128" s="65" t="s">
        <v>10</v>
      </c>
      <c r="R128" s="108" t="s">
        <v>5</v>
      </c>
      <c r="T128" s="12"/>
      <c r="U128" s="12"/>
      <c r="V128" s="12"/>
    </row>
    <row r="129" spans="1:22" s="97" customFormat="1" ht="25.5" customHeight="1">
      <c r="A129" s="103">
        <v>1</v>
      </c>
      <c r="B129" s="410" t="s">
        <v>33</v>
      </c>
      <c r="C129" s="411"/>
      <c r="D129" s="412"/>
      <c r="E129" s="98">
        <v>17.5</v>
      </c>
      <c r="F129" s="223">
        <v>12.3</v>
      </c>
      <c r="G129" s="238">
        <f>F129*F158</f>
        <v>495.567</v>
      </c>
      <c r="H129" s="93">
        <v>17.5</v>
      </c>
      <c r="I129" s="223">
        <v>8.3</v>
      </c>
      <c r="J129" s="238">
        <f>I129*F158</f>
        <v>334.40700000000004</v>
      </c>
      <c r="K129" s="93">
        <v>17.5</v>
      </c>
      <c r="L129" s="223">
        <v>5.4</v>
      </c>
      <c r="M129" s="238">
        <f>L129*G158</f>
        <v>226.26000000000002</v>
      </c>
      <c r="N129" s="93">
        <v>17.5</v>
      </c>
      <c r="O129" s="223">
        <v>11.3</v>
      </c>
      <c r="P129" s="238">
        <f>O129*G158</f>
        <v>473.47</v>
      </c>
      <c r="Q129" s="93">
        <f>F129+I129+L129+O129</f>
        <v>37.3</v>
      </c>
      <c r="R129" s="222">
        <v>1529.71</v>
      </c>
      <c r="S129" s="94"/>
      <c r="T129" s="96"/>
      <c r="U129" s="96"/>
      <c r="V129" s="95"/>
    </row>
    <row r="130" spans="1:22" s="97" customFormat="1" ht="36" customHeight="1">
      <c r="A130" s="103">
        <v>2</v>
      </c>
      <c r="B130" s="410" t="s">
        <v>41</v>
      </c>
      <c r="C130" s="411"/>
      <c r="D130" s="412"/>
      <c r="E130" s="98"/>
      <c r="F130" s="223">
        <f>F131+F132+F133+F134+F135+F136</f>
        <v>2337.2799999999997</v>
      </c>
      <c r="G130" s="238">
        <f>G131+G132+G133+G134+G136+G135</f>
        <v>78742.1112</v>
      </c>
      <c r="H130" s="93"/>
      <c r="I130" s="223">
        <f>I131+I132+I133+I134+I135+I136</f>
        <v>2346.05</v>
      </c>
      <c r="J130" s="238">
        <v>70243.96</v>
      </c>
      <c r="K130" s="93"/>
      <c r="L130" s="223">
        <f>L131+L132+L133+L134+L135+L136</f>
        <v>2354.71</v>
      </c>
      <c r="M130" s="238">
        <f>M131+M132+M133+M134+M135+M136</f>
        <v>72888.349</v>
      </c>
      <c r="N130" s="93"/>
      <c r="O130" s="223">
        <f>O131+O132+O133+O134+O135+O136</f>
        <v>2390.2300000000005</v>
      </c>
      <c r="P130" s="238">
        <f>P131+P132+P133+P134+P135+P136</f>
        <v>75165.63699999999</v>
      </c>
      <c r="Q130" s="93">
        <f>Q131+Q132+Q134+Q135+Q136+Q133</f>
        <v>9428.27</v>
      </c>
      <c r="R130" s="222">
        <v>297040.06</v>
      </c>
      <c r="S130" s="94"/>
      <c r="T130" s="96"/>
      <c r="U130" s="96"/>
      <c r="V130" s="95"/>
    </row>
    <row r="131" spans="1:21" ht="51.75" customHeight="1">
      <c r="A131" s="35"/>
      <c r="B131" s="393" t="s">
        <v>34</v>
      </c>
      <c r="C131" s="394"/>
      <c r="D131" s="395"/>
      <c r="E131" s="8">
        <v>2715</v>
      </c>
      <c r="F131" s="227">
        <v>748.28</v>
      </c>
      <c r="G131" s="240">
        <f>F131*F158</f>
        <v>30148.2012</v>
      </c>
      <c r="H131" s="226">
        <v>2715</v>
      </c>
      <c r="I131" s="227">
        <v>409.15</v>
      </c>
      <c r="J131" s="240">
        <f>I131*F158</f>
        <v>16484.6535</v>
      </c>
      <c r="K131" s="226">
        <v>2715</v>
      </c>
      <c r="L131" s="227">
        <v>662.91</v>
      </c>
      <c r="M131" s="240">
        <f>L131*G158</f>
        <v>27775.928999999996</v>
      </c>
      <c r="N131" s="226">
        <v>2715</v>
      </c>
      <c r="O131" s="227">
        <v>464.93</v>
      </c>
      <c r="P131" s="240">
        <f>O131*G158</f>
        <v>19480.567</v>
      </c>
      <c r="Q131" s="226">
        <f aca="true" t="shared" si="23" ref="Q131:Q140">F131+I131+L131+O131</f>
        <v>2285.2699999999995</v>
      </c>
      <c r="R131" s="225">
        <f aca="true" t="shared" si="24" ref="R131:R139">G131+J131+M131+P131</f>
        <v>93889.3507</v>
      </c>
      <c r="S131" s="67" t="s">
        <v>78</v>
      </c>
      <c r="T131" s="13"/>
      <c r="U131" s="13"/>
    </row>
    <row r="132" spans="1:22" ht="51.75" customHeight="1">
      <c r="A132" s="35"/>
      <c r="B132" s="419" t="s">
        <v>35</v>
      </c>
      <c r="C132" s="420"/>
      <c r="D132" s="421"/>
      <c r="E132" s="8">
        <v>816</v>
      </c>
      <c r="F132" s="227">
        <v>250</v>
      </c>
      <c r="G132" s="240">
        <f>F132*F158</f>
        <v>10072.5</v>
      </c>
      <c r="H132" s="226">
        <v>816</v>
      </c>
      <c r="I132" s="227">
        <v>230</v>
      </c>
      <c r="J132" s="240">
        <f>I132*F158</f>
        <v>9266.699999999999</v>
      </c>
      <c r="K132" s="226">
        <v>816</v>
      </c>
      <c r="L132" s="227">
        <v>230</v>
      </c>
      <c r="M132" s="240">
        <f>L132*G158</f>
        <v>9637</v>
      </c>
      <c r="N132" s="226">
        <v>816</v>
      </c>
      <c r="O132" s="227">
        <v>250</v>
      </c>
      <c r="P132" s="240">
        <f>O132*G158</f>
        <v>10475</v>
      </c>
      <c r="Q132" s="226">
        <f t="shared" si="23"/>
        <v>960</v>
      </c>
      <c r="R132" s="225">
        <f t="shared" si="24"/>
        <v>39451.2</v>
      </c>
      <c r="S132" s="67" t="s">
        <v>78</v>
      </c>
      <c r="T132" s="11"/>
      <c r="U132" s="11"/>
      <c r="V132" s="12"/>
    </row>
    <row r="133" spans="1:22" ht="51" customHeight="1">
      <c r="A133" s="35"/>
      <c r="B133" s="393" t="s">
        <v>36</v>
      </c>
      <c r="C133" s="394"/>
      <c r="D133" s="395"/>
      <c r="E133" s="8">
        <v>910.2</v>
      </c>
      <c r="F133" s="227">
        <v>400</v>
      </c>
      <c r="G133" s="240">
        <f>F133*F159</f>
        <v>6000</v>
      </c>
      <c r="H133" s="226">
        <v>1072.5</v>
      </c>
      <c r="I133" s="227">
        <v>450</v>
      </c>
      <c r="J133" s="240">
        <f>I133*F159</f>
        <v>6750</v>
      </c>
      <c r="K133" s="226">
        <v>905.1</v>
      </c>
      <c r="L133" s="227">
        <v>200</v>
      </c>
      <c r="M133" s="240">
        <f>L133*G159</f>
        <v>3120</v>
      </c>
      <c r="N133" s="226">
        <v>1121.6</v>
      </c>
      <c r="O133" s="227">
        <v>400</v>
      </c>
      <c r="P133" s="240">
        <f>O133*G159</f>
        <v>6240</v>
      </c>
      <c r="Q133" s="226">
        <f t="shared" si="23"/>
        <v>1450</v>
      </c>
      <c r="R133" s="225">
        <f t="shared" si="24"/>
        <v>22110</v>
      </c>
      <c r="S133" s="67" t="s">
        <v>78</v>
      </c>
      <c r="T133" s="11"/>
      <c r="U133" s="11"/>
      <c r="V133" s="12"/>
    </row>
    <row r="134" spans="1:22" ht="36" customHeight="1">
      <c r="A134" s="35"/>
      <c r="B134" s="408" t="s">
        <v>37</v>
      </c>
      <c r="C134" s="408"/>
      <c r="D134" s="408"/>
      <c r="E134" s="8">
        <v>1845</v>
      </c>
      <c r="F134" s="227">
        <v>210</v>
      </c>
      <c r="G134" s="240">
        <f>F134*F159</f>
        <v>3150</v>
      </c>
      <c r="H134" s="226">
        <v>1803</v>
      </c>
      <c r="I134" s="227">
        <v>510</v>
      </c>
      <c r="J134" s="240">
        <f>I134*F159</f>
        <v>7650</v>
      </c>
      <c r="K134" s="226">
        <v>1803</v>
      </c>
      <c r="L134" s="227">
        <v>780</v>
      </c>
      <c r="M134" s="240">
        <f>L134*G159</f>
        <v>12168</v>
      </c>
      <c r="N134" s="226">
        <v>1813.3</v>
      </c>
      <c r="O134" s="227">
        <v>550</v>
      </c>
      <c r="P134" s="240">
        <f>O134*G159</f>
        <v>8580</v>
      </c>
      <c r="Q134" s="226">
        <f t="shared" si="23"/>
        <v>2050</v>
      </c>
      <c r="R134" s="225">
        <f t="shared" si="24"/>
        <v>31548</v>
      </c>
      <c r="S134" s="67" t="s">
        <v>78</v>
      </c>
      <c r="T134" s="11"/>
      <c r="U134" s="11"/>
      <c r="V134" s="12"/>
    </row>
    <row r="135" spans="1:22" s="120" customFormat="1" ht="33" customHeight="1">
      <c r="A135" s="123"/>
      <c r="B135" s="470" t="s">
        <v>38</v>
      </c>
      <c r="C135" s="470"/>
      <c r="D135" s="470"/>
      <c r="E135" s="116">
        <v>74.5</v>
      </c>
      <c r="F135" s="242">
        <v>675</v>
      </c>
      <c r="G135" s="245">
        <f>F135*F158</f>
        <v>27195.75</v>
      </c>
      <c r="H135" s="244">
        <v>72.8</v>
      </c>
      <c r="I135" s="242">
        <v>706.5</v>
      </c>
      <c r="J135" s="245">
        <f>I135*F158</f>
        <v>28464.885</v>
      </c>
      <c r="K135" s="244">
        <v>72.9</v>
      </c>
      <c r="L135" s="242">
        <v>400</v>
      </c>
      <c r="M135" s="245">
        <f>L135*G158</f>
        <v>16760</v>
      </c>
      <c r="N135" s="244">
        <v>72.9</v>
      </c>
      <c r="O135" s="242">
        <v>658.5</v>
      </c>
      <c r="P135" s="245">
        <f>O135*G158</f>
        <v>27591.149999999998</v>
      </c>
      <c r="Q135" s="244">
        <f t="shared" si="23"/>
        <v>2440</v>
      </c>
      <c r="R135" s="243">
        <f t="shared" si="24"/>
        <v>100011.78499999999</v>
      </c>
      <c r="S135" s="117" t="s">
        <v>78</v>
      </c>
      <c r="T135" s="119"/>
      <c r="U135" s="119"/>
      <c r="V135" s="118"/>
    </row>
    <row r="136" spans="1:22" s="120" customFormat="1" ht="55.5" customHeight="1">
      <c r="A136" s="123"/>
      <c r="B136" s="470" t="s">
        <v>39</v>
      </c>
      <c r="C136" s="470"/>
      <c r="D136" s="470"/>
      <c r="E136" s="116">
        <v>88.6</v>
      </c>
      <c r="F136" s="251">
        <v>54</v>
      </c>
      <c r="G136" s="245">
        <f>F136*F158</f>
        <v>2175.66</v>
      </c>
      <c r="H136" s="244">
        <v>88.5</v>
      </c>
      <c r="I136" s="252">
        <v>40.4</v>
      </c>
      <c r="J136" s="245">
        <f>I136*F158</f>
        <v>1627.716</v>
      </c>
      <c r="K136" s="244">
        <v>88.5</v>
      </c>
      <c r="L136" s="242">
        <v>81.8</v>
      </c>
      <c r="M136" s="245">
        <f>L136*G158</f>
        <v>3427.4199999999996</v>
      </c>
      <c r="N136" s="244">
        <v>88.5</v>
      </c>
      <c r="O136" s="252">
        <v>66.8</v>
      </c>
      <c r="P136" s="245">
        <f>O136*G158</f>
        <v>2798.9199999999996</v>
      </c>
      <c r="Q136" s="244">
        <f>F136+I136+L136+O136</f>
        <v>243</v>
      </c>
      <c r="R136" s="243">
        <f t="shared" si="24"/>
        <v>10029.715999999999</v>
      </c>
      <c r="S136" s="117" t="s">
        <v>78</v>
      </c>
      <c r="T136" s="119"/>
      <c r="U136" s="119"/>
      <c r="V136" s="118"/>
    </row>
    <row r="137" spans="1:22" s="97" customFormat="1" ht="51.75" customHeight="1">
      <c r="A137" s="103">
        <v>3</v>
      </c>
      <c r="B137" s="410" t="s">
        <v>42</v>
      </c>
      <c r="C137" s="411"/>
      <c r="D137" s="412"/>
      <c r="E137" s="98">
        <v>118.05</v>
      </c>
      <c r="F137" s="327">
        <f>SUM(F138:F141)</f>
        <v>82.53</v>
      </c>
      <c r="G137" s="238">
        <f aca="true" t="shared" si="25" ref="G137:P137">SUM(G138:G141)</f>
        <v>3097.5236999999997</v>
      </c>
      <c r="H137" s="93">
        <f t="shared" si="25"/>
        <v>0</v>
      </c>
      <c r="I137" s="327">
        <f t="shared" si="25"/>
        <v>82.53</v>
      </c>
      <c r="J137" s="238">
        <f t="shared" si="25"/>
        <v>3097.5236999999997</v>
      </c>
      <c r="K137" s="93">
        <f t="shared" si="25"/>
        <v>0</v>
      </c>
      <c r="L137" s="327">
        <f t="shared" si="25"/>
        <v>82.53</v>
      </c>
      <c r="M137" s="238">
        <f t="shared" si="25"/>
        <v>3221.3070000000002</v>
      </c>
      <c r="N137" s="93">
        <f t="shared" si="25"/>
        <v>0</v>
      </c>
      <c r="O137" s="327">
        <f t="shared" si="25"/>
        <v>82.53</v>
      </c>
      <c r="P137" s="238">
        <f t="shared" si="25"/>
        <v>3221.3070000000002</v>
      </c>
      <c r="Q137" s="323">
        <f>F137+I137+L137+O137</f>
        <v>330.12</v>
      </c>
      <c r="R137" s="222">
        <f t="shared" si="24"/>
        <v>12637.6614</v>
      </c>
      <c r="S137" s="94"/>
      <c r="T137" s="96"/>
      <c r="U137" s="96"/>
      <c r="V137" s="95"/>
    </row>
    <row r="138" spans="1:22" s="97" customFormat="1" ht="35.25" customHeight="1">
      <c r="A138" s="103"/>
      <c r="B138" s="418" t="s">
        <v>131</v>
      </c>
      <c r="C138" s="400"/>
      <c r="D138" s="401"/>
      <c r="E138" s="98"/>
      <c r="F138" s="382">
        <v>58.53</v>
      </c>
      <c r="G138" s="380">
        <f>F138*F158</f>
        <v>2358.1737</v>
      </c>
      <c r="H138" s="306"/>
      <c r="I138" s="382">
        <v>58.53</v>
      </c>
      <c r="J138" s="380">
        <f>I138*F158</f>
        <v>2358.1737</v>
      </c>
      <c r="K138" s="306"/>
      <c r="L138" s="382">
        <v>58.53</v>
      </c>
      <c r="M138" s="380">
        <f>L138*G158</f>
        <v>2452.407</v>
      </c>
      <c r="N138" s="306"/>
      <c r="O138" s="382">
        <v>58.53</v>
      </c>
      <c r="P138" s="380">
        <f>O138*G158</f>
        <v>2452.407</v>
      </c>
      <c r="Q138" s="383">
        <f>F138+I138+L138+O138</f>
        <v>234.12</v>
      </c>
      <c r="R138" s="305">
        <f t="shared" si="24"/>
        <v>9621.1614</v>
      </c>
      <c r="S138" s="94"/>
      <c r="T138" s="96"/>
      <c r="U138" s="96"/>
      <c r="V138" s="95"/>
    </row>
    <row r="139" spans="1:22" s="97" customFormat="1" ht="35.25" customHeight="1">
      <c r="A139" s="103"/>
      <c r="B139" s="418" t="s">
        <v>132</v>
      </c>
      <c r="C139" s="416"/>
      <c r="D139" s="417"/>
      <c r="E139" s="98"/>
      <c r="F139" s="382">
        <v>9</v>
      </c>
      <c r="G139" s="380">
        <f>F139*F159</f>
        <v>135</v>
      </c>
      <c r="H139" s="306"/>
      <c r="I139" s="382">
        <v>9</v>
      </c>
      <c r="J139" s="380">
        <f>I139*F159</f>
        <v>135</v>
      </c>
      <c r="K139" s="306"/>
      <c r="L139" s="382">
        <v>9</v>
      </c>
      <c r="M139" s="380">
        <f>L139*G159</f>
        <v>140.4</v>
      </c>
      <c r="N139" s="306"/>
      <c r="O139" s="382">
        <v>9</v>
      </c>
      <c r="P139" s="380">
        <f>O139*G159</f>
        <v>140.4</v>
      </c>
      <c r="Q139" s="383">
        <f>F139+I139+L139+O139</f>
        <v>36</v>
      </c>
      <c r="R139" s="305">
        <f t="shared" si="24"/>
        <v>550.8</v>
      </c>
      <c r="S139" s="94"/>
      <c r="T139" s="96"/>
      <c r="U139" s="96"/>
      <c r="V139" s="95"/>
    </row>
    <row r="140" spans="1:22" ht="35.25" customHeight="1">
      <c r="A140" s="33"/>
      <c r="B140" s="393" t="s">
        <v>136</v>
      </c>
      <c r="C140" s="394"/>
      <c r="D140" s="395"/>
      <c r="E140" s="8"/>
      <c r="F140" s="227">
        <v>15</v>
      </c>
      <c r="G140" s="240">
        <f>F140*F158</f>
        <v>604.35</v>
      </c>
      <c r="H140" s="60"/>
      <c r="I140" s="227">
        <v>15</v>
      </c>
      <c r="J140" s="240">
        <f>I140*F158</f>
        <v>604.35</v>
      </c>
      <c r="K140" s="226"/>
      <c r="L140" s="227">
        <v>15</v>
      </c>
      <c r="M140" s="240">
        <f>L140*G158</f>
        <v>628.5</v>
      </c>
      <c r="N140" s="226"/>
      <c r="O140" s="227">
        <v>15</v>
      </c>
      <c r="P140" s="240">
        <f>O140*G158</f>
        <v>628.5</v>
      </c>
      <c r="Q140" s="226">
        <f t="shared" si="23"/>
        <v>60</v>
      </c>
      <c r="R140" s="225">
        <f>G140+J140+M140+P140</f>
        <v>2465.7</v>
      </c>
      <c r="S140" s="67"/>
      <c r="T140" s="11"/>
      <c r="U140" s="11"/>
      <c r="V140" s="12"/>
    </row>
    <row r="141" spans="1:22" ht="32.25" customHeight="1">
      <c r="A141" s="33"/>
      <c r="B141" s="393" t="s">
        <v>137</v>
      </c>
      <c r="C141" s="394"/>
      <c r="D141" s="395"/>
      <c r="E141" s="8"/>
      <c r="F141" s="317">
        <v>0</v>
      </c>
      <c r="G141" s="240">
        <f>F141*F158</f>
        <v>0</v>
      </c>
      <c r="H141" s="60"/>
      <c r="I141" s="317">
        <v>0</v>
      </c>
      <c r="J141" s="240">
        <f>I141*F158</f>
        <v>0</v>
      </c>
      <c r="K141" s="226"/>
      <c r="L141" s="317">
        <v>0</v>
      </c>
      <c r="M141" s="240">
        <f>L141*G158</f>
        <v>0</v>
      </c>
      <c r="N141" s="226"/>
      <c r="O141" s="317">
        <v>0</v>
      </c>
      <c r="P141" s="240">
        <f>O141*G158</f>
        <v>0</v>
      </c>
      <c r="Q141" s="226">
        <f>F141+I141+L141+O141</f>
        <v>0</v>
      </c>
      <c r="R141" s="225">
        <f>G141+J141+M141+P141</f>
        <v>0</v>
      </c>
      <c r="S141" s="67"/>
      <c r="T141" s="11"/>
      <c r="U141" s="11"/>
      <c r="V141" s="12"/>
    </row>
    <row r="142" spans="1:22" s="97" customFormat="1" ht="33.75" customHeight="1">
      <c r="A142" s="103">
        <v>4</v>
      </c>
      <c r="B142" s="410" t="s">
        <v>43</v>
      </c>
      <c r="C142" s="411"/>
      <c r="D142" s="412"/>
      <c r="E142" s="98">
        <v>180</v>
      </c>
      <c r="F142" s="223">
        <f>F143</f>
        <v>23.4</v>
      </c>
      <c r="G142" s="238">
        <f>G143</f>
        <v>942.786</v>
      </c>
      <c r="H142" s="93"/>
      <c r="I142" s="223">
        <f>I143</f>
        <v>23.4</v>
      </c>
      <c r="J142" s="238">
        <f>J143</f>
        <v>942.786</v>
      </c>
      <c r="K142" s="93"/>
      <c r="L142" s="223">
        <f>L143</f>
        <v>23.7</v>
      </c>
      <c r="M142" s="238">
        <f>M143</f>
        <v>993.03</v>
      </c>
      <c r="N142" s="93"/>
      <c r="O142" s="223">
        <f>O143</f>
        <v>23.1</v>
      </c>
      <c r="P142" s="238">
        <f>P143</f>
        <v>967.89</v>
      </c>
      <c r="Q142" s="93">
        <f>Q143</f>
        <v>93.6</v>
      </c>
      <c r="R142" s="222">
        <f>R143</f>
        <v>3846.5</v>
      </c>
      <c r="S142" s="94"/>
      <c r="T142" s="96"/>
      <c r="U142" s="96"/>
      <c r="V142" s="95"/>
    </row>
    <row r="143" spans="1:22" ht="33.75" customHeight="1">
      <c r="A143" s="35"/>
      <c r="B143" s="393" t="s">
        <v>44</v>
      </c>
      <c r="C143" s="394"/>
      <c r="D143" s="395"/>
      <c r="E143" s="8"/>
      <c r="F143" s="227">
        <v>23.4</v>
      </c>
      <c r="G143" s="240">
        <f>F143*F158</f>
        <v>942.786</v>
      </c>
      <c r="H143" s="226"/>
      <c r="I143" s="227">
        <v>23.4</v>
      </c>
      <c r="J143" s="240">
        <f>I143*F158</f>
        <v>942.786</v>
      </c>
      <c r="K143" s="226"/>
      <c r="L143" s="227">
        <v>23.7</v>
      </c>
      <c r="M143" s="240">
        <f>L143*G158</f>
        <v>993.03</v>
      </c>
      <c r="N143" s="226"/>
      <c r="O143" s="227">
        <v>23.1</v>
      </c>
      <c r="P143" s="240">
        <f>O143*G158</f>
        <v>967.89</v>
      </c>
      <c r="Q143" s="226">
        <f>F143+I143+L143+O143</f>
        <v>93.6</v>
      </c>
      <c r="R143" s="225">
        <v>3846.5</v>
      </c>
      <c r="S143" s="67"/>
      <c r="T143" s="11"/>
      <c r="U143" s="11"/>
      <c r="V143" s="12"/>
    </row>
    <row r="144" spans="1:22" s="97" customFormat="1" ht="53.25" customHeight="1">
      <c r="A144" s="103">
        <v>5</v>
      </c>
      <c r="B144" s="410" t="s">
        <v>47</v>
      </c>
      <c r="C144" s="411"/>
      <c r="D144" s="412"/>
      <c r="E144" s="98"/>
      <c r="F144" s="223">
        <f>F145+F146+F147+F148</f>
        <v>197.28199999999998</v>
      </c>
      <c r="G144" s="238">
        <v>7189.8</v>
      </c>
      <c r="H144" s="93"/>
      <c r="I144" s="223">
        <f>I145+I146+I147+I148</f>
        <v>196.812</v>
      </c>
      <c r="J144" s="238">
        <f>J145+J146+J147+J148</f>
        <v>6917.95548</v>
      </c>
      <c r="K144" s="93"/>
      <c r="L144" s="223">
        <f>L145+L146+L147+L148</f>
        <v>173.609</v>
      </c>
      <c r="M144" s="238">
        <f>M145+M146+M147+M148</f>
        <v>6047.268599999999</v>
      </c>
      <c r="N144" s="93"/>
      <c r="O144" s="223">
        <f>O145+O146+O147+O148</f>
        <v>245.33999999999997</v>
      </c>
      <c r="P144" s="238">
        <v>9227.74</v>
      </c>
      <c r="Q144" s="93">
        <f>Q145+Q146+Q147+Q148</f>
        <v>813.0429999999999</v>
      </c>
      <c r="R144" s="222">
        <v>29382.77</v>
      </c>
      <c r="S144" s="94"/>
      <c r="T144" s="96"/>
      <c r="U144" s="96"/>
      <c r="V144" s="95"/>
    </row>
    <row r="145" spans="1:22" ht="33.75" customHeight="1">
      <c r="A145" s="33"/>
      <c r="B145" s="393" t="s">
        <v>48</v>
      </c>
      <c r="C145" s="394"/>
      <c r="D145" s="395"/>
      <c r="E145" s="8"/>
      <c r="F145" s="230">
        <v>16.782</v>
      </c>
      <c r="G145" s="240">
        <f>F145*F158</f>
        <v>676.14678</v>
      </c>
      <c r="H145" s="226"/>
      <c r="I145" s="230">
        <v>15.742</v>
      </c>
      <c r="J145" s="240">
        <f>I145*F158</f>
        <v>634.24518</v>
      </c>
      <c r="K145" s="226"/>
      <c r="L145" s="230">
        <v>15.954</v>
      </c>
      <c r="M145" s="240">
        <f>L145*G158</f>
        <v>668.4726</v>
      </c>
      <c r="N145" s="226"/>
      <c r="O145" s="230">
        <v>32.88</v>
      </c>
      <c r="P145" s="240">
        <f>O145*G158</f>
        <v>1377.672</v>
      </c>
      <c r="Q145" s="226">
        <f aca="true" t="shared" si="26" ref="Q145:R148">F145+I145+L145+O145</f>
        <v>81.358</v>
      </c>
      <c r="R145" s="225">
        <f t="shared" si="26"/>
        <v>3356.53656</v>
      </c>
      <c r="S145" s="67"/>
      <c r="T145" s="11"/>
      <c r="U145" s="11"/>
      <c r="V145" s="12"/>
    </row>
    <row r="146" spans="1:22" ht="33.75" customHeight="1">
      <c r="A146" s="33"/>
      <c r="B146" s="393" t="s">
        <v>49</v>
      </c>
      <c r="C146" s="394"/>
      <c r="D146" s="395"/>
      <c r="E146" s="8"/>
      <c r="F146" s="227">
        <v>73</v>
      </c>
      <c r="G146" s="240">
        <f>53*F158+20*F159</f>
        <v>2435.37</v>
      </c>
      <c r="H146" s="226"/>
      <c r="I146" s="227">
        <v>72</v>
      </c>
      <c r="J146" s="240">
        <f>52*F158+20*F159</f>
        <v>2395.08</v>
      </c>
      <c r="K146" s="226"/>
      <c r="L146" s="227">
        <v>81.655</v>
      </c>
      <c r="M146" s="240">
        <f>55*G158+26.66*G159</f>
        <v>2720.396</v>
      </c>
      <c r="N146" s="226"/>
      <c r="O146" s="227">
        <v>71</v>
      </c>
      <c r="P146" s="240">
        <f>51*G158+20*G159</f>
        <v>2448.9</v>
      </c>
      <c r="Q146" s="226">
        <f t="shared" si="26"/>
        <v>297.655</v>
      </c>
      <c r="R146" s="225">
        <f t="shared" si="26"/>
        <v>9999.746</v>
      </c>
      <c r="S146" s="67"/>
      <c r="T146" s="11"/>
      <c r="U146" s="11"/>
      <c r="V146" s="12"/>
    </row>
    <row r="147" spans="1:22" ht="33.75" customHeight="1">
      <c r="A147" s="33"/>
      <c r="B147" s="393" t="s">
        <v>50</v>
      </c>
      <c r="C147" s="394"/>
      <c r="D147" s="395"/>
      <c r="E147" s="8"/>
      <c r="F147" s="227">
        <v>47.3</v>
      </c>
      <c r="G147" s="240">
        <f>37.3*F158+10*F159</f>
        <v>1652.8169999999998</v>
      </c>
      <c r="H147" s="226"/>
      <c r="I147" s="227">
        <v>62.07</v>
      </c>
      <c r="J147" s="240">
        <f>42.07*F158+20*F159</f>
        <v>1995.0003</v>
      </c>
      <c r="K147" s="226"/>
      <c r="L147" s="227">
        <v>41.1</v>
      </c>
      <c r="M147" s="240">
        <f>21.1*G158+20*G159</f>
        <v>1196.0900000000001</v>
      </c>
      <c r="N147" s="226"/>
      <c r="O147" s="227">
        <v>47.5</v>
      </c>
      <c r="P147" s="240">
        <f>27.5*G158+20*G159</f>
        <v>1464.25</v>
      </c>
      <c r="Q147" s="226">
        <f t="shared" si="26"/>
        <v>197.97</v>
      </c>
      <c r="R147" s="225">
        <f t="shared" si="26"/>
        <v>6308.1573</v>
      </c>
      <c r="S147" s="67" t="s">
        <v>78</v>
      </c>
      <c r="T147" s="11"/>
      <c r="U147" s="11"/>
      <c r="V147" s="12"/>
    </row>
    <row r="148" spans="1:22" ht="33.75" customHeight="1">
      <c r="A148" s="33"/>
      <c r="B148" s="408" t="s">
        <v>40</v>
      </c>
      <c r="C148" s="408"/>
      <c r="D148" s="408"/>
      <c r="E148" s="8"/>
      <c r="F148" s="227">
        <v>60.2</v>
      </c>
      <c r="G148" s="240">
        <f>F148*F158</f>
        <v>2425.458</v>
      </c>
      <c r="H148" s="226"/>
      <c r="I148" s="227">
        <v>47</v>
      </c>
      <c r="J148" s="240">
        <f>I148*F158</f>
        <v>1893.6299999999999</v>
      </c>
      <c r="K148" s="226"/>
      <c r="L148" s="227">
        <v>34.9</v>
      </c>
      <c r="M148" s="240">
        <f>L148*G158</f>
        <v>1462.31</v>
      </c>
      <c r="N148" s="226"/>
      <c r="O148" s="227">
        <v>93.96</v>
      </c>
      <c r="P148" s="240">
        <f>O148*G158</f>
        <v>3936.9239999999995</v>
      </c>
      <c r="Q148" s="226">
        <f t="shared" si="26"/>
        <v>236.06</v>
      </c>
      <c r="R148" s="225">
        <f t="shared" si="26"/>
        <v>9718.321999999998</v>
      </c>
      <c r="S148" s="67" t="s">
        <v>78</v>
      </c>
      <c r="T148" s="11"/>
      <c r="U148" s="11"/>
      <c r="V148" s="12"/>
    </row>
    <row r="149" spans="1:22" s="97" customFormat="1" ht="33.75" customHeight="1">
      <c r="A149" s="103">
        <v>6</v>
      </c>
      <c r="B149" s="410" t="s">
        <v>53</v>
      </c>
      <c r="C149" s="411"/>
      <c r="D149" s="412"/>
      <c r="E149" s="98"/>
      <c r="F149" s="223">
        <f>F150+F151+F152</f>
        <v>3319.1</v>
      </c>
      <c r="G149" s="238">
        <f>G150+G151+G152</f>
        <v>133726.539</v>
      </c>
      <c r="H149" s="93"/>
      <c r="I149" s="223">
        <f>I150+I151+I152</f>
        <v>3004.1</v>
      </c>
      <c r="J149" s="238">
        <f>J150+J151+J152</f>
        <v>121035.189</v>
      </c>
      <c r="K149" s="93"/>
      <c r="L149" s="223">
        <f>L150+L151+L152</f>
        <v>2722.1</v>
      </c>
      <c r="M149" s="238">
        <f>M150+M151+M152</f>
        <v>114055.98999999999</v>
      </c>
      <c r="N149" s="93"/>
      <c r="O149" s="223">
        <f>O150+O151+O152</f>
        <v>3046.1</v>
      </c>
      <c r="P149" s="238">
        <f>P150+P151+P152</f>
        <v>127631.59</v>
      </c>
      <c r="Q149" s="93">
        <f>Q150+Q151+Q152</f>
        <v>12091.4</v>
      </c>
      <c r="R149" s="222">
        <f>R150+R151+R152</f>
        <v>496449.308</v>
      </c>
      <c r="S149" s="94"/>
      <c r="T149" s="96"/>
      <c r="U149" s="96"/>
      <c r="V149" s="95"/>
    </row>
    <row r="150" spans="1:22" ht="38.25" customHeight="1">
      <c r="A150" s="35"/>
      <c r="B150" s="422" t="s">
        <v>140</v>
      </c>
      <c r="C150" s="423"/>
      <c r="D150" s="424"/>
      <c r="E150" s="8"/>
      <c r="F150" s="227">
        <v>233</v>
      </c>
      <c r="G150" s="240">
        <f>F150*F158</f>
        <v>9387.57</v>
      </c>
      <c r="H150" s="226"/>
      <c r="I150" s="227">
        <v>218</v>
      </c>
      <c r="J150" s="240">
        <f>I150*F158</f>
        <v>8783.22</v>
      </c>
      <c r="K150" s="226"/>
      <c r="L150" s="227">
        <v>96</v>
      </c>
      <c r="M150" s="240">
        <f>L150*G158</f>
        <v>4022.3999999999996</v>
      </c>
      <c r="N150" s="226"/>
      <c r="O150" s="227">
        <v>260</v>
      </c>
      <c r="P150" s="240">
        <f>O150*G158</f>
        <v>10894</v>
      </c>
      <c r="Q150" s="226">
        <f>F150+I150+L150+O150</f>
        <v>807</v>
      </c>
      <c r="R150" s="225">
        <f>G150+J150+M150+P150</f>
        <v>33087.19</v>
      </c>
      <c r="S150" s="67" t="s">
        <v>78</v>
      </c>
      <c r="T150" s="11"/>
      <c r="U150" s="11"/>
      <c r="V150" s="12"/>
    </row>
    <row r="151" spans="1:22" ht="36.75" customHeight="1">
      <c r="A151" s="35"/>
      <c r="B151" s="393" t="s">
        <v>55</v>
      </c>
      <c r="C151" s="394"/>
      <c r="D151" s="395"/>
      <c r="E151" s="8"/>
      <c r="F151" s="227">
        <v>600</v>
      </c>
      <c r="G151" s="240">
        <f>F151*F158</f>
        <v>24174</v>
      </c>
      <c r="H151" s="226"/>
      <c r="I151" s="227">
        <v>300</v>
      </c>
      <c r="J151" s="240">
        <f>I151*F158</f>
        <v>12087</v>
      </c>
      <c r="K151" s="226"/>
      <c r="L151" s="317">
        <v>140</v>
      </c>
      <c r="M151" s="240">
        <f>L151*G158</f>
        <v>5866</v>
      </c>
      <c r="N151" s="226"/>
      <c r="O151" s="317">
        <v>300</v>
      </c>
      <c r="P151" s="240">
        <f>O151*G158</f>
        <v>12570</v>
      </c>
      <c r="Q151" s="226">
        <f>F151+I151+L151+O151</f>
        <v>1340</v>
      </c>
      <c r="R151" s="225">
        <f>G151+J151+M151+P151</f>
        <v>54697</v>
      </c>
      <c r="S151" s="67" t="s">
        <v>78</v>
      </c>
      <c r="T151" s="11"/>
      <c r="U151" s="11"/>
      <c r="V151" s="12"/>
    </row>
    <row r="152" spans="1:22" ht="33.75" customHeight="1">
      <c r="A152" s="35"/>
      <c r="B152" s="393" t="s">
        <v>84</v>
      </c>
      <c r="C152" s="394"/>
      <c r="D152" s="395"/>
      <c r="E152" s="8"/>
      <c r="F152" s="227">
        <v>2486.1</v>
      </c>
      <c r="G152" s="240">
        <f>SUM(F152)*F158</f>
        <v>100164.969</v>
      </c>
      <c r="H152" s="226"/>
      <c r="I152" s="227">
        <v>2486.1</v>
      </c>
      <c r="J152" s="240">
        <f>SUM(I152)*F158</f>
        <v>100164.969</v>
      </c>
      <c r="K152" s="226"/>
      <c r="L152" s="317">
        <v>2486.1</v>
      </c>
      <c r="M152" s="240">
        <f>SUM(L152)*G158</f>
        <v>104167.59</v>
      </c>
      <c r="N152" s="226"/>
      <c r="O152" s="317">
        <v>2486.1</v>
      </c>
      <c r="P152" s="240">
        <f>SUM(O152)*G158</f>
        <v>104167.59</v>
      </c>
      <c r="Q152" s="226">
        <f>F152+I152+L152+O152</f>
        <v>9944.4</v>
      </c>
      <c r="R152" s="225">
        <f>SUM(G152)+J152+M152+P152</f>
        <v>408665.118</v>
      </c>
      <c r="S152" s="67"/>
      <c r="T152" s="11"/>
      <c r="U152" s="11"/>
      <c r="V152" s="12"/>
    </row>
    <row r="153" spans="1:22" ht="33.75" customHeight="1">
      <c r="A153" s="99">
        <v>7</v>
      </c>
      <c r="B153" s="410" t="s">
        <v>85</v>
      </c>
      <c r="C153" s="411"/>
      <c r="D153" s="412"/>
      <c r="E153" s="8"/>
      <c r="F153" s="282">
        <f>SUM(F154:F155)</f>
        <v>25</v>
      </c>
      <c r="G153" s="283">
        <f aca="true" t="shared" si="27" ref="G153:R153">SUM(G154:G155)</f>
        <v>1007.25</v>
      </c>
      <c r="H153" s="281">
        <f t="shared" si="27"/>
        <v>0</v>
      </c>
      <c r="I153" s="282">
        <f t="shared" si="27"/>
        <v>25</v>
      </c>
      <c r="J153" s="283">
        <f t="shared" si="27"/>
        <v>1007.25</v>
      </c>
      <c r="K153" s="281">
        <f t="shared" si="27"/>
        <v>0</v>
      </c>
      <c r="L153" s="284">
        <f t="shared" si="27"/>
        <v>25</v>
      </c>
      <c r="M153" s="283">
        <f t="shared" si="27"/>
        <v>1047.5</v>
      </c>
      <c r="N153" s="281">
        <f t="shared" si="27"/>
        <v>0</v>
      </c>
      <c r="O153" s="284">
        <f t="shared" si="27"/>
        <v>25</v>
      </c>
      <c r="P153" s="283">
        <f t="shared" si="27"/>
        <v>1047.5</v>
      </c>
      <c r="Q153" s="281">
        <f t="shared" si="27"/>
        <v>100</v>
      </c>
      <c r="R153" s="285">
        <f t="shared" si="27"/>
        <v>4109.5</v>
      </c>
      <c r="S153" s="67"/>
      <c r="T153" s="11"/>
      <c r="U153" s="11"/>
      <c r="V153" s="12"/>
    </row>
    <row r="154" spans="1:22" ht="33.75" customHeight="1">
      <c r="A154" s="99"/>
      <c r="B154" s="399" t="s">
        <v>86</v>
      </c>
      <c r="C154" s="474"/>
      <c r="D154" s="475"/>
      <c r="E154" s="8"/>
      <c r="F154" s="227">
        <v>0</v>
      </c>
      <c r="G154" s="240">
        <f>SUM(F154)*F158</f>
        <v>0</v>
      </c>
      <c r="H154" s="226"/>
      <c r="I154" s="227">
        <v>0</v>
      </c>
      <c r="J154" s="240">
        <f>SUM(I154)*F158</f>
        <v>0</v>
      </c>
      <c r="K154" s="226"/>
      <c r="L154" s="227">
        <v>0</v>
      </c>
      <c r="M154" s="240">
        <f>SUM(L154)*G158</f>
        <v>0</v>
      </c>
      <c r="N154" s="226"/>
      <c r="O154" s="227">
        <v>0</v>
      </c>
      <c r="P154" s="240">
        <f>SUM(O154)*G158</f>
        <v>0</v>
      </c>
      <c r="Q154" s="226">
        <f>F154+I154+L154+O154</f>
        <v>0</v>
      </c>
      <c r="R154" s="225">
        <f>SUM(G154)+J154+M154+P154</f>
        <v>0</v>
      </c>
      <c r="S154" s="67"/>
      <c r="T154" s="11"/>
      <c r="U154" s="11"/>
      <c r="V154" s="12"/>
    </row>
    <row r="155" spans="1:22" ht="33.75" customHeight="1">
      <c r="A155" s="99"/>
      <c r="B155" s="399" t="s">
        <v>87</v>
      </c>
      <c r="C155" s="474"/>
      <c r="D155" s="475"/>
      <c r="E155" s="8"/>
      <c r="F155" s="227">
        <v>25</v>
      </c>
      <c r="G155" s="240">
        <f>SUM(F155)*F158</f>
        <v>1007.25</v>
      </c>
      <c r="H155" s="226"/>
      <c r="I155" s="227">
        <v>25</v>
      </c>
      <c r="J155" s="240">
        <f>SUM(I155)*F158</f>
        <v>1007.25</v>
      </c>
      <c r="K155" s="226"/>
      <c r="L155" s="248">
        <v>25</v>
      </c>
      <c r="M155" s="240">
        <f>SUM(L155)*G158</f>
        <v>1047.5</v>
      </c>
      <c r="N155" s="226"/>
      <c r="O155" s="248">
        <v>25</v>
      </c>
      <c r="P155" s="240">
        <f>SUM(O155)*G158</f>
        <v>1047.5</v>
      </c>
      <c r="Q155" s="226">
        <f>F155+I155+L155+O155</f>
        <v>100</v>
      </c>
      <c r="R155" s="225">
        <f>SUM(G155)+J155+M155+P155</f>
        <v>4109.5</v>
      </c>
      <c r="S155" s="67"/>
      <c r="T155" s="11"/>
      <c r="U155" s="11"/>
      <c r="V155" s="12"/>
    </row>
    <row r="156" spans="1:22" ht="35.25">
      <c r="A156" s="52"/>
      <c r="B156" s="466" t="s">
        <v>19</v>
      </c>
      <c r="C156" s="466"/>
      <c r="D156" s="466"/>
      <c r="E156" s="15">
        <f>SUM(E129:E142)</f>
        <v>6764.85</v>
      </c>
      <c r="F156" s="233">
        <f>F129+F130+F137+F142+F144+F149+F153</f>
        <v>5996.892</v>
      </c>
      <c r="G156" s="249">
        <f>G129+G130+G137+G142+G144+G149+G153</f>
        <v>225201.5769</v>
      </c>
      <c r="H156" s="60">
        <f aca="true" t="shared" si="28" ref="H156:O156">H129+H130+H137+H142+H144+H149+H153</f>
        <v>17.5</v>
      </c>
      <c r="I156" s="233">
        <f t="shared" si="28"/>
        <v>5686.192000000001</v>
      </c>
      <c r="J156" s="249">
        <v>203579.08</v>
      </c>
      <c r="K156" s="60">
        <f t="shared" si="28"/>
        <v>17.5</v>
      </c>
      <c r="L156" s="233">
        <f t="shared" si="28"/>
        <v>5387.049</v>
      </c>
      <c r="M156" s="249">
        <v>198479.71</v>
      </c>
      <c r="N156" s="60">
        <f t="shared" si="28"/>
        <v>17.5</v>
      </c>
      <c r="O156" s="233">
        <f t="shared" si="28"/>
        <v>5823.6</v>
      </c>
      <c r="P156" s="249">
        <v>217735.14</v>
      </c>
      <c r="Q156" s="60">
        <f>Q129+Q130+Q137+Q142+Q144+Q149+Q153</f>
        <v>22893.733</v>
      </c>
      <c r="R156" s="234">
        <f>R129+R130+R137+R142+R144+R149+R153</f>
        <v>844995.5094000001</v>
      </c>
      <c r="S156" s="67"/>
      <c r="T156" s="53"/>
      <c r="U156" s="53"/>
      <c r="V156" s="53"/>
    </row>
    <row r="157" spans="1:18" ht="26.25">
      <c r="A157" s="38"/>
      <c r="B157" s="471" t="s">
        <v>17</v>
      </c>
      <c r="C157" s="472"/>
      <c r="D157" s="473"/>
      <c r="E157" s="409" t="s">
        <v>118</v>
      </c>
      <c r="F157" s="409"/>
      <c r="G157" s="409"/>
      <c r="H157" s="409"/>
      <c r="I157" s="409"/>
      <c r="J157" s="409"/>
      <c r="K157" s="409"/>
      <c r="L157" s="409"/>
      <c r="M157" s="409"/>
      <c r="N157" s="409"/>
      <c r="O157" s="409"/>
      <c r="P157" s="409"/>
      <c r="Q157" s="409"/>
      <c r="R157" s="409"/>
    </row>
    <row r="158" spans="1:18" ht="26.25">
      <c r="A158" s="47"/>
      <c r="B158" s="43"/>
      <c r="C158" s="43"/>
      <c r="D158" s="182"/>
      <c r="E158" s="182"/>
      <c r="F158" s="176">
        <v>40.29</v>
      </c>
      <c r="G158" s="179">
        <v>41.9</v>
      </c>
      <c r="H158" s="179"/>
      <c r="I158" s="179"/>
      <c r="J158" s="178"/>
      <c r="K158" s="6"/>
      <c r="L158" s="6"/>
      <c r="M158" s="104"/>
      <c r="N158" s="43"/>
      <c r="O158" s="43"/>
      <c r="P158" s="104"/>
      <c r="Q158" s="43"/>
      <c r="R158" s="104"/>
    </row>
    <row r="159" spans="1:18" ht="26.25">
      <c r="A159" s="47"/>
      <c r="B159" s="43"/>
      <c r="C159" s="43"/>
      <c r="D159" s="182"/>
      <c r="E159" s="182"/>
      <c r="F159" s="176">
        <v>15</v>
      </c>
      <c r="G159" s="184">
        <v>15.6</v>
      </c>
      <c r="H159" s="179"/>
      <c r="I159" s="179"/>
      <c r="J159" s="178"/>
      <c r="K159" s="6"/>
      <c r="L159" s="6"/>
      <c r="M159" s="104"/>
      <c r="N159" s="43"/>
      <c r="O159" s="43"/>
      <c r="P159" s="104"/>
      <c r="Q159" s="43"/>
      <c r="R159" s="104"/>
    </row>
    <row r="160" spans="1:18" ht="26.25">
      <c r="A160" s="47"/>
      <c r="B160" s="43"/>
      <c r="C160" s="43"/>
      <c r="D160" s="182"/>
      <c r="E160" s="182"/>
      <c r="F160" s="182"/>
      <c r="G160" s="177"/>
      <c r="H160" s="120"/>
      <c r="I160" s="182"/>
      <c r="J160" s="177"/>
      <c r="K160" s="43"/>
      <c r="L160" s="43"/>
      <c r="M160" s="104"/>
      <c r="N160" s="43"/>
      <c r="O160" s="43"/>
      <c r="P160" s="104"/>
      <c r="Q160" s="43"/>
      <c r="R160" s="104"/>
    </row>
    <row r="161" spans="1:18" ht="26.25">
      <c r="A161" s="51"/>
      <c r="B161" s="43"/>
      <c r="C161" s="43"/>
      <c r="D161" s="43"/>
      <c r="E161" s="43"/>
      <c r="F161" s="43"/>
      <c r="G161" s="104"/>
      <c r="H161" s="6"/>
      <c r="I161" s="6"/>
      <c r="J161" s="104"/>
      <c r="K161" s="43"/>
      <c r="L161" s="43"/>
      <c r="M161" s="104"/>
      <c r="N161" s="43"/>
      <c r="O161" s="43"/>
      <c r="P161" s="104"/>
      <c r="Q161" s="43"/>
      <c r="R161" s="104"/>
    </row>
    <row r="162" spans="1:18" ht="26.25">
      <c r="A162" s="6"/>
      <c r="B162" s="43"/>
      <c r="C162" s="43"/>
      <c r="D162" s="43"/>
      <c r="E162" s="43"/>
      <c r="F162" s="43"/>
      <c r="G162" s="104"/>
      <c r="H162" s="43"/>
      <c r="I162" s="43"/>
      <c r="J162" s="104"/>
      <c r="K162" s="43"/>
      <c r="L162" s="43"/>
      <c r="M162" s="104"/>
      <c r="N162" s="43"/>
      <c r="O162" s="43"/>
      <c r="P162" s="104"/>
      <c r="Q162" s="43"/>
      <c r="R162" s="104"/>
    </row>
    <row r="163" spans="1:18" ht="26.25">
      <c r="A163" s="6"/>
      <c r="B163" s="6"/>
      <c r="C163" s="6"/>
      <c r="D163" s="6"/>
      <c r="E163" s="6"/>
      <c r="F163" s="6"/>
      <c r="G163" s="104"/>
      <c r="H163" s="6"/>
      <c r="I163" s="6"/>
      <c r="J163" s="104"/>
      <c r="K163" s="6"/>
      <c r="L163" s="6"/>
      <c r="M163" s="104"/>
      <c r="N163" s="6"/>
      <c r="O163" s="6"/>
      <c r="P163" s="104"/>
      <c r="Q163" s="6"/>
      <c r="R163" s="104"/>
    </row>
    <row r="164" spans="1:18" ht="26.25">
      <c r="A164" s="6"/>
      <c r="B164" s="6"/>
      <c r="C164" s="6"/>
      <c r="D164" s="6"/>
      <c r="E164" s="6"/>
      <c r="F164" s="6"/>
      <c r="G164" s="104"/>
      <c r="H164" s="6"/>
      <c r="I164" s="6"/>
      <c r="J164" s="104"/>
      <c r="K164" s="6"/>
      <c r="L164" s="6"/>
      <c r="M164" s="104"/>
      <c r="N164" s="6"/>
      <c r="O164" s="6"/>
      <c r="P164" s="104"/>
      <c r="Q164" s="6"/>
      <c r="R164" s="104"/>
    </row>
    <row r="165" spans="1:18" ht="26.25">
      <c r="A165" s="6"/>
      <c r="B165" s="6"/>
      <c r="C165" s="6"/>
      <c r="D165" s="6"/>
      <c r="E165" s="54"/>
      <c r="K165" s="6"/>
      <c r="L165" s="6"/>
      <c r="M165" s="104"/>
      <c r="N165" s="6"/>
      <c r="O165" s="6"/>
      <c r="P165" s="104"/>
      <c r="Q165" s="6"/>
      <c r="R165" s="104"/>
    </row>
    <row r="166" ht="25.5">
      <c r="E166" s="55" t="s">
        <v>22</v>
      </c>
    </row>
    <row r="167" ht="25.5">
      <c r="E167" s="55" t="s">
        <v>23</v>
      </c>
    </row>
    <row r="168" ht="25.5">
      <c r="E168" s="55" t="s">
        <v>24</v>
      </c>
    </row>
    <row r="169" ht="25.5">
      <c r="E169" s="55" t="s">
        <v>25</v>
      </c>
    </row>
    <row r="170" ht="25.5">
      <c r="E170" s="55" t="s">
        <v>26</v>
      </c>
    </row>
    <row r="171" ht="25.5">
      <c r="E171" s="55" t="s">
        <v>27</v>
      </c>
    </row>
    <row r="172" ht="25.5">
      <c r="E172" s="55" t="s">
        <v>29</v>
      </c>
    </row>
    <row r="173" ht="25.5">
      <c r="E173" s="55" t="s">
        <v>30</v>
      </c>
    </row>
    <row r="174" ht="25.5">
      <c r="E174" s="55" t="s">
        <v>28</v>
      </c>
    </row>
  </sheetData>
  <sheetProtection/>
  <mergeCells count="182">
    <mergeCell ref="B138:D138"/>
    <mergeCell ref="B130:D130"/>
    <mergeCell ref="B78:D78"/>
    <mergeCell ref="B79:D79"/>
    <mergeCell ref="B107:D107"/>
    <mergeCell ref="B82:D82"/>
    <mergeCell ref="B96:D96"/>
    <mergeCell ref="B97:D97"/>
    <mergeCell ref="B122:D122"/>
    <mergeCell ref="B72:D72"/>
    <mergeCell ref="B129:D129"/>
    <mergeCell ref="B105:D105"/>
    <mergeCell ref="B73:D73"/>
    <mergeCell ref="B52:D52"/>
    <mergeCell ref="B55:D55"/>
    <mergeCell ref="B70:D70"/>
    <mergeCell ref="B67:D67"/>
    <mergeCell ref="B145:D145"/>
    <mergeCell ref="B101:D101"/>
    <mergeCell ref="B102:D102"/>
    <mergeCell ref="A92:R92"/>
    <mergeCell ref="A93:A94"/>
    <mergeCell ref="B93:D94"/>
    <mergeCell ref="B108:D108"/>
    <mergeCell ref="Q93:R93"/>
    <mergeCell ref="B115:D115"/>
    <mergeCell ref="B139:D139"/>
    <mergeCell ref="A5:R5"/>
    <mergeCell ref="B149:D149"/>
    <mergeCell ref="B112:D112"/>
    <mergeCell ref="B127:D128"/>
    <mergeCell ref="A49:A50"/>
    <mergeCell ref="B49:D50"/>
    <mergeCell ref="K127:M127"/>
    <mergeCell ref="Q127:R127"/>
    <mergeCell ref="B77:D77"/>
    <mergeCell ref="B62:D62"/>
    <mergeCell ref="B155:D155"/>
    <mergeCell ref="B150:D150"/>
    <mergeCell ref="B151:D151"/>
    <mergeCell ref="B113:D113"/>
    <mergeCell ref="B120:D120"/>
    <mergeCell ref="B121:D121"/>
    <mergeCell ref="B119:D119"/>
    <mergeCell ref="B117:D117"/>
    <mergeCell ref="B148:D148"/>
    <mergeCell ref="B140:D140"/>
    <mergeCell ref="B153:D153"/>
    <mergeCell ref="B154:D154"/>
    <mergeCell ref="E123:R123"/>
    <mergeCell ref="B143:D143"/>
    <mergeCell ref="B146:D146"/>
    <mergeCell ref="B123:D123"/>
    <mergeCell ref="B142:D142"/>
    <mergeCell ref="E127:G127"/>
    <mergeCell ref="B137:D137"/>
    <mergeCell ref="B141:D141"/>
    <mergeCell ref="E157:R157"/>
    <mergeCell ref="B133:D133"/>
    <mergeCell ref="B134:D134"/>
    <mergeCell ref="B135:D135"/>
    <mergeCell ref="B136:D136"/>
    <mergeCell ref="B156:D156"/>
    <mergeCell ref="B152:D152"/>
    <mergeCell ref="B157:D157"/>
    <mergeCell ref="B147:D147"/>
    <mergeCell ref="B144:D144"/>
    <mergeCell ref="K93:M93"/>
    <mergeCell ref="H93:J93"/>
    <mergeCell ref="N127:P127"/>
    <mergeCell ref="P90:R90"/>
    <mergeCell ref="B111:D111"/>
    <mergeCell ref="B95:D95"/>
    <mergeCell ref="E93:G93"/>
    <mergeCell ref="A126:R126"/>
    <mergeCell ref="A127:A128"/>
    <mergeCell ref="B104:D104"/>
    <mergeCell ref="P89:R89"/>
    <mergeCell ref="B68:D68"/>
    <mergeCell ref="B31:D31"/>
    <mergeCell ref="B33:D33"/>
    <mergeCell ref="B83:D83"/>
    <mergeCell ref="B75:D75"/>
    <mergeCell ref="B57:D57"/>
    <mergeCell ref="B66:D66"/>
    <mergeCell ref="B84:D84"/>
    <mergeCell ref="B34:D34"/>
    <mergeCell ref="B43:D43"/>
    <mergeCell ref="B21:D21"/>
    <mergeCell ref="K49:M49"/>
    <mergeCell ref="B15:D15"/>
    <mergeCell ref="B16:D16"/>
    <mergeCell ref="B14:D14"/>
    <mergeCell ref="B44:D44"/>
    <mergeCell ref="B45:D45"/>
    <mergeCell ref="E45:R45"/>
    <mergeCell ref="Q49:R49"/>
    <mergeCell ref="B42:D42"/>
    <mergeCell ref="B30:D30"/>
    <mergeCell ref="B18:D18"/>
    <mergeCell ref="B19:D19"/>
    <mergeCell ref="B29:D29"/>
    <mergeCell ref="B23:D24"/>
    <mergeCell ref="B26:D26"/>
    <mergeCell ref="B27:D27"/>
    <mergeCell ref="B37:D37"/>
    <mergeCell ref="P2:R2"/>
    <mergeCell ref="P3:R3"/>
    <mergeCell ref="P4:R4"/>
    <mergeCell ref="A6:R6"/>
    <mergeCell ref="B40:D40"/>
    <mergeCell ref="Q23:Q24"/>
    <mergeCell ref="K7:M7"/>
    <mergeCell ref="N7:P7"/>
    <mergeCell ref="Q7:R7"/>
    <mergeCell ref="B10:D10"/>
    <mergeCell ref="A7:A8"/>
    <mergeCell ref="H7:J7"/>
    <mergeCell ref="B9:D9"/>
    <mergeCell ref="B28:D28"/>
    <mergeCell ref="E7:G7"/>
    <mergeCell ref="B7:D8"/>
    <mergeCell ref="B11:D11"/>
    <mergeCell ref="B12:D12"/>
    <mergeCell ref="B13:D13"/>
    <mergeCell ref="B20:D20"/>
    <mergeCell ref="N93:P93"/>
    <mergeCell ref="B17:D17"/>
    <mergeCell ref="B22:D22"/>
    <mergeCell ref="A48:R48"/>
    <mergeCell ref="B25:D25"/>
    <mergeCell ref="B36:D36"/>
    <mergeCell ref="P88:R88"/>
    <mergeCell ref="B41:D41"/>
    <mergeCell ref="B74:D74"/>
    <mergeCell ref="A23:A24"/>
    <mergeCell ref="E84:R84"/>
    <mergeCell ref="B132:D132"/>
    <mergeCell ref="B109:D109"/>
    <mergeCell ref="B98:D98"/>
    <mergeCell ref="B118:D118"/>
    <mergeCell ref="H127:J127"/>
    <mergeCell ref="B103:D103"/>
    <mergeCell ref="B99:D99"/>
    <mergeCell ref="B110:D110"/>
    <mergeCell ref="B131:D131"/>
    <mergeCell ref="R23:R24"/>
    <mergeCell ref="F23:F24"/>
    <mergeCell ref="G23:G24"/>
    <mergeCell ref="I23:I24"/>
    <mergeCell ref="J23:J24"/>
    <mergeCell ref="L23:L24"/>
    <mergeCell ref="B60:D60"/>
    <mergeCell ref="B54:D54"/>
    <mergeCell ref="B114:D114"/>
    <mergeCell ref="B100:D100"/>
    <mergeCell ref="B116:D116"/>
    <mergeCell ref="B106:D106"/>
    <mergeCell ref="B61:D61"/>
    <mergeCell ref="B59:D59"/>
    <mergeCell ref="B65:D65"/>
    <mergeCell ref="B56:D56"/>
    <mergeCell ref="B35:D35"/>
    <mergeCell ref="B58:D58"/>
    <mergeCell ref="B76:D76"/>
    <mergeCell ref="N49:P49"/>
    <mergeCell ref="B64:D64"/>
    <mergeCell ref="E49:G49"/>
    <mergeCell ref="H49:J49"/>
    <mergeCell ref="B51:D51"/>
    <mergeCell ref="B63:D63"/>
    <mergeCell ref="B53:D53"/>
    <mergeCell ref="B69:D69"/>
    <mergeCell ref="B71:D71"/>
    <mergeCell ref="M23:M24"/>
    <mergeCell ref="O23:O24"/>
    <mergeCell ref="P23:P24"/>
    <mergeCell ref="B81:D81"/>
    <mergeCell ref="B80:D80"/>
    <mergeCell ref="B38:D38"/>
    <mergeCell ref="B39:D39"/>
    <mergeCell ref="B32:D32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3" r:id="rId1"/>
  <rowBreaks count="4" manualBreakCount="4">
    <brk id="46" max="255" man="1"/>
    <brk id="85" max="255" man="1"/>
    <brk id="125" max="255" man="1"/>
    <brk id="160" max="18" man="1"/>
  </rowBreaks>
  <colBreaks count="1" manualBreakCount="1">
    <brk id="19" max="1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8"/>
  <sheetViews>
    <sheetView view="pageBreakPreview" zoomScale="42" zoomScaleNormal="85" zoomScaleSheetLayoutView="42" zoomScalePageLayoutView="0" workbookViewId="0" topLeftCell="A1">
      <selection activeCell="B139" sqref="B139:D139"/>
    </sheetView>
  </sheetViews>
  <sheetFormatPr defaultColWidth="9.140625" defaultRowHeight="12.75"/>
  <cols>
    <col min="1" max="1" width="6.7109375" style="10" customWidth="1"/>
    <col min="2" max="2" width="9.140625" style="10" customWidth="1"/>
    <col min="3" max="3" width="21.140625" style="10" customWidth="1"/>
    <col min="4" max="4" width="79.140625" style="10" customWidth="1"/>
    <col min="5" max="5" width="27.140625" style="10" customWidth="1"/>
    <col min="6" max="6" width="14.421875" style="10" hidden="1" customWidth="1"/>
    <col min="7" max="7" width="24.7109375" style="10" customWidth="1"/>
    <col min="8" max="8" width="29.8515625" style="10" customWidth="1"/>
    <col min="9" max="9" width="9.8515625" style="10" hidden="1" customWidth="1"/>
    <col min="10" max="10" width="29.421875" style="10" customWidth="1"/>
    <col min="11" max="11" width="31.421875" style="10" customWidth="1"/>
    <col min="12" max="12" width="9.8515625" style="10" hidden="1" customWidth="1"/>
    <col min="13" max="13" width="28.140625" style="10" customWidth="1"/>
    <col min="14" max="14" width="30.421875" style="10" customWidth="1"/>
    <col min="15" max="15" width="9.8515625" style="10" hidden="1" customWidth="1"/>
    <col min="16" max="16" width="27.00390625" style="10" customWidth="1"/>
    <col min="17" max="18" width="29.28125" style="10" customWidth="1"/>
    <col min="19" max="19" width="35.00390625" style="10" customWidth="1"/>
    <col min="20" max="20" width="18.00390625" style="67" customWidth="1"/>
    <col min="21" max="21" width="22.421875" style="10" bestFit="1" customWidth="1"/>
    <col min="22" max="22" width="12.8515625" style="10" customWidth="1"/>
    <col min="23" max="23" width="10.28125" style="10" bestFit="1" customWidth="1"/>
    <col min="24" max="16384" width="9.140625" style="10" customWidth="1"/>
  </cols>
  <sheetData>
    <row r="1" spans="1:23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0"/>
      <c r="P1" s="70"/>
      <c r="Q1" s="56"/>
      <c r="R1" s="56"/>
      <c r="S1" s="70"/>
      <c r="U1" s="12"/>
      <c r="V1" s="12"/>
      <c r="W1" s="12"/>
    </row>
    <row r="2" spans="1:23" ht="35.25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0"/>
      <c r="P2" s="70"/>
      <c r="Q2" s="434"/>
      <c r="R2" s="434"/>
      <c r="S2" s="434"/>
      <c r="U2" s="12"/>
      <c r="V2" s="12"/>
      <c r="W2" s="12"/>
    </row>
    <row r="3" spans="1:23" ht="35.2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0"/>
      <c r="P3" s="70"/>
      <c r="Q3" s="434"/>
      <c r="R3" s="434"/>
      <c r="S3" s="434"/>
      <c r="U3" s="12"/>
      <c r="V3" s="12"/>
      <c r="W3" s="12"/>
    </row>
    <row r="4" spans="1:23" ht="35.25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0"/>
      <c r="P4" s="70"/>
      <c r="Q4" s="434"/>
      <c r="R4" s="434"/>
      <c r="S4" s="434"/>
      <c r="U4" s="12"/>
      <c r="V4" s="12"/>
      <c r="W4" s="12"/>
    </row>
    <row r="5" spans="1:23" ht="35.2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0"/>
      <c r="P5" s="70"/>
      <c r="Q5" s="70"/>
      <c r="R5" s="70"/>
      <c r="S5" s="70"/>
      <c r="U5" s="12"/>
      <c r="V5" s="12"/>
      <c r="W5" s="12"/>
    </row>
    <row r="6" spans="1:23" ht="33.75" customHeight="1" hidden="1">
      <c r="A6" s="476" t="s">
        <v>67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U6" s="12"/>
      <c r="V6" s="12"/>
      <c r="W6" s="12"/>
    </row>
    <row r="7" spans="1:23" ht="18.75" customHeight="1" hidden="1">
      <c r="A7" s="494" t="s">
        <v>15</v>
      </c>
      <c r="B7" s="485" t="s">
        <v>0</v>
      </c>
      <c r="C7" s="486"/>
      <c r="D7" s="487"/>
      <c r="E7" s="71"/>
      <c r="F7" s="427" t="s">
        <v>1</v>
      </c>
      <c r="G7" s="428"/>
      <c r="H7" s="429"/>
      <c r="I7" s="427" t="s">
        <v>3</v>
      </c>
      <c r="J7" s="428"/>
      <c r="K7" s="429"/>
      <c r="L7" s="427" t="s">
        <v>4</v>
      </c>
      <c r="M7" s="428"/>
      <c r="N7" s="429"/>
      <c r="O7" s="427" t="s">
        <v>6</v>
      </c>
      <c r="P7" s="428"/>
      <c r="Q7" s="429"/>
      <c r="R7" s="427" t="s">
        <v>7</v>
      </c>
      <c r="S7" s="429"/>
      <c r="V7" s="12"/>
      <c r="W7" s="12"/>
    </row>
    <row r="8" spans="1:23" ht="53.25" hidden="1">
      <c r="A8" s="495"/>
      <c r="B8" s="488"/>
      <c r="C8" s="489"/>
      <c r="D8" s="490"/>
      <c r="E8" s="73"/>
      <c r="F8" s="74"/>
      <c r="G8" s="74" t="s">
        <v>2</v>
      </c>
      <c r="H8" s="74" t="s">
        <v>5</v>
      </c>
      <c r="I8" s="74"/>
      <c r="J8" s="74" t="s">
        <v>2</v>
      </c>
      <c r="K8" s="74" t="s">
        <v>5</v>
      </c>
      <c r="L8" s="74"/>
      <c r="M8" s="74" t="s">
        <v>2</v>
      </c>
      <c r="N8" s="74" t="s">
        <v>5</v>
      </c>
      <c r="O8" s="74" t="s">
        <v>2</v>
      </c>
      <c r="P8" s="74" t="s">
        <v>2</v>
      </c>
      <c r="Q8" s="74" t="s">
        <v>5</v>
      </c>
      <c r="R8" s="74" t="s">
        <v>2</v>
      </c>
      <c r="S8" s="74" t="s">
        <v>5</v>
      </c>
      <c r="V8" s="12"/>
      <c r="W8" s="12"/>
    </row>
    <row r="9" spans="1:23" ht="30" customHeight="1" hidden="1">
      <c r="A9" s="15">
        <v>1</v>
      </c>
      <c r="B9" s="496" t="s">
        <v>33</v>
      </c>
      <c r="C9" s="497"/>
      <c r="D9" s="498"/>
      <c r="E9" s="78"/>
      <c r="F9" s="15">
        <v>22.6</v>
      </c>
      <c r="G9" s="57">
        <v>22.6</v>
      </c>
      <c r="H9" s="9">
        <f>G9*G36</f>
        <v>60523.252</v>
      </c>
      <c r="I9" s="9">
        <v>7.9</v>
      </c>
      <c r="J9" s="9">
        <v>7.5</v>
      </c>
      <c r="K9" s="9">
        <f>J9*G36</f>
        <v>20085.15</v>
      </c>
      <c r="L9" s="9">
        <v>2.9</v>
      </c>
      <c r="M9" s="9">
        <v>2.4</v>
      </c>
      <c r="N9" s="9">
        <f>M9*H36</f>
        <v>7174.727999999999</v>
      </c>
      <c r="O9" s="9">
        <v>20.6</v>
      </c>
      <c r="P9" s="9">
        <v>18.7</v>
      </c>
      <c r="Q9" s="9">
        <f>P9*H36</f>
        <v>55903.08899999999</v>
      </c>
      <c r="R9" s="9">
        <f aca="true" t="shared" si="0" ref="R9:S17">G9+J9+M9+P9</f>
        <v>51.2</v>
      </c>
      <c r="S9" s="9">
        <f t="shared" si="0"/>
        <v>143686.21899999998</v>
      </c>
      <c r="T9" s="67" t="s">
        <v>21</v>
      </c>
      <c r="U9" s="13"/>
      <c r="V9" s="11">
        <f>H9+K9+N9+Q9</f>
        <v>143686.21899999998</v>
      </c>
      <c r="W9" s="12">
        <f>G9+J9+M9+P9</f>
        <v>51.2</v>
      </c>
    </row>
    <row r="10" spans="1:23" ht="30" customHeight="1" hidden="1">
      <c r="A10" s="15">
        <v>2</v>
      </c>
      <c r="B10" s="496" t="s">
        <v>41</v>
      </c>
      <c r="C10" s="497"/>
      <c r="D10" s="498"/>
      <c r="E10" s="78"/>
      <c r="F10" s="15"/>
      <c r="G10" s="57">
        <f>G11+G12+G13+G14+G15+G16</f>
        <v>3047.7000000000003</v>
      </c>
      <c r="H10" s="9">
        <f>H11+H12+H13+H14+H15+H16</f>
        <v>8161801.554</v>
      </c>
      <c r="I10" s="9"/>
      <c r="J10" s="9">
        <f>J11+J12+J13+J14+J15+J16</f>
        <v>894.2</v>
      </c>
      <c r="K10" s="9">
        <f>K11+K12+K13+K14+K15+K16</f>
        <v>2394685.484</v>
      </c>
      <c r="L10" s="9"/>
      <c r="M10" s="9">
        <f>M11+M12+M13+M14+M15+M16</f>
        <v>284.29999999999995</v>
      </c>
      <c r="N10" s="9">
        <f>N11+N12+N13+N14+N15+N16</f>
        <v>849906.321</v>
      </c>
      <c r="O10" s="9"/>
      <c r="P10" s="9">
        <f>P11+P12+P13+P14+P15+P16</f>
        <v>2169.5</v>
      </c>
      <c r="Q10" s="9">
        <f>Q11+Q12+Q13+Q14+Q15+Q16</f>
        <v>6485655.165</v>
      </c>
      <c r="R10" s="9">
        <f>R11+R12+R13+R14+R15+R16</f>
        <v>6395.7</v>
      </c>
      <c r="S10" s="9">
        <f>S11+S12+S13+S14+S15+S16</f>
        <v>17892048.524</v>
      </c>
      <c r="T10" s="67" t="s">
        <v>21</v>
      </c>
      <c r="U10" s="13"/>
      <c r="V10" s="11"/>
      <c r="W10" s="12"/>
    </row>
    <row r="11" spans="1:23" ht="33.75" customHeight="1" hidden="1">
      <c r="A11" s="15"/>
      <c r="B11" s="422" t="s">
        <v>34</v>
      </c>
      <c r="C11" s="423"/>
      <c r="D11" s="424"/>
      <c r="E11" s="79"/>
      <c r="F11" s="15">
        <v>968.6</v>
      </c>
      <c r="G11" s="58">
        <v>780</v>
      </c>
      <c r="H11" s="16">
        <f>G11*G36</f>
        <v>2088855.6</v>
      </c>
      <c r="I11" s="16">
        <v>347.1</v>
      </c>
      <c r="J11" s="16">
        <v>150</v>
      </c>
      <c r="K11" s="16">
        <f>J11*G36</f>
        <v>401703</v>
      </c>
      <c r="L11" s="16">
        <v>138.9</v>
      </c>
      <c r="M11" s="16">
        <v>50</v>
      </c>
      <c r="N11" s="16">
        <f>M11*H36</f>
        <v>149473.5</v>
      </c>
      <c r="O11" s="16">
        <v>879.1</v>
      </c>
      <c r="P11" s="16">
        <v>290</v>
      </c>
      <c r="Q11" s="16">
        <f>P11*H36</f>
        <v>866946.2999999999</v>
      </c>
      <c r="R11" s="16">
        <f t="shared" si="0"/>
        <v>1270</v>
      </c>
      <c r="S11" s="16">
        <f t="shared" si="0"/>
        <v>3506978.4</v>
      </c>
      <c r="T11" s="67" t="s">
        <v>21</v>
      </c>
      <c r="U11" s="13"/>
      <c r="V11" s="11">
        <f aca="true" t="shared" si="1" ref="V11:V28">H11+K11+N11+Q11</f>
        <v>3506978.4</v>
      </c>
      <c r="W11" s="12">
        <f aca="true" t="shared" si="2" ref="W11:W28">G11+J11+M11+P11</f>
        <v>1270</v>
      </c>
    </row>
    <row r="12" spans="1:23" ht="31.5" customHeight="1" hidden="1">
      <c r="A12" s="15"/>
      <c r="B12" s="422" t="s">
        <v>35</v>
      </c>
      <c r="C12" s="423"/>
      <c r="D12" s="424"/>
      <c r="E12" s="79"/>
      <c r="F12" s="15">
        <v>275.5</v>
      </c>
      <c r="G12" s="58">
        <v>260.8</v>
      </c>
      <c r="H12" s="16">
        <f>G12*G36</f>
        <v>698427.616</v>
      </c>
      <c r="I12" s="16">
        <v>101.3</v>
      </c>
      <c r="J12" s="16">
        <v>82.4</v>
      </c>
      <c r="K12" s="16">
        <f>J12*G36</f>
        <v>220668.84800000003</v>
      </c>
      <c r="L12" s="16">
        <v>40.3</v>
      </c>
      <c r="M12" s="16">
        <v>24.8</v>
      </c>
      <c r="N12" s="16">
        <f>M12*H36</f>
        <v>74138.856</v>
      </c>
      <c r="O12" s="16">
        <v>245.5</v>
      </c>
      <c r="P12" s="16">
        <v>214.4</v>
      </c>
      <c r="Q12" s="16">
        <f>P12*H36</f>
        <v>640942.368</v>
      </c>
      <c r="R12" s="16">
        <f t="shared" si="0"/>
        <v>582.4000000000001</v>
      </c>
      <c r="S12" s="16">
        <f t="shared" si="0"/>
        <v>1634177.688</v>
      </c>
      <c r="T12" s="67" t="s">
        <v>21</v>
      </c>
      <c r="U12" s="13"/>
      <c r="V12" s="11">
        <f t="shared" si="1"/>
        <v>1634177.688</v>
      </c>
      <c r="W12" s="12">
        <f t="shared" si="2"/>
        <v>582.4000000000001</v>
      </c>
    </row>
    <row r="13" spans="1:23" ht="29.25" customHeight="1" hidden="1">
      <c r="A13" s="15"/>
      <c r="B13" s="422" t="s">
        <v>36</v>
      </c>
      <c r="C13" s="423"/>
      <c r="D13" s="424"/>
      <c r="E13" s="79"/>
      <c r="F13" s="15">
        <v>1020.1</v>
      </c>
      <c r="G13" s="58">
        <v>993.2</v>
      </c>
      <c r="H13" s="16">
        <f>G13*G36</f>
        <v>2659809.464</v>
      </c>
      <c r="I13" s="16">
        <v>343</v>
      </c>
      <c r="J13" s="16">
        <v>313.8</v>
      </c>
      <c r="K13" s="16">
        <f>J13*G36</f>
        <v>840362.676</v>
      </c>
      <c r="L13" s="16">
        <v>122.2</v>
      </c>
      <c r="M13" s="16">
        <v>95.1</v>
      </c>
      <c r="N13" s="16">
        <f>M13*H36</f>
        <v>284298.59699999995</v>
      </c>
      <c r="O13" s="16">
        <v>920.9</v>
      </c>
      <c r="P13" s="16">
        <v>816.6</v>
      </c>
      <c r="Q13" s="16">
        <f>P13*H36</f>
        <v>2441201.202</v>
      </c>
      <c r="R13" s="16">
        <f t="shared" si="0"/>
        <v>2218.7</v>
      </c>
      <c r="S13" s="16">
        <f t="shared" si="0"/>
        <v>6225671.939</v>
      </c>
      <c r="T13" s="67" t="s">
        <v>21</v>
      </c>
      <c r="U13" s="13"/>
      <c r="V13" s="11">
        <f t="shared" si="1"/>
        <v>6225671.939</v>
      </c>
      <c r="W13" s="12">
        <f t="shared" si="2"/>
        <v>2218.7</v>
      </c>
    </row>
    <row r="14" spans="1:23" ht="35.25" customHeight="1" hidden="1">
      <c r="A14" s="8"/>
      <c r="B14" s="422" t="s">
        <v>37</v>
      </c>
      <c r="C14" s="423"/>
      <c r="D14" s="424"/>
      <c r="E14" s="79"/>
      <c r="F14" s="8">
        <v>186.3</v>
      </c>
      <c r="G14" s="58">
        <v>215.9</v>
      </c>
      <c r="H14" s="16">
        <f>G14*G36</f>
        <v>578184.518</v>
      </c>
      <c r="I14" s="16">
        <v>55.3</v>
      </c>
      <c r="J14" s="16">
        <v>74.5</v>
      </c>
      <c r="K14" s="16">
        <f>J14*G36</f>
        <v>199512.49</v>
      </c>
      <c r="L14" s="16">
        <v>2.8</v>
      </c>
      <c r="M14" s="16">
        <v>24.7</v>
      </c>
      <c r="N14" s="16">
        <f>M14*H36</f>
        <v>73839.909</v>
      </c>
      <c r="O14" s="16">
        <v>158.5</v>
      </c>
      <c r="P14" s="16">
        <v>181.1</v>
      </c>
      <c r="Q14" s="16">
        <f>P14*H36</f>
        <v>541393.017</v>
      </c>
      <c r="R14" s="16">
        <f t="shared" si="0"/>
        <v>496.19999999999993</v>
      </c>
      <c r="S14" s="16">
        <f t="shared" si="0"/>
        <v>1392929.934</v>
      </c>
      <c r="T14" s="67" t="s">
        <v>21</v>
      </c>
      <c r="U14" s="13"/>
      <c r="V14" s="11">
        <f t="shared" si="1"/>
        <v>1392929.934</v>
      </c>
      <c r="W14" s="12">
        <f t="shared" si="2"/>
        <v>496.19999999999993</v>
      </c>
    </row>
    <row r="15" spans="1:23" ht="30" customHeight="1" hidden="1">
      <c r="A15" s="8"/>
      <c r="B15" s="422" t="s">
        <v>38</v>
      </c>
      <c r="C15" s="423"/>
      <c r="D15" s="424"/>
      <c r="E15" s="79"/>
      <c r="F15" s="8">
        <v>619</v>
      </c>
      <c r="G15" s="58">
        <v>550.4</v>
      </c>
      <c r="H15" s="16">
        <f>G15*G36</f>
        <v>1473982.2079999999</v>
      </c>
      <c r="I15" s="16">
        <v>532.4</v>
      </c>
      <c r="J15" s="16">
        <v>193.1</v>
      </c>
      <c r="K15" s="16">
        <f>J15*G36</f>
        <v>517125.66199999995</v>
      </c>
      <c r="L15" s="16">
        <v>142.3</v>
      </c>
      <c r="M15" s="16">
        <v>65</v>
      </c>
      <c r="N15" s="16">
        <f>M15*H36</f>
        <v>194315.55</v>
      </c>
      <c r="O15" s="16">
        <v>646.5</v>
      </c>
      <c r="P15" s="16">
        <v>463.1</v>
      </c>
      <c r="Q15" s="16">
        <f>P15*H36</f>
        <v>1384423.557</v>
      </c>
      <c r="R15" s="16">
        <f t="shared" si="0"/>
        <v>1271.6</v>
      </c>
      <c r="S15" s="16">
        <f t="shared" si="0"/>
        <v>3569846.977</v>
      </c>
      <c r="T15" s="67" t="s">
        <v>21</v>
      </c>
      <c r="U15" s="13"/>
      <c r="V15" s="11">
        <f t="shared" si="1"/>
        <v>3569846.977</v>
      </c>
      <c r="W15" s="12">
        <f t="shared" si="2"/>
        <v>1271.6</v>
      </c>
    </row>
    <row r="16" spans="1:23" ht="52.5" customHeight="1" hidden="1">
      <c r="A16" s="8"/>
      <c r="B16" s="422" t="s">
        <v>39</v>
      </c>
      <c r="C16" s="423"/>
      <c r="D16" s="424"/>
      <c r="E16" s="79"/>
      <c r="F16" s="8">
        <v>277.52</v>
      </c>
      <c r="G16" s="58">
        <v>247.4</v>
      </c>
      <c r="H16" s="16">
        <f>G16*G36</f>
        <v>662542.148</v>
      </c>
      <c r="I16" s="16">
        <v>129</v>
      </c>
      <c r="J16" s="16">
        <v>80.4</v>
      </c>
      <c r="K16" s="16">
        <f>J16*G36</f>
        <v>215312.80800000002</v>
      </c>
      <c r="L16" s="16">
        <v>7.2</v>
      </c>
      <c r="M16" s="16">
        <v>24.7</v>
      </c>
      <c r="N16" s="16">
        <f>M16*H36</f>
        <v>73839.909</v>
      </c>
      <c r="O16" s="16">
        <v>182.6</v>
      </c>
      <c r="P16" s="16">
        <v>204.3</v>
      </c>
      <c r="Q16" s="16">
        <f>P16*H36</f>
        <v>610748.721</v>
      </c>
      <c r="R16" s="16">
        <f t="shared" si="0"/>
        <v>556.8</v>
      </c>
      <c r="S16" s="16">
        <f t="shared" si="0"/>
        <v>1562443.5860000001</v>
      </c>
      <c r="T16" s="67" t="s">
        <v>21</v>
      </c>
      <c r="U16" s="13"/>
      <c r="V16" s="11">
        <f t="shared" si="1"/>
        <v>1562443.5860000001</v>
      </c>
      <c r="W16" s="12">
        <f t="shared" si="2"/>
        <v>556.8</v>
      </c>
    </row>
    <row r="17" spans="1:23" ht="30.75" customHeight="1" hidden="1">
      <c r="A17" s="15">
        <v>3</v>
      </c>
      <c r="B17" s="496" t="s">
        <v>42</v>
      </c>
      <c r="C17" s="497"/>
      <c r="D17" s="498"/>
      <c r="E17" s="78"/>
      <c r="F17" s="8"/>
      <c r="G17" s="57">
        <v>362.4</v>
      </c>
      <c r="H17" s="9">
        <f>G17*G36</f>
        <v>970514.448</v>
      </c>
      <c r="I17" s="9"/>
      <c r="J17" s="9">
        <v>118.4</v>
      </c>
      <c r="K17" s="9">
        <f>J17*G36</f>
        <v>317077.568</v>
      </c>
      <c r="L17" s="9"/>
      <c r="M17" s="9">
        <v>36.5</v>
      </c>
      <c r="N17" s="9">
        <f>M17*H36</f>
        <v>109115.655</v>
      </c>
      <c r="O17" s="9"/>
      <c r="P17" s="9">
        <v>300</v>
      </c>
      <c r="Q17" s="9">
        <f>P17*H36</f>
        <v>896840.9999999999</v>
      </c>
      <c r="R17" s="9">
        <f t="shared" si="0"/>
        <v>817.3</v>
      </c>
      <c r="S17" s="9">
        <f t="shared" si="0"/>
        <v>2293548.671</v>
      </c>
      <c r="U17" s="13"/>
      <c r="V17" s="11"/>
      <c r="W17" s="12">
        <f t="shared" si="2"/>
        <v>817.3</v>
      </c>
    </row>
    <row r="18" spans="1:23" ht="39" customHeight="1" hidden="1">
      <c r="A18" s="15">
        <v>4</v>
      </c>
      <c r="B18" s="496" t="s">
        <v>43</v>
      </c>
      <c r="C18" s="497"/>
      <c r="D18" s="498"/>
      <c r="E18" s="78"/>
      <c r="F18" s="8"/>
      <c r="G18" s="57">
        <f>G19+G20+G21</f>
        <v>40.4</v>
      </c>
      <c r="H18" s="9">
        <f>H19+H20+H21</f>
        <v>108192.008</v>
      </c>
      <c r="I18" s="9"/>
      <c r="J18" s="9">
        <f>J19+J20+J21</f>
        <v>13.200000000000001</v>
      </c>
      <c r="K18" s="9">
        <f>K19+K20+K21</f>
        <v>35349.864</v>
      </c>
      <c r="L18" s="9"/>
      <c r="M18" s="9">
        <f>M19+M20+M21</f>
        <v>4.2</v>
      </c>
      <c r="N18" s="9">
        <f>N19+N20+N21</f>
        <v>12555.774</v>
      </c>
      <c r="O18" s="9"/>
      <c r="P18" s="9">
        <f>P19+P20+P21</f>
        <v>33.5</v>
      </c>
      <c r="Q18" s="9">
        <f>Q19+Q20+Q21</f>
        <v>100147.245</v>
      </c>
      <c r="R18" s="9">
        <f>R19+R20+R21</f>
        <v>91.30000000000001</v>
      </c>
      <c r="S18" s="9">
        <f>S19+S20+S21</f>
        <v>256244.891</v>
      </c>
      <c r="U18" s="11"/>
      <c r="V18" s="11"/>
      <c r="W18" s="12"/>
    </row>
    <row r="19" spans="1:23" ht="27" customHeight="1" hidden="1">
      <c r="A19" s="8"/>
      <c r="B19" s="422" t="s">
        <v>44</v>
      </c>
      <c r="C19" s="423"/>
      <c r="D19" s="424"/>
      <c r="E19" s="79"/>
      <c r="F19" s="8"/>
      <c r="G19" s="58">
        <v>23.3</v>
      </c>
      <c r="H19" s="16">
        <f>G19*G36</f>
        <v>62397.866</v>
      </c>
      <c r="I19" s="16"/>
      <c r="J19" s="16">
        <v>7.5</v>
      </c>
      <c r="K19" s="16">
        <f>J19*G36</f>
        <v>20085.15</v>
      </c>
      <c r="L19" s="16"/>
      <c r="M19" s="16">
        <v>2.4</v>
      </c>
      <c r="N19" s="16">
        <f>M19*H36</f>
        <v>7174.727999999999</v>
      </c>
      <c r="O19" s="16"/>
      <c r="P19" s="16">
        <v>19.3</v>
      </c>
      <c r="Q19" s="16">
        <f>P19*H36</f>
        <v>57696.771</v>
      </c>
      <c r="R19" s="16">
        <f aca="true" t="shared" si="3" ref="R19:S21">G19+J19+M19+P19</f>
        <v>52.5</v>
      </c>
      <c r="S19" s="16">
        <f t="shared" si="3"/>
        <v>147354.515</v>
      </c>
      <c r="U19" s="11"/>
      <c r="V19" s="11"/>
      <c r="W19" s="12"/>
    </row>
    <row r="20" spans="1:23" ht="25.5" customHeight="1" hidden="1">
      <c r="A20" s="8"/>
      <c r="B20" s="422" t="s">
        <v>45</v>
      </c>
      <c r="C20" s="423"/>
      <c r="D20" s="424"/>
      <c r="E20" s="79"/>
      <c r="F20" s="8"/>
      <c r="G20" s="58">
        <v>2.4</v>
      </c>
      <c r="H20" s="16">
        <f>G20*G36</f>
        <v>6427.248</v>
      </c>
      <c r="I20" s="16"/>
      <c r="J20" s="16">
        <v>0.8</v>
      </c>
      <c r="K20" s="16">
        <f>J20*G36</f>
        <v>2142.416</v>
      </c>
      <c r="L20" s="16"/>
      <c r="M20" s="16">
        <v>0.2</v>
      </c>
      <c r="N20" s="16">
        <f>M20*H36</f>
        <v>597.894</v>
      </c>
      <c r="O20" s="16"/>
      <c r="P20" s="16">
        <v>2</v>
      </c>
      <c r="Q20" s="16">
        <f>P20*H36</f>
        <v>5978.94</v>
      </c>
      <c r="R20" s="16">
        <f t="shared" si="3"/>
        <v>5.4</v>
      </c>
      <c r="S20" s="16">
        <f t="shared" si="3"/>
        <v>15146.498</v>
      </c>
      <c r="U20" s="11"/>
      <c r="V20" s="11"/>
      <c r="W20" s="12"/>
    </row>
    <row r="21" spans="1:23" ht="26.25" customHeight="1" hidden="1">
      <c r="A21" s="8"/>
      <c r="B21" s="422" t="s">
        <v>46</v>
      </c>
      <c r="C21" s="423"/>
      <c r="D21" s="424"/>
      <c r="E21" s="79"/>
      <c r="F21" s="8"/>
      <c r="G21" s="58">
        <v>14.7</v>
      </c>
      <c r="H21" s="16">
        <f>G21*G36</f>
        <v>39366.894</v>
      </c>
      <c r="I21" s="16"/>
      <c r="J21" s="16">
        <v>4.9</v>
      </c>
      <c r="K21" s="16">
        <f>J21*G36</f>
        <v>13122.298</v>
      </c>
      <c r="L21" s="16"/>
      <c r="M21" s="16">
        <v>1.6</v>
      </c>
      <c r="N21" s="16">
        <f>M21*H36</f>
        <v>4783.152</v>
      </c>
      <c r="O21" s="16"/>
      <c r="P21" s="16">
        <v>12.2</v>
      </c>
      <c r="Q21" s="16">
        <f>P21*H36</f>
        <v>36471.53399999999</v>
      </c>
      <c r="R21" s="16">
        <f t="shared" si="3"/>
        <v>33.400000000000006</v>
      </c>
      <c r="S21" s="16">
        <f t="shared" si="3"/>
        <v>93743.878</v>
      </c>
      <c r="U21" s="11"/>
      <c r="V21" s="11"/>
      <c r="W21" s="12"/>
    </row>
    <row r="22" spans="1:23" ht="29.25" customHeight="1" hidden="1">
      <c r="A22" s="15">
        <v>5</v>
      </c>
      <c r="B22" s="496" t="s">
        <v>47</v>
      </c>
      <c r="C22" s="497"/>
      <c r="D22" s="498"/>
      <c r="E22" s="78"/>
      <c r="F22" s="8"/>
      <c r="G22" s="57">
        <f>G23+G24+G25+G26+G27+G28</f>
        <v>589.7</v>
      </c>
      <c r="H22" s="9">
        <f>H23+H24+H25+H26+H27+H28</f>
        <v>1579228.3939999996</v>
      </c>
      <c r="I22" s="9"/>
      <c r="J22" s="9">
        <f>J23+J24+J25+J26+J27+J28</f>
        <v>216.9</v>
      </c>
      <c r="K22" s="9">
        <f>K23+K24+K25+K26+K27+K28</f>
        <v>580862.5380000001</v>
      </c>
      <c r="L22" s="9"/>
      <c r="M22" s="9">
        <f>M23+M24+M25+M26+M27+M28</f>
        <v>24.800000000000004</v>
      </c>
      <c r="N22" s="9">
        <f>N23+N24+N25+N26+N27+N28</f>
        <v>74138.856</v>
      </c>
      <c r="O22" s="9"/>
      <c r="P22" s="9">
        <f>P23+P24+P25+P26+P27+P28</f>
        <v>407.8999999999999</v>
      </c>
      <c r="Q22" s="9">
        <f>Q23+Q24+Q25+Q26+Q27+Q28</f>
        <v>1219404.813</v>
      </c>
      <c r="R22" s="9">
        <f>R23+R24+R25+R26+R27+R28</f>
        <v>1239.2999999999997</v>
      </c>
      <c r="S22" s="9">
        <f>S23+S24+S25+S26+S27+S28</f>
        <v>3453634.601</v>
      </c>
      <c r="U22" s="11"/>
      <c r="V22" s="11"/>
      <c r="W22" s="12"/>
    </row>
    <row r="23" spans="1:23" ht="30" customHeight="1" hidden="1">
      <c r="A23" s="8"/>
      <c r="B23" s="422" t="s">
        <v>48</v>
      </c>
      <c r="C23" s="423"/>
      <c r="D23" s="424"/>
      <c r="E23" s="79"/>
      <c r="F23" s="8"/>
      <c r="G23" s="58">
        <v>19.7</v>
      </c>
      <c r="H23" s="16">
        <f>G23*G36</f>
        <v>52756.994</v>
      </c>
      <c r="I23" s="16"/>
      <c r="J23" s="16">
        <v>6.7</v>
      </c>
      <c r="K23" s="16">
        <f>J23*G36</f>
        <v>17942.734</v>
      </c>
      <c r="L23" s="16"/>
      <c r="M23" s="16">
        <v>2.3</v>
      </c>
      <c r="N23" s="16">
        <f>M23*H36</f>
        <v>6875.780999999999</v>
      </c>
      <c r="O23" s="16"/>
      <c r="P23" s="16">
        <v>17.2</v>
      </c>
      <c r="Q23" s="16">
        <f>P23*H36</f>
        <v>51418.88399999999</v>
      </c>
      <c r="R23" s="16">
        <f aca="true" t="shared" si="4" ref="R23:S28">G23+J23+M23+P23</f>
        <v>45.9</v>
      </c>
      <c r="S23" s="16">
        <f t="shared" si="4"/>
        <v>128994.393</v>
      </c>
      <c r="U23" s="11"/>
      <c r="V23" s="11"/>
      <c r="W23" s="12"/>
    </row>
    <row r="24" spans="1:23" ht="28.5" customHeight="1" hidden="1">
      <c r="A24" s="8"/>
      <c r="B24" s="422" t="s">
        <v>49</v>
      </c>
      <c r="C24" s="423"/>
      <c r="D24" s="424"/>
      <c r="E24" s="79"/>
      <c r="F24" s="8"/>
      <c r="G24" s="58">
        <v>317.5</v>
      </c>
      <c r="H24" s="16">
        <f>G24*G36</f>
        <v>850271.35</v>
      </c>
      <c r="I24" s="16"/>
      <c r="J24" s="16">
        <v>111.7</v>
      </c>
      <c r="K24" s="16">
        <f>J24*G36</f>
        <v>299134.83400000003</v>
      </c>
      <c r="L24" s="16"/>
      <c r="M24" s="16">
        <v>5.7</v>
      </c>
      <c r="N24" s="16">
        <f>M24*H36</f>
        <v>17039.979</v>
      </c>
      <c r="O24" s="16"/>
      <c r="P24" s="16">
        <v>205.7</v>
      </c>
      <c r="Q24" s="16">
        <f>P24*H36</f>
        <v>614933.9789999999</v>
      </c>
      <c r="R24" s="16">
        <f t="shared" si="4"/>
        <v>640.5999999999999</v>
      </c>
      <c r="S24" s="16">
        <f t="shared" si="4"/>
        <v>1781380.142</v>
      </c>
      <c r="U24" s="11"/>
      <c r="V24" s="11"/>
      <c r="W24" s="12"/>
    </row>
    <row r="25" spans="1:23" ht="32.25" customHeight="1" hidden="1">
      <c r="A25" s="8"/>
      <c r="B25" s="422" t="s">
        <v>50</v>
      </c>
      <c r="C25" s="423"/>
      <c r="D25" s="424"/>
      <c r="E25" s="79"/>
      <c r="F25" s="8"/>
      <c r="G25" s="58">
        <v>88.5</v>
      </c>
      <c r="H25" s="16">
        <f>G25*G36</f>
        <v>237004.77</v>
      </c>
      <c r="I25" s="16"/>
      <c r="J25" s="16">
        <v>28.3</v>
      </c>
      <c r="K25" s="16">
        <f>J25*G36</f>
        <v>75787.966</v>
      </c>
      <c r="L25" s="16"/>
      <c r="M25" s="16">
        <v>4.8</v>
      </c>
      <c r="N25" s="16">
        <f>M25*H36</f>
        <v>14349.455999999998</v>
      </c>
      <c r="O25" s="16"/>
      <c r="P25" s="16">
        <v>76.4</v>
      </c>
      <c r="Q25" s="16">
        <f>P25*H36</f>
        <v>228395.508</v>
      </c>
      <c r="R25" s="16">
        <f t="shared" si="4"/>
        <v>198</v>
      </c>
      <c r="S25" s="16">
        <f t="shared" si="4"/>
        <v>555537.7</v>
      </c>
      <c r="U25" s="11"/>
      <c r="V25" s="11"/>
      <c r="W25" s="12"/>
    </row>
    <row r="26" spans="1:23" ht="28.5" customHeight="1" hidden="1">
      <c r="A26" s="8"/>
      <c r="B26" s="422" t="s">
        <v>40</v>
      </c>
      <c r="C26" s="423"/>
      <c r="D26" s="424"/>
      <c r="E26" s="79"/>
      <c r="F26" s="8">
        <v>112.1</v>
      </c>
      <c r="G26" s="58">
        <v>70.8</v>
      </c>
      <c r="H26" s="16">
        <f>G26*G36</f>
        <v>189603.816</v>
      </c>
      <c r="I26" s="16"/>
      <c r="J26" s="16">
        <v>33.6</v>
      </c>
      <c r="K26" s="16">
        <f>J26*G36</f>
        <v>89981.47200000001</v>
      </c>
      <c r="L26" s="16"/>
      <c r="M26" s="16">
        <v>6.8</v>
      </c>
      <c r="N26" s="16">
        <f>M26*H36</f>
        <v>20328.395999999997</v>
      </c>
      <c r="O26" s="16"/>
      <c r="P26" s="16">
        <v>40.5</v>
      </c>
      <c r="Q26" s="16">
        <f>P26*H36</f>
        <v>121073.53499999999</v>
      </c>
      <c r="R26" s="16">
        <f t="shared" si="4"/>
        <v>151.7</v>
      </c>
      <c r="S26" s="16">
        <f t="shared" si="4"/>
        <v>420987.219</v>
      </c>
      <c r="T26" s="67" t="s">
        <v>21</v>
      </c>
      <c r="U26" s="11">
        <f>4206.13*P26</f>
        <v>170348.265</v>
      </c>
      <c r="V26" s="11">
        <f t="shared" si="1"/>
        <v>420987.219</v>
      </c>
      <c r="W26" s="12">
        <f t="shared" si="2"/>
        <v>151.7</v>
      </c>
    </row>
    <row r="27" spans="1:23" ht="33" customHeight="1" hidden="1">
      <c r="A27" s="8"/>
      <c r="B27" s="422" t="s">
        <v>51</v>
      </c>
      <c r="C27" s="423"/>
      <c r="D27" s="424"/>
      <c r="E27" s="79"/>
      <c r="F27" s="8">
        <v>87.8</v>
      </c>
      <c r="G27" s="58">
        <v>30.2</v>
      </c>
      <c r="H27" s="16">
        <f>G27*G36</f>
        <v>80876.204</v>
      </c>
      <c r="I27" s="16"/>
      <c r="J27" s="16">
        <v>9.6</v>
      </c>
      <c r="K27" s="16">
        <f>J27*G36</f>
        <v>25708.992</v>
      </c>
      <c r="L27" s="16"/>
      <c r="M27" s="16">
        <v>3.1</v>
      </c>
      <c r="N27" s="16">
        <f>M27*H36</f>
        <v>9267.357</v>
      </c>
      <c r="O27" s="16"/>
      <c r="P27" s="16">
        <v>25.9</v>
      </c>
      <c r="Q27" s="16">
        <f>P27*H36</f>
        <v>77427.27299999999</v>
      </c>
      <c r="R27" s="16">
        <f t="shared" si="4"/>
        <v>68.8</v>
      </c>
      <c r="S27" s="16">
        <f t="shared" si="4"/>
        <v>193279.826</v>
      </c>
      <c r="T27" s="67" t="s">
        <v>21</v>
      </c>
      <c r="U27" s="11">
        <f>4206.13*P27</f>
        <v>108938.76699999999</v>
      </c>
      <c r="V27" s="11">
        <f t="shared" si="1"/>
        <v>193279.826</v>
      </c>
      <c r="W27" s="12">
        <f t="shared" si="2"/>
        <v>68.8</v>
      </c>
    </row>
    <row r="28" spans="1:23" ht="26.25" customHeight="1" hidden="1">
      <c r="A28" s="8"/>
      <c r="B28" s="422" t="s">
        <v>52</v>
      </c>
      <c r="C28" s="423"/>
      <c r="D28" s="424"/>
      <c r="E28" s="79"/>
      <c r="F28" s="8">
        <v>331.5</v>
      </c>
      <c r="G28" s="58">
        <v>63</v>
      </c>
      <c r="H28" s="16">
        <f>G28*G36</f>
        <v>168715.26</v>
      </c>
      <c r="I28" s="16"/>
      <c r="J28" s="16">
        <v>27</v>
      </c>
      <c r="K28" s="16">
        <f>J28*G36</f>
        <v>72306.54</v>
      </c>
      <c r="L28" s="16"/>
      <c r="M28" s="16">
        <v>2.1</v>
      </c>
      <c r="N28" s="16">
        <f>M28*H36</f>
        <v>6277.887</v>
      </c>
      <c r="O28" s="16"/>
      <c r="P28" s="16">
        <v>42.2</v>
      </c>
      <c r="Q28" s="16">
        <f>P28*H36</f>
        <v>126155.634</v>
      </c>
      <c r="R28" s="16">
        <f t="shared" si="4"/>
        <v>134.3</v>
      </c>
      <c r="S28" s="16">
        <f t="shared" si="4"/>
        <v>373455.321</v>
      </c>
      <c r="T28" s="67" t="s">
        <v>21</v>
      </c>
      <c r="U28" s="11">
        <f>4206.13*P28</f>
        <v>177498.68600000002</v>
      </c>
      <c r="V28" s="11">
        <f t="shared" si="1"/>
        <v>373455.321</v>
      </c>
      <c r="W28" s="12">
        <f t="shared" si="2"/>
        <v>134.3</v>
      </c>
    </row>
    <row r="29" spans="1:23" ht="28.5" customHeight="1" hidden="1">
      <c r="A29" s="15">
        <v>6</v>
      </c>
      <c r="B29" s="496" t="s">
        <v>53</v>
      </c>
      <c r="C29" s="497"/>
      <c r="D29" s="498"/>
      <c r="E29" s="78"/>
      <c r="F29" s="8"/>
      <c r="G29" s="57">
        <f>G30+G31</f>
        <v>224.79999999999998</v>
      </c>
      <c r="H29" s="9">
        <f>H30+H31</f>
        <v>602018.896</v>
      </c>
      <c r="I29" s="9"/>
      <c r="J29" s="9">
        <f>J30+J31</f>
        <v>73.6</v>
      </c>
      <c r="K29" s="9">
        <f>K30+K31</f>
        <v>197102.272</v>
      </c>
      <c r="L29" s="9"/>
      <c r="M29" s="9">
        <f>M30+M31</f>
        <v>23.2</v>
      </c>
      <c r="N29" s="9">
        <f>N30+N31</f>
        <v>69355.704</v>
      </c>
      <c r="O29" s="9"/>
      <c r="P29" s="9">
        <f>P30+P31</f>
        <v>186.39999999999998</v>
      </c>
      <c r="Q29" s="9">
        <f>Q30+Q31</f>
        <v>557237.2079999999</v>
      </c>
      <c r="R29" s="9">
        <f>R30+R31</f>
        <v>508</v>
      </c>
      <c r="S29" s="9">
        <f>S30+S31</f>
        <v>1425714.08</v>
      </c>
      <c r="U29" s="11"/>
      <c r="V29" s="11"/>
      <c r="W29" s="12"/>
    </row>
    <row r="30" spans="1:23" ht="28.5" customHeight="1" hidden="1">
      <c r="A30" s="8"/>
      <c r="B30" s="422" t="s">
        <v>54</v>
      </c>
      <c r="C30" s="423"/>
      <c r="D30" s="424"/>
      <c r="E30" s="79"/>
      <c r="F30" s="8"/>
      <c r="G30" s="58">
        <v>87.6</v>
      </c>
      <c r="H30" s="16">
        <f>G30*G36</f>
        <v>234594.552</v>
      </c>
      <c r="I30" s="16"/>
      <c r="J30" s="16">
        <v>30.2</v>
      </c>
      <c r="K30" s="16">
        <f>J30*G36</f>
        <v>80876.204</v>
      </c>
      <c r="L30" s="16"/>
      <c r="M30" s="16">
        <v>10.1</v>
      </c>
      <c r="N30" s="16">
        <f>M30*H36</f>
        <v>30193.646999999997</v>
      </c>
      <c r="O30" s="16"/>
      <c r="P30" s="16">
        <v>73.6</v>
      </c>
      <c r="Q30" s="16">
        <f>P30*H36</f>
        <v>220024.99199999997</v>
      </c>
      <c r="R30" s="16">
        <f aca="true" t="shared" si="5" ref="R30:S32">G30+J30+M30+P30</f>
        <v>201.5</v>
      </c>
      <c r="S30" s="16">
        <f t="shared" si="5"/>
        <v>565689.395</v>
      </c>
      <c r="U30" s="11"/>
      <c r="V30" s="11"/>
      <c r="W30" s="12"/>
    </row>
    <row r="31" spans="1:23" ht="27" customHeight="1" hidden="1">
      <c r="A31" s="8"/>
      <c r="B31" s="422" t="s">
        <v>55</v>
      </c>
      <c r="C31" s="423"/>
      <c r="D31" s="424"/>
      <c r="E31" s="79"/>
      <c r="F31" s="8"/>
      <c r="G31" s="58">
        <v>137.2</v>
      </c>
      <c r="H31" s="16">
        <f>G31*G36</f>
        <v>367424.344</v>
      </c>
      <c r="I31" s="16"/>
      <c r="J31" s="16">
        <v>43.4</v>
      </c>
      <c r="K31" s="16">
        <f>J31*G36</f>
        <v>116226.068</v>
      </c>
      <c r="L31" s="16"/>
      <c r="M31" s="16">
        <v>13.1</v>
      </c>
      <c r="N31" s="16">
        <f>M31*H36</f>
        <v>39162.05699999999</v>
      </c>
      <c r="O31" s="16"/>
      <c r="P31" s="16">
        <v>112.8</v>
      </c>
      <c r="Q31" s="16">
        <f>P31*H36</f>
        <v>337212.21599999996</v>
      </c>
      <c r="R31" s="16">
        <f t="shared" si="5"/>
        <v>306.5</v>
      </c>
      <c r="S31" s="16">
        <f t="shared" si="5"/>
        <v>860024.6849999999</v>
      </c>
      <c r="U31" s="11"/>
      <c r="V31" s="11"/>
      <c r="W31" s="12"/>
    </row>
    <row r="32" spans="1:23" ht="27" customHeight="1" hidden="1">
      <c r="A32" s="15">
        <v>7</v>
      </c>
      <c r="B32" s="496" t="s">
        <v>56</v>
      </c>
      <c r="C32" s="497"/>
      <c r="D32" s="498"/>
      <c r="E32" s="78"/>
      <c r="F32" s="8"/>
      <c r="G32" s="57">
        <v>127</v>
      </c>
      <c r="H32" s="9">
        <f>G32*G36</f>
        <v>340108.54</v>
      </c>
      <c r="I32" s="9"/>
      <c r="J32" s="9">
        <v>43.6</v>
      </c>
      <c r="K32" s="9">
        <f>J32*G36</f>
        <v>116761.672</v>
      </c>
      <c r="L32" s="9"/>
      <c r="M32" s="9">
        <v>14.4</v>
      </c>
      <c r="N32" s="9">
        <f>M32*H36</f>
        <v>43048.367999999995</v>
      </c>
      <c r="O32" s="9"/>
      <c r="P32" s="9">
        <v>106.3</v>
      </c>
      <c r="Q32" s="9">
        <f>P32*H36</f>
        <v>317780.66099999996</v>
      </c>
      <c r="R32" s="9">
        <f t="shared" si="5"/>
        <v>291.3</v>
      </c>
      <c r="S32" s="9">
        <f t="shared" si="5"/>
        <v>817699.2409999999</v>
      </c>
      <c r="U32" s="11"/>
      <c r="V32" s="11"/>
      <c r="W32" s="12"/>
    </row>
    <row r="33" spans="1:23" ht="26.25" customHeight="1" hidden="1">
      <c r="A33" s="8"/>
      <c r="B33" s="499" t="s">
        <v>19</v>
      </c>
      <c r="C33" s="500"/>
      <c r="D33" s="501"/>
      <c r="E33" s="80"/>
      <c r="F33" s="15" t="e">
        <f>F9+#REF!+#REF!+F11+F12+F13+F14+F15+F16+F26+F27+F28+#REF!</f>
        <v>#REF!</v>
      </c>
      <c r="G33" s="9">
        <f>G9+G10+G17+G18+G22+G29+G32</f>
        <v>4414.6</v>
      </c>
      <c r="H33" s="9">
        <f>H9+H10+H17+H18+H22+H29+H32</f>
        <v>11822387.091999998</v>
      </c>
      <c r="I33" s="9">
        <f aca="true" t="shared" si="6" ref="I33:O33">I9+I11+I12+I13+I14+I15+I16+I26+I27+I28</f>
        <v>1516</v>
      </c>
      <c r="J33" s="9">
        <f>J9+J10+J17+J18+J22+J29+J32</f>
        <v>1367.3999999999999</v>
      </c>
      <c r="K33" s="9">
        <f>K9+K10+K17+K18+K22+K29+K32</f>
        <v>3661924.548</v>
      </c>
      <c r="L33" s="9">
        <f t="shared" si="6"/>
        <v>456.6</v>
      </c>
      <c r="M33" s="9">
        <f>M9+M10+M17+M18+M22+M29+M32</f>
        <v>389.7999999999999</v>
      </c>
      <c r="N33" s="9">
        <f>N9+N10+N17+N18+N22+N29+N32</f>
        <v>1165295.406</v>
      </c>
      <c r="O33" s="9">
        <f t="shared" si="6"/>
        <v>3053.7</v>
      </c>
      <c r="P33" s="9">
        <f>P9+P10+P17+P18+P22+P29+P32</f>
        <v>3222.3</v>
      </c>
      <c r="Q33" s="9">
        <f>Q9+Q10+Q17+Q22+Q29+Q32+Q18</f>
        <v>9632969.181</v>
      </c>
      <c r="R33" s="9">
        <f>R9+R10+R17+R18+R22+R29+R32</f>
        <v>9394.099999999999</v>
      </c>
      <c r="S33" s="9">
        <f>S9+S10+S17+S18+S22+S29+S32</f>
        <v>26282576.227</v>
      </c>
      <c r="T33" s="69"/>
      <c r="U33" s="20"/>
      <c r="V33" s="12"/>
      <c r="W33" s="12"/>
    </row>
    <row r="34" spans="1:23" ht="25.5" customHeight="1" hidden="1">
      <c r="A34" s="59"/>
      <c r="B34" s="502" t="s">
        <v>8</v>
      </c>
      <c r="C34" s="503"/>
      <c r="D34" s="504"/>
      <c r="E34" s="81"/>
      <c r="F34" s="427" t="s">
        <v>65</v>
      </c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9"/>
      <c r="U34" s="12"/>
      <c r="V34" s="12"/>
      <c r="W34" s="12"/>
    </row>
    <row r="35" spans="1:23" ht="15.75" customHeight="1" hidden="1">
      <c r="A35" s="22"/>
      <c r="B35" s="23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U35" s="12"/>
      <c r="V35" s="12"/>
      <c r="W35" s="12"/>
    </row>
    <row r="36" spans="1:23" ht="28.5" customHeight="1" hidden="1">
      <c r="A36" s="25"/>
      <c r="B36" s="26"/>
      <c r="C36" s="26"/>
      <c r="D36" s="27"/>
      <c r="E36" s="27"/>
      <c r="F36" s="28" t="s">
        <v>11</v>
      </c>
      <c r="G36" s="3">
        <v>2678.02</v>
      </c>
      <c r="H36" s="4">
        <v>2989.47</v>
      </c>
      <c r="I36" s="28" t="s">
        <v>16</v>
      </c>
      <c r="J36" s="28"/>
      <c r="K36" s="28"/>
      <c r="L36" s="28"/>
      <c r="M36" s="28"/>
      <c r="N36" s="26"/>
      <c r="O36" s="29"/>
      <c r="P36" s="29"/>
      <c r="Q36" s="29"/>
      <c r="R36" s="29"/>
      <c r="S36" s="29"/>
      <c r="U36" s="12"/>
      <c r="V36" s="12"/>
      <c r="W36" s="12"/>
    </row>
    <row r="37" spans="1:23" ht="20.25" customHeight="1" hidden="1">
      <c r="A37" s="476" t="s">
        <v>68</v>
      </c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U37" s="12"/>
      <c r="V37" s="12"/>
      <c r="W37" s="12"/>
    </row>
    <row r="38" spans="1:23" ht="19.5" customHeight="1" hidden="1">
      <c r="A38" s="484" t="s">
        <v>15</v>
      </c>
      <c r="B38" s="485" t="s">
        <v>0</v>
      </c>
      <c r="C38" s="486"/>
      <c r="D38" s="487"/>
      <c r="E38" s="72"/>
      <c r="F38" s="409" t="s">
        <v>1</v>
      </c>
      <c r="G38" s="409"/>
      <c r="H38" s="409"/>
      <c r="I38" s="409" t="s">
        <v>3</v>
      </c>
      <c r="J38" s="409"/>
      <c r="K38" s="409"/>
      <c r="L38" s="409" t="s">
        <v>4</v>
      </c>
      <c r="M38" s="409"/>
      <c r="N38" s="409"/>
      <c r="O38" s="409" t="s">
        <v>6</v>
      </c>
      <c r="P38" s="409"/>
      <c r="Q38" s="409"/>
      <c r="R38" s="409" t="s">
        <v>7</v>
      </c>
      <c r="S38" s="409"/>
      <c r="U38" s="12"/>
      <c r="V38" s="12"/>
      <c r="W38" s="12"/>
    </row>
    <row r="39" spans="1:23" ht="30" customHeight="1" hidden="1">
      <c r="A39" s="484"/>
      <c r="B39" s="488"/>
      <c r="C39" s="489"/>
      <c r="D39" s="490"/>
      <c r="E39" s="73"/>
      <c r="F39" s="75"/>
      <c r="G39" s="75" t="s">
        <v>9</v>
      </c>
      <c r="H39" s="75" t="s">
        <v>5</v>
      </c>
      <c r="I39" s="75" t="s">
        <v>9</v>
      </c>
      <c r="J39" s="75" t="s">
        <v>9</v>
      </c>
      <c r="K39" s="75" t="s">
        <v>5</v>
      </c>
      <c r="L39" s="75" t="s">
        <v>9</v>
      </c>
      <c r="M39" s="75" t="s">
        <v>9</v>
      </c>
      <c r="N39" s="75" t="s">
        <v>5</v>
      </c>
      <c r="O39" s="75" t="s">
        <v>9</v>
      </c>
      <c r="P39" s="75" t="s">
        <v>9</v>
      </c>
      <c r="Q39" s="75" t="s">
        <v>5</v>
      </c>
      <c r="R39" s="75" t="s">
        <v>9</v>
      </c>
      <c r="S39" s="75" t="s">
        <v>5</v>
      </c>
      <c r="U39" s="12"/>
      <c r="V39" s="12"/>
      <c r="W39" s="12"/>
    </row>
    <row r="40" spans="1:23" ht="30" customHeight="1" hidden="1">
      <c r="A40" s="31">
        <v>1</v>
      </c>
      <c r="B40" s="505" t="s">
        <v>33</v>
      </c>
      <c r="C40" s="506"/>
      <c r="D40" s="507"/>
      <c r="E40" s="82"/>
      <c r="F40" s="31">
        <v>1800</v>
      </c>
      <c r="G40" s="32">
        <v>1750</v>
      </c>
      <c r="H40" s="32">
        <f>G40*G65</f>
        <v>8792.7</v>
      </c>
      <c r="I40" s="32">
        <v>1200</v>
      </c>
      <c r="J40" s="32">
        <v>1750</v>
      </c>
      <c r="K40" s="32">
        <f>J40*G65</f>
        <v>8792.7</v>
      </c>
      <c r="L40" s="32">
        <v>1500</v>
      </c>
      <c r="M40" s="32">
        <v>1750</v>
      </c>
      <c r="N40" s="32">
        <f>M40*H65</f>
        <v>9759.75</v>
      </c>
      <c r="O40" s="32">
        <v>1500</v>
      </c>
      <c r="P40" s="32">
        <v>1751.1</v>
      </c>
      <c r="Q40" s="32">
        <f>P40*H65</f>
        <v>9765.884699999999</v>
      </c>
      <c r="R40" s="32">
        <f>G40+J40+M40+P40</f>
        <v>7001.1</v>
      </c>
      <c r="S40" s="32">
        <f>H40+K40+N40+Q40</f>
        <v>37111.034700000004</v>
      </c>
      <c r="T40" s="67" t="s">
        <v>21</v>
      </c>
      <c r="U40" s="12">
        <f>5.629*P40</f>
        <v>9856.941899999998</v>
      </c>
      <c r="V40" s="11">
        <f>H40+K40+N40+Q40</f>
        <v>37111.034700000004</v>
      </c>
      <c r="W40" s="12">
        <f>G40+J40+M40+P40</f>
        <v>7001.1</v>
      </c>
    </row>
    <row r="41" spans="1:23" ht="30" customHeight="1" hidden="1">
      <c r="A41" s="15">
        <v>2</v>
      </c>
      <c r="B41" s="496" t="s">
        <v>41</v>
      </c>
      <c r="C41" s="497"/>
      <c r="D41" s="498"/>
      <c r="E41" s="78"/>
      <c r="F41" s="31"/>
      <c r="G41" s="32">
        <f>G42+G43+G44+G45+G46+G47</f>
        <v>181078</v>
      </c>
      <c r="H41" s="32">
        <f>H42+H43+H44+H45+H46+H47</f>
        <v>909808.3032000001</v>
      </c>
      <c r="I41" s="32"/>
      <c r="J41" s="32">
        <f>J42+J43+J44+J45+J46+J47</f>
        <v>182881</v>
      </c>
      <c r="K41" s="32">
        <f>K42+K43+K44+K45+K46+K47</f>
        <v>918867.2964000001</v>
      </c>
      <c r="L41" s="32"/>
      <c r="M41" s="32">
        <f>M42+M43+M44+M45+M46+M47</f>
        <v>167091</v>
      </c>
      <c r="N41" s="32">
        <f>N42+N43+N44+N45+N46+N47</f>
        <v>931866.507</v>
      </c>
      <c r="O41" s="32"/>
      <c r="P41" s="32">
        <f>P42+P43+P44+P45+P46+P47</f>
        <v>250747</v>
      </c>
      <c r="Q41" s="32">
        <f>Q42+Q43+Q44+Q45+Q46+Q47</f>
        <v>1398416.019</v>
      </c>
      <c r="R41" s="32">
        <f>R42+R43+R44+R45+R46+R47</f>
        <v>781797</v>
      </c>
      <c r="S41" s="32">
        <f>S42+S43+S44+S45+S46+S47</f>
        <v>4158958.1255999994</v>
      </c>
      <c r="U41" s="12"/>
      <c r="V41" s="11"/>
      <c r="W41" s="12"/>
    </row>
    <row r="42" spans="1:23" ht="33" customHeight="1" hidden="1">
      <c r="A42" s="15"/>
      <c r="B42" s="422" t="s">
        <v>34</v>
      </c>
      <c r="C42" s="423"/>
      <c r="D42" s="424"/>
      <c r="E42" s="79"/>
      <c r="F42" s="15">
        <v>53000</v>
      </c>
      <c r="G42" s="16">
        <v>40000</v>
      </c>
      <c r="H42" s="16">
        <f>G42*G65</f>
        <v>200976</v>
      </c>
      <c r="I42" s="16">
        <v>36000</v>
      </c>
      <c r="J42" s="16">
        <v>43500</v>
      </c>
      <c r="K42" s="16">
        <f>J42*G65</f>
        <v>218561.4</v>
      </c>
      <c r="L42" s="16">
        <v>24000</v>
      </c>
      <c r="M42" s="16">
        <v>25200</v>
      </c>
      <c r="N42" s="16">
        <f>M42*H65</f>
        <v>140540.4</v>
      </c>
      <c r="O42" s="16">
        <v>50000</v>
      </c>
      <c r="P42" s="16">
        <v>64000</v>
      </c>
      <c r="Q42" s="16">
        <f>P42*H65</f>
        <v>356928</v>
      </c>
      <c r="R42" s="16">
        <f aca="true" t="shared" si="7" ref="R42:S48">G42+J42+M42+P42</f>
        <v>172700</v>
      </c>
      <c r="S42" s="16">
        <f t="shared" si="7"/>
        <v>917005.8</v>
      </c>
      <c r="T42" s="67" t="s">
        <v>21</v>
      </c>
      <c r="U42" s="12">
        <f aca="true" t="shared" si="8" ref="U42:U52">5.629*P42</f>
        <v>360256</v>
      </c>
      <c r="V42" s="11">
        <f aca="true" t="shared" si="9" ref="V42:V51">H42+K42+N42+Q42</f>
        <v>917005.8</v>
      </c>
      <c r="W42" s="12">
        <f>G42+J42+M42+P42</f>
        <v>172700</v>
      </c>
    </row>
    <row r="43" spans="1:23" ht="33.75" customHeight="1" hidden="1">
      <c r="A43" s="31"/>
      <c r="B43" s="508" t="s">
        <v>57</v>
      </c>
      <c r="C43" s="509"/>
      <c r="D43" s="510"/>
      <c r="E43" s="83"/>
      <c r="F43" s="31">
        <v>27000</v>
      </c>
      <c r="G43" s="34">
        <v>23250</v>
      </c>
      <c r="H43" s="34">
        <f>G43*G65</f>
        <v>116817.3</v>
      </c>
      <c r="I43" s="34">
        <v>17000</v>
      </c>
      <c r="J43" s="34">
        <v>17820</v>
      </c>
      <c r="K43" s="34">
        <f>J43*G65</f>
        <v>89534.808</v>
      </c>
      <c r="L43" s="34">
        <v>19000</v>
      </c>
      <c r="M43" s="34">
        <v>18549</v>
      </c>
      <c r="N43" s="34">
        <f>M43*H65</f>
        <v>103447.773</v>
      </c>
      <c r="O43" s="34">
        <v>41000</v>
      </c>
      <c r="P43" s="34">
        <v>35010</v>
      </c>
      <c r="Q43" s="34">
        <f>P43*H65</f>
        <v>195250.77</v>
      </c>
      <c r="R43" s="34">
        <f t="shared" si="7"/>
        <v>94629</v>
      </c>
      <c r="S43" s="34">
        <f t="shared" si="7"/>
        <v>505050.65099999995</v>
      </c>
      <c r="T43" s="67" t="s">
        <v>21</v>
      </c>
      <c r="U43" s="12">
        <f t="shared" si="8"/>
        <v>197071.28999999998</v>
      </c>
      <c r="V43" s="11">
        <f t="shared" si="9"/>
        <v>505050.65099999995</v>
      </c>
      <c r="W43" s="12">
        <f aca="true" t="shared" si="10" ref="W43:W52">G43+J43+M43+P43</f>
        <v>94629</v>
      </c>
    </row>
    <row r="44" spans="1:23" ht="35.25" customHeight="1" hidden="1">
      <c r="A44" s="15"/>
      <c r="B44" s="422" t="s">
        <v>36</v>
      </c>
      <c r="C44" s="423"/>
      <c r="D44" s="424"/>
      <c r="E44" s="79"/>
      <c r="F44" s="15">
        <v>70000</v>
      </c>
      <c r="G44" s="16">
        <v>29500</v>
      </c>
      <c r="H44" s="16">
        <f>G44*G65</f>
        <v>148219.8</v>
      </c>
      <c r="I44" s="16">
        <v>55000</v>
      </c>
      <c r="J44" s="16">
        <v>46750</v>
      </c>
      <c r="K44" s="16">
        <f>J44*G65</f>
        <v>234890.7</v>
      </c>
      <c r="L44" s="16">
        <v>45000</v>
      </c>
      <c r="M44" s="16">
        <v>38250</v>
      </c>
      <c r="N44" s="16">
        <f>M44*H65</f>
        <v>213320.25</v>
      </c>
      <c r="O44" s="16">
        <v>70000</v>
      </c>
      <c r="P44" s="16">
        <v>39500</v>
      </c>
      <c r="Q44" s="16">
        <f>P44*H65</f>
        <v>220291.5</v>
      </c>
      <c r="R44" s="16">
        <f t="shared" si="7"/>
        <v>154000</v>
      </c>
      <c r="S44" s="16">
        <f t="shared" si="7"/>
        <v>816722.25</v>
      </c>
      <c r="T44" s="67" t="s">
        <v>21</v>
      </c>
      <c r="U44" s="12">
        <f t="shared" si="8"/>
        <v>222345.49999999997</v>
      </c>
      <c r="V44" s="11">
        <f t="shared" si="9"/>
        <v>816722.25</v>
      </c>
      <c r="W44" s="12">
        <f t="shared" si="10"/>
        <v>154000</v>
      </c>
    </row>
    <row r="45" spans="1:23" ht="30.75" customHeight="1" hidden="1">
      <c r="A45" s="8"/>
      <c r="B45" s="511" t="s">
        <v>37</v>
      </c>
      <c r="C45" s="511"/>
      <c r="D45" s="511"/>
      <c r="E45" s="84"/>
      <c r="F45" s="8">
        <v>17000</v>
      </c>
      <c r="G45" s="16">
        <v>49478</v>
      </c>
      <c r="H45" s="16">
        <f>G45*G65</f>
        <v>248597.2632</v>
      </c>
      <c r="I45" s="16">
        <v>14000</v>
      </c>
      <c r="J45" s="16">
        <v>40561</v>
      </c>
      <c r="K45" s="16">
        <f>J45*G65</f>
        <v>203794.68839999998</v>
      </c>
      <c r="L45" s="16">
        <v>13000</v>
      </c>
      <c r="M45" s="16">
        <v>34292</v>
      </c>
      <c r="N45" s="16">
        <f>M45*H65</f>
        <v>191246.484</v>
      </c>
      <c r="O45" s="16">
        <v>24000</v>
      </c>
      <c r="P45" s="16">
        <v>62737</v>
      </c>
      <c r="Q45" s="16">
        <f>P45*H65</f>
        <v>349884.249</v>
      </c>
      <c r="R45" s="16">
        <f t="shared" si="7"/>
        <v>187068</v>
      </c>
      <c r="S45" s="16">
        <f t="shared" si="7"/>
        <v>993522.6846</v>
      </c>
      <c r="T45" s="67" t="s">
        <v>21</v>
      </c>
      <c r="U45" s="12">
        <f t="shared" si="8"/>
        <v>353146.573</v>
      </c>
      <c r="V45" s="11">
        <f t="shared" si="9"/>
        <v>993522.6846</v>
      </c>
      <c r="W45" s="12">
        <f t="shared" si="10"/>
        <v>187068</v>
      </c>
    </row>
    <row r="46" spans="1:23" ht="29.25" customHeight="1" hidden="1">
      <c r="A46" s="8"/>
      <c r="B46" s="511" t="s">
        <v>38</v>
      </c>
      <c r="C46" s="511"/>
      <c r="D46" s="511"/>
      <c r="E46" s="84"/>
      <c r="F46" s="8">
        <v>31000</v>
      </c>
      <c r="G46" s="16">
        <v>29350</v>
      </c>
      <c r="H46" s="16">
        <f>G46*G65</f>
        <v>147466.13999999998</v>
      </c>
      <c r="I46" s="16">
        <v>27000</v>
      </c>
      <c r="J46" s="16">
        <v>25950</v>
      </c>
      <c r="K46" s="16">
        <f>J46*G65</f>
        <v>130383.18</v>
      </c>
      <c r="L46" s="16">
        <v>58000</v>
      </c>
      <c r="M46" s="16">
        <v>43300</v>
      </c>
      <c r="N46" s="16">
        <f>M46*H65</f>
        <v>241484.1</v>
      </c>
      <c r="O46" s="16">
        <v>44000</v>
      </c>
      <c r="P46" s="16">
        <v>37400</v>
      </c>
      <c r="Q46" s="16">
        <f>P46*H65</f>
        <v>208579.8</v>
      </c>
      <c r="R46" s="16">
        <f t="shared" si="7"/>
        <v>136000</v>
      </c>
      <c r="S46" s="16">
        <f t="shared" si="7"/>
        <v>727913.22</v>
      </c>
      <c r="T46" s="67" t="s">
        <v>21</v>
      </c>
      <c r="U46" s="12">
        <f t="shared" si="8"/>
        <v>210524.59999999998</v>
      </c>
      <c r="V46" s="11">
        <f t="shared" si="9"/>
        <v>727913.22</v>
      </c>
      <c r="W46" s="12">
        <f t="shared" si="10"/>
        <v>136000</v>
      </c>
    </row>
    <row r="47" spans="1:23" ht="46.5" customHeight="1" hidden="1">
      <c r="A47" s="8"/>
      <c r="B47" s="511" t="s">
        <v>39</v>
      </c>
      <c r="C47" s="511"/>
      <c r="D47" s="511"/>
      <c r="E47" s="84"/>
      <c r="F47" s="8">
        <v>8000</v>
      </c>
      <c r="G47" s="16">
        <v>9500</v>
      </c>
      <c r="H47" s="16">
        <f>G47*G65</f>
        <v>47731.8</v>
      </c>
      <c r="I47" s="16">
        <v>12000</v>
      </c>
      <c r="J47" s="16">
        <v>8300</v>
      </c>
      <c r="K47" s="16">
        <f>J47*G65</f>
        <v>41702.52</v>
      </c>
      <c r="L47" s="16">
        <v>9000</v>
      </c>
      <c r="M47" s="16">
        <v>7500</v>
      </c>
      <c r="N47" s="16">
        <f>M47*H65</f>
        <v>41827.5</v>
      </c>
      <c r="O47" s="16">
        <v>15000</v>
      </c>
      <c r="P47" s="16">
        <v>12100</v>
      </c>
      <c r="Q47" s="16">
        <f>P47*H65</f>
        <v>67481.7</v>
      </c>
      <c r="R47" s="16">
        <f t="shared" si="7"/>
        <v>37400</v>
      </c>
      <c r="S47" s="16">
        <f t="shared" si="7"/>
        <v>198743.52000000002</v>
      </c>
      <c r="T47" s="67" t="s">
        <v>21</v>
      </c>
      <c r="U47" s="12">
        <f t="shared" si="8"/>
        <v>68110.9</v>
      </c>
      <c r="V47" s="11">
        <f t="shared" si="9"/>
        <v>198743.52000000002</v>
      </c>
      <c r="W47" s="12">
        <f t="shared" si="10"/>
        <v>37400</v>
      </c>
    </row>
    <row r="48" spans="1:23" ht="27" customHeight="1" hidden="1">
      <c r="A48" s="15">
        <v>3</v>
      </c>
      <c r="B48" s="496" t="s">
        <v>42</v>
      </c>
      <c r="C48" s="497"/>
      <c r="D48" s="498"/>
      <c r="E48" s="78"/>
      <c r="F48" s="15">
        <v>9000</v>
      </c>
      <c r="G48" s="9">
        <v>35398</v>
      </c>
      <c r="H48" s="9">
        <f>G48*G65</f>
        <v>177853.7112</v>
      </c>
      <c r="I48" s="9"/>
      <c r="J48" s="9">
        <v>25770</v>
      </c>
      <c r="K48" s="9">
        <f>J48*G65</f>
        <v>129478.788</v>
      </c>
      <c r="L48" s="9"/>
      <c r="M48" s="9">
        <v>28284</v>
      </c>
      <c r="N48" s="9">
        <f>M48*H65</f>
        <v>157739.868</v>
      </c>
      <c r="O48" s="9"/>
      <c r="P48" s="9">
        <v>35088</v>
      </c>
      <c r="Q48" s="9">
        <f>P48*H65</f>
        <v>195685.776</v>
      </c>
      <c r="R48" s="9">
        <f t="shared" si="7"/>
        <v>124540</v>
      </c>
      <c r="S48" s="9">
        <f t="shared" si="7"/>
        <v>660758.1432</v>
      </c>
      <c r="T48" s="67" t="s">
        <v>21</v>
      </c>
      <c r="U48" s="12">
        <f t="shared" si="8"/>
        <v>197510.35199999998</v>
      </c>
      <c r="V48" s="11">
        <f t="shared" si="9"/>
        <v>660758.1432</v>
      </c>
      <c r="W48" s="12">
        <f t="shared" si="10"/>
        <v>124540</v>
      </c>
    </row>
    <row r="49" spans="1:23" ht="28.5" customHeight="1" hidden="1">
      <c r="A49" s="15">
        <v>4</v>
      </c>
      <c r="B49" s="496" t="s">
        <v>43</v>
      </c>
      <c r="C49" s="497"/>
      <c r="D49" s="498"/>
      <c r="E49" s="78"/>
      <c r="F49" s="15">
        <v>20000</v>
      </c>
      <c r="G49" s="9">
        <f>G50+G51+G52</f>
        <v>33699</v>
      </c>
      <c r="H49" s="9">
        <f>H50+H51+H52</f>
        <v>169317.25559999997</v>
      </c>
      <c r="I49" s="9"/>
      <c r="J49" s="9">
        <f>J50+J51+J52</f>
        <v>22466</v>
      </c>
      <c r="K49" s="9">
        <f>K50+K51+K52</f>
        <v>112878.1704</v>
      </c>
      <c r="L49" s="9"/>
      <c r="M49" s="9">
        <f>M50+M51+M52</f>
        <v>22466</v>
      </c>
      <c r="N49" s="9">
        <f>N50+N51+N52</f>
        <v>125292.882</v>
      </c>
      <c r="O49" s="9"/>
      <c r="P49" s="9">
        <f>P50+P51+P52</f>
        <v>33699</v>
      </c>
      <c r="Q49" s="9">
        <f>Q50+Q51+Q52</f>
        <v>187939.323</v>
      </c>
      <c r="R49" s="9">
        <f>R50+R51+R52</f>
        <v>112330</v>
      </c>
      <c r="S49" s="9">
        <f>S50+S51+S52</f>
        <v>595427.6309999999</v>
      </c>
      <c r="T49" s="67" t="s">
        <v>21</v>
      </c>
      <c r="U49" s="12">
        <f t="shared" si="8"/>
        <v>189691.67099999997</v>
      </c>
      <c r="V49" s="11">
        <f t="shared" si="9"/>
        <v>595427.6309999999</v>
      </c>
      <c r="W49" s="12">
        <f t="shared" si="10"/>
        <v>112330</v>
      </c>
    </row>
    <row r="50" spans="1:23" ht="28.5" customHeight="1" hidden="1">
      <c r="A50" s="8"/>
      <c r="B50" s="422" t="s">
        <v>44</v>
      </c>
      <c r="C50" s="423"/>
      <c r="D50" s="424"/>
      <c r="E50" s="79"/>
      <c r="F50" s="8"/>
      <c r="G50" s="16">
        <v>5264</v>
      </c>
      <c r="H50" s="16">
        <f>G50*G65</f>
        <v>26448.4416</v>
      </c>
      <c r="I50" s="16"/>
      <c r="J50" s="16">
        <v>3510</v>
      </c>
      <c r="K50" s="16">
        <f>J50*G65</f>
        <v>17635.644</v>
      </c>
      <c r="L50" s="16"/>
      <c r="M50" s="16">
        <v>3510</v>
      </c>
      <c r="N50" s="16">
        <f>M50*H65</f>
        <v>19575.27</v>
      </c>
      <c r="O50" s="16"/>
      <c r="P50" s="16">
        <v>5264</v>
      </c>
      <c r="Q50" s="16">
        <f>P50*H65</f>
        <v>29357.328</v>
      </c>
      <c r="R50" s="16">
        <f aca="true" t="shared" si="11" ref="R50:S52">G50+J50+M50+P50</f>
        <v>17548</v>
      </c>
      <c r="S50" s="16">
        <f t="shared" si="11"/>
        <v>93016.68359999999</v>
      </c>
      <c r="U50" s="12"/>
      <c r="V50" s="11"/>
      <c r="W50" s="12"/>
    </row>
    <row r="51" spans="1:23" ht="27" customHeight="1" hidden="1">
      <c r="A51" s="8"/>
      <c r="B51" s="422" t="s">
        <v>58</v>
      </c>
      <c r="C51" s="423"/>
      <c r="D51" s="424"/>
      <c r="E51" s="79"/>
      <c r="F51" s="8">
        <v>29400</v>
      </c>
      <c r="G51" s="16">
        <v>23198</v>
      </c>
      <c r="H51" s="16">
        <f>G51*G65</f>
        <v>116556.0312</v>
      </c>
      <c r="I51" s="16"/>
      <c r="J51" s="16">
        <v>15465</v>
      </c>
      <c r="K51" s="16">
        <f>J51*G65</f>
        <v>77702.346</v>
      </c>
      <c r="L51" s="16"/>
      <c r="M51" s="16">
        <v>15465</v>
      </c>
      <c r="N51" s="16">
        <f>M51*H65</f>
        <v>86248.305</v>
      </c>
      <c r="O51" s="16"/>
      <c r="P51" s="16">
        <v>23198</v>
      </c>
      <c r="Q51" s="16">
        <f>P51*H65</f>
        <v>129375.246</v>
      </c>
      <c r="R51" s="16">
        <f t="shared" si="11"/>
        <v>77326</v>
      </c>
      <c r="S51" s="16">
        <f t="shared" si="11"/>
        <v>409881.92819999997</v>
      </c>
      <c r="T51" s="67" t="s">
        <v>21</v>
      </c>
      <c r="U51" s="12">
        <f t="shared" si="8"/>
        <v>130581.54199999999</v>
      </c>
      <c r="V51" s="11">
        <f t="shared" si="9"/>
        <v>409881.92819999997</v>
      </c>
      <c r="W51" s="12">
        <f t="shared" si="10"/>
        <v>77326</v>
      </c>
    </row>
    <row r="52" spans="1:23" ht="27" customHeight="1" hidden="1">
      <c r="A52" s="8"/>
      <c r="B52" s="422" t="s">
        <v>59</v>
      </c>
      <c r="C52" s="423"/>
      <c r="D52" s="424"/>
      <c r="E52" s="79"/>
      <c r="F52" s="8"/>
      <c r="G52" s="16">
        <v>5237</v>
      </c>
      <c r="H52" s="16">
        <f>G52*G65</f>
        <v>26312.7828</v>
      </c>
      <c r="I52" s="16"/>
      <c r="J52" s="16">
        <v>3491</v>
      </c>
      <c r="K52" s="16">
        <f>J52*G65</f>
        <v>17540.1804</v>
      </c>
      <c r="L52" s="16"/>
      <c r="M52" s="16">
        <v>3491</v>
      </c>
      <c r="N52" s="16">
        <f>M52*H65</f>
        <v>19469.307</v>
      </c>
      <c r="O52" s="16"/>
      <c r="P52" s="16">
        <v>5237</v>
      </c>
      <c r="Q52" s="16">
        <f>P52*H65</f>
        <v>29206.749</v>
      </c>
      <c r="R52" s="16">
        <f t="shared" si="11"/>
        <v>17456</v>
      </c>
      <c r="S52" s="16">
        <f t="shared" si="11"/>
        <v>92529.0192</v>
      </c>
      <c r="U52" s="12">
        <f t="shared" si="8"/>
        <v>29479.072999999997</v>
      </c>
      <c r="V52" s="11"/>
      <c r="W52" s="12">
        <f t="shared" si="10"/>
        <v>17456</v>
      </c>
    </row>
    <row r="53" spans="1:23" ht="27" customHeight="1" hidden="1">
      <c r="A53" s="15">
        <v>5</v>
      </c>
      <c r="B53" s="496" t="s">
        <v>47</v>
      </c>
      <c r="C53" s="497"/>
      <c r="D53" s="498"/>
      <c r="E53" s="78"/>
      <c r="F53" s="8"/>
      <c r="G53" s="9">
        <f>G54+G55+G56+G57+G58+G59</f>
        <v>22584</v>
      </c>
      <c r="H53" s="9">
        <f>H54+H55+H56+H57+H58+H59</f>
        <v>113471.0496</v>
      </c>
      <c r="I53" s="9"/>
      <c r="J53" s="9">
        <f>J54+J55+J56+J57+J58+J59</f>
        <v>19435</v>
      </c>
      <c r="K53" s="9">
        <f>K54+K55+K56+K57+K58+K59</f>
        <v>97649.21399999998</v>
      </c>
      <c r="L53" s="9"/>
      <c r="M53" s="9">
        <f>M54+M55+M56+M57+M58+M59</f>
        <v>24051</v>
      </c>
      <c r="N53" s="9">
        <f>N54+N55+N56+N57+N58+N59</f>
        <v>134132.427</v>
      </c>
      <c r="O53" s="9"/>
      <c r="P53" s="9">
        <f>P54+P55+P56+P57+P58+P59</f>
        <v>23137</v>
      </c>
      <c r="Q53" s="9">
        <f>Q54+Q55+Q56+Q57+Q58+Q59</f>
        <v>129035.049</v>
      </c>
      <c r="R53" s="9">
        <f>R54+R55+R56+R57+R58+R59</f>
        <v>89207</v>
      </c>
      <c r="S53" s="9">
        <f>S54+S55+S56++S57+S58+S59</f>
        <v>474287.7396</v>
      </c>
      <c r="U53" s="12"/>
      <c r="V53" s="11"/>
      <c r="W53" s="12"/>
    </row>
    <row r="54" spans="1:23" ht="27" customHeight="1" hidden="1">
      <c r="A54" s="8"/>
      <c r="B54" s="422" t="s">
        <v>48</v>
      </c>
      <c r="C54" s="423"/>
      <c r="D54" s="424"/>
      <c r="E54" s="79"/>
      <c r="F54" s="8"/>
      <c r="G54" s="16">
        <v>3093</v>
      </c>
      <c r="H54" s="36">
        <f>G54*G65</f>
        <v>15540.4692</v>
      </c>
      <c r="I54" s="16"/>
      <c r="J54" s="16">
        <v>2715</v>
      </c>
      <c r="K54" s="16">
        <f>J54*G65</f>
        <v>13641.246</v>
      </c>
      <c r="L54" s="16"/>
      <c r="M54" s="16">
        <v>2752</v>
      </c>
      <c r="N54" s="16">
        <f>M54*H65</f>
        <v>15347.904</v>
      </c>
      <c r="O54" s="16"/>
      <c r="P54" s="16">
        <v>2588</v>
      </c>
      <c r="Q54" s="16">
        <f>P54*H65</f>
        <v>14433.276</v>
      </c>
      <c r="R54" s="16">
        <f aca="true" t="shared" si="12" ref="R54:S59">G54+J54+M54+P54</f>
        <v>11148</v>
      </c>
      <c r="S54" s="16">
        <f t="shared" si="12"/>
        <v>58962.8952</v>
      </c>
      <c r="U54" s="12"/>
      <c r="V54" s="11"/>
      <c r="W54" s="12"/>
    </row>
    <row r="55" spans="1:23" ht="27" customHeight="1" hidden="1">
      <c r="A55" s="8"/>
      <c r="B55" s="422" t="s">
        <v>49</v>
      </c>
      <c r="C55" s="423"/>
      <c r="D55" s="424"/>
      <c r="E55" s="79"/>
      <c r="F55" s="8"/>
      <c r="G55" s="16">
        <v>5045</v>
      </c>
      <c r="H55" s="16">
        <f>G55*G65</f>
        <v>25348.097999999998</v>
      </c>
      <c r="I55" s="16"/>
      <c r="J55" s="16">
        <v>3390</v>
      </c>
      <c r="K55" s="16">
        <f>J55*G65</f>
        <v>17032.716</v>
      </c>
      <c r="L55" s="16"/>
      <c r="M55" s="16">
        <v>5675</v>
      </c>
      <c r="N55" s="16">
        <f>M55*H65</f>
        <v>31649.475</v>
      </c>
      <c r="O55" s="16"/>
      <c r="P55" s="16">
        <v>6890</v>
      </c>
      <c r="Q55" s="16">
        <f>P55*H65</f>
        <v>38425.53</v>
      </c>
      <c r="R55" s="16">
        <f t="shared" si="12"/>
        <v>21000</v>
      </c>
      <c r="S55" s="16">
        <f t="shared" si="12"/>
        <v>112455.81899999999</v>
      </c>
      <c r="U55" s="12"/>
      <c r="V55" s="11"/>
      <c r="W55" s="12"/>
    </row>
    <row r="56" spans="1:23" ht="27" customHeight="1" hidden="1">
      <c r="A56" s="8"/>
      <c r="B56" s="422" t="s">
        <v>50</v>
      </c>
      <c r="C56" s="423"/>
      <c r="D56" s="424"/>
      <c r="E56" s="79"/>
      <c r="F56" s="8"/>
      <c r="G56" s="16">
        <v>5253</v>
      </c>
      <c r="H56" s="16">
        <f>G56*G65</f>
        <v>26393.1732</v>
      </c>
      <c r="I56" s="16"/>
      <c r="J56" s="16">
        <v>5294</v>
      </c>
      <c r="K56" s="16">
        <f>J56*G65</f>
        <v>26599.1736</v>
      </c>
      <c r="L56" s="16"/>
      <c r="M56" s="16">
        <v>7570</v>
      </c>
      <c r="N56" s="16">
        <f>M56*H65</f>
        <v>42217.89</v>
      </c>
      <c r="O56" s="16"/>
      <c r="P56" s="16">
        <v>4038</v>
      </c>
      <c r="Q56" s="16">
        <f>P56*H65</f>
        <v>22519.926</v>
      </c>
      <c r="R56" s="16">
        <f t="shared" si="12"/>
        <v>22155</v>
      </c>
      <c r="S56" s="16">
        <f t="shared" si="12"/>
        <v>117730.16279999999</v>
      </c>
      <c r="U56" s="12"/>
      <c r="V56" s="11"/>
      <c r="W56" s="12"/>
    </row>
    <row r="57" spans="1:23" ht="27" customHeight="1" hidden="1">
      <c r="A57" s="8"/>
      <c r="B57" s="511" t="s">
        <v>40</v>
      </c>
      <c r="C57" s="511"/>
      <c r="D57" s="511"/>
      <c r="E57" s="84"/>
      <c r="F57" s="8"/>
      <c r="G57" s="16">
        <v>3278</v>
      </c>
      <c r="H57" s="16">
        <f>G57*G65</f>
        <v>16469.9832</v>
      </c>
      <c r="I57" s="16"/>
      <c r="J57" s="16">
        <v>2211</v>
      </c>
      <c r="K57" s="16">
        <f>J57*G65</f>
        <v>11108.9484</v>
      </c>
      <c r="L57" s="16"/>
      <c r="M57" s="16">
        <v>2959</v>
      </c>
      <c r="N57" s="16">
        <f>M57*H65</f>
        <v>16502.343</v>
      </c>
      <c r="O57" s="16"/>
      <c r="P57" s="16">
        <v>3696</v>
      </c>
      <c r="Q57" s="16">
        <f>P57*H65</f>
        <v>20612.592</v>
      </c>
      <c r="R57" s="16">
        <f t="shared" si="12"/>
        <v>12144</v>
      </c>
      <c r="S57" s="16">
        <f t="shared" si="12"/>
        <v>64693.866599999994</v>
      </c>
      <c r="U57" s="12"/>
      <c r="V57" s="11"/>
      <c r="W57" s="12"/>
    </row>
    <row r="58" spans="1:23" ht="27" customHeight="1" hidden="1">
      <c r="A58" s="8"/>
      <c r="B58" s="511" t="s">
        <v>51</v>
      </c>
      <c r="C58" s="511"/>
      <c r="D58" s="511"/>
      <c r="E58" s="84"/>
      <c r="F58" s="8"/>
      <c r="G58" s="16">
        <v>1865</v>
      </c>
      <c r="H58" s="16">
        <f>G58*G65</f>
        <v>9370.506</v>
      </c>
      <c r="I58" s="16"/>
      <c r="J58" s="16">
        <v>1775</v>
      </c>
      <c r="K58" s="16">
        <f>J58*G65</f>
        <v>8918.31</v>
      </c>
      <c r="L58" s="16"/>
      <c r="M58" s="16">
        <v>1145</v>
      </c>
      <c r="N58" s="16">
        <f>M58*H65</f>
        <v>6385.665</v>
      </c>
      <c r="O58" s="16"/>
      <c r="P58" s="16">
        <v>1875</v>
      </c>
      <c r="Q58" s="16">
        <f>P58*H65</f>
        <v>10456.875</v>
      </c>
      <c r="R58" s="16">
        <f t="shared" si="12"/>
        <v>6660</v>
      </c>
      <c r="S58" s="16">
        <f t="shared" si="12"/>
        <v>35131.356</v>
      </c>
      <c r="U58" s="12"/>
      <c r="V58" s="11"/>
      <c r="W58" s="12"/>
    </row>
    <row r="59" spans="1:23" ht="27" customHeight="1" hidden="1">
      <c r="A59" s="8"/>
      <c r="B59" s="511" t="s">
        <v>52</v>
      </c>
      <c r="C59" s="511"/>
      <c r="D59" s="511"/>
      <c r="E59" s="84"/>
      <c r="F59" s="8"/>
      <c r="G59" s="16">
        <v>4050</v>
      </c>
      <c r="H59" s="16">
        <f>G59*G65</f>
        <v>20348.82</v>
      </c>
      <c r="I59" s="16"/>
      <c r="J59" s="16">
        <v>4050</v>
      </c>
      <c r="K59" s="16">
        <f>J59*G65</f>
        <v>20348.82</v>
      </c>
      <c r="L59" s="16"/>
      <c r="M59" s="16">
        <v>3950</v>
      </c>
      <c r="N59" s="16">
        <f>M59*H65</f>
        <v>22029.15</v>
      </c>
      <c r="O59" s="16"/>
      <c r="P59" s="16">
        <v>4050</v>
      </c>
      <c r="Q59" s="16">
        <f>P59*H65</f>
        <v>22586.85</v>
      </c>
      <c r="R59" s="16">
        <f t="shared" si="12"/>
        <v>16100</v>
      </c>
      <c r="S59" s="16">
        <f t="shared" si="12"/>
        <v>85313.64</v>
      </c>
      <c r="U59" s="12"/>
      <c r="V59" s="11"/>
      <c r="W59" s="12"/>
    </row>
    <row r="60" spans="1:23" ht="27" customHeight="1" hidden="1">
      <c r="A60" s="15">
        <v>6</v>
      </c>
      <c r="B60" s="496" t="s">
        <v>53</v>
      </c>
      <c r="C60" s="497"/>
      <c r="D60" s="498"/>
      <c r="E60" s="78"/>
      <c r="F60" s="8"/>
      <c r="G60" s="9">
        <f>G61+G62</f>
        <v>60125.76</v>
      </c>
      <c r="H60" s="9">
        <f>H61+H62</f>
        <v>302095.86854399997</v>
      </c>
      <c r="I60" s="9"/>
      <c r="J60" s="9">
        <f>J61+J62</f>
        <v>33427</v>
      </c>
      <c r="K60" s="9">
        <f>K61+K62</f>
        <v>167950.6188</v>
      </c>
      <c r="L60" s="9"/>
      <c r="M60" s="9">
        <f>M61+M62</f>
        <v>27041.07</v>
      </c>
      <c r="N60" s="9">
        <f>N61+N62</f>
        <v>150808.04739000002</v>
      </c>
      <c r="O60" s="9"/>
      <c r="P60" s="9">
        <f>P61+P62</f>
        <v>74463</v>
      </c>
      <c r="Q60" s="9">
        <f>Q61+Q62</f>
        <v>415280.151</v>
      </c>
      <c r="R60" s="9">
        <f>R61+R62</f>
        <v>195056.83000000002</v>
      </c>
      <c r="S60" s="9">
        <f>S61+S62</f>
        <v>1036134.685734</v>
      </c>
      <c r="U60" s="12"/>
      <c r="V60" s="11"/>
      <c r="W60" s="12"/>
    </row>
    <row r="61" spans="1:23" ht="27" customHeight="1" hidden="1">
      <c r="A61" s="8"/>
      <c r="B61" s="422" t="s">
        <v>54</v>
      </c>
      <c r="C61" s="423"/>
      <c r="D61" s="424"/>
      <c r="E61" s="79"/>
      <c r="F61" s="8"/>
      <c r="G61" s="16">
        <v>7650</v>
      </c>
      <c r="H61" s="16">
        <f>G61*G65</f>
        <v>38436.659999999996</v>
      </c>
      <c r="I61" s="16"/>
      <c r="J61" s="16">
        <v>10200</v>
      </c>
      <c r="K61" s="16">
        <f>J61*G65</f>
        <v>51248.88</v>
      </c>
      <c r="L61" s="16"/>
      <c r="M61" s="16">
        <v>7650</v>
      </c>
      <c r="N61" s="16">
        <f>M61*H65</f>
        <v>42664.05</v>
      </c>
      <c r="O61" s="16"/>
      <c r="P61" s="16">
        <v>13600</v>
      </c>
      <c r="Q61" s="16">
        <f>P61*H65</f>
        <v>75847.2</v>
      </c>
      <c r="R61" s="16">
        <f>G61+J61+M61+P61</f>
        <v>39100</v>
      </c>
      <c r="S61" s="16">
        <f>H61+K61+N61+Q61</f>
        <v>208196.78999999998</v>
      </c>
      <c r="U61" s="12"/>
      <c r="V61" s="11"/>
      <c r="W61" s="12"/>
    </row>
    <row r="62" spans="1:23" ht="27" customHeight="1" hidden="1">
      <c r="A62" s="8"/>
      <c r="B62" s="422" t="s">
        <v>55</v>
      </c>
      <c r="C62" s="423"/>
      <c r="D62" s="424"/>
      <c r="E62" s="79"/>
      <c r="F62" s="8"/>
      <c r="G62" s="16">
        <v>52475.76</v>
      </c>
      <c r="H62" s="16">
        <f>G62*G65</f>
        <v>263659.208544</v>
      </c>
      <c r="I62" s="16"/>
      <c r="J62" s="16">
        <v>23227</v>
      </c>
      <c r="K62" s="16">
        <f>J62*G65</f>
        <v>116701.7388</v>
      </c>
      <c r="L62" s="16"/>
      <c r="M62" s="16">
        <v>19391.07</v>
      </c>
      <c r="N62" s="16">
        <f>M62*H65</f>
        <v>108143.99739</v>
      </c>
      <c r="O62" s="16"/>
      <c r="P62" s="16">
        <v>60863</v>
      </c>
      <c r="Q62" s="16">
        <f>P62*H65</f>
        <v>339432.951</v>
      </c>
      <c r="R62" s="16">
        <f>G62+J62+M62+P62</f>
        <v>155956.83000000002</v>
      </c>
      <c r="S62" s="16">
        <f>H62+K62+N62+Q62</f>
        <v>827937.895734</v>
      </c>
      <c r="U62" s="12"/>
      <c r="V62" s="11"/>
      <c r="W62" s="12"/>
    </row>
    <row r="63" spans="1:23" ht="30" customHeight="1" hidden="1">
      <c r="A63" s="8"/>
      <c r="B63" s="512" t="s">
        <v>19</v>
      </c>
      <c r="C63" s="512"/>
      <c r="D63" s="512"/>
      <c r="E63" s="85"/>
      <c r="F63" s="15">
        <f>SUM(F40:F51)</f>
        <v>266200</v>
      </c>
      <c r="G63" s="9">
        <f>G40+G41+G48+G49+G53+G60</f>
        <v>334634.76</v>
      </c>
      <c r="H63" s="9">
        <f>H40+H41+H48+H49+H53+H60</f>
        <v>1681338.888144</v>
      </c>
      <c r="I63" s="9">
        <f>SUM(I40:I51)</f>
        <v>162200</v>
      </c>
      <c r="J63" s="9">
        <f>J40+J41+J48+J49+J53+J60</f>
        <v>285729</v>
      </c>
      <c r="K63" s="9">
        <f>K40+K41+K48+K49+K53+K60</f>
        <v>1435616.7876</v>
      </c>
      <c r="L63" s="9">
        <f>SUM(L40:L51)</f>
        <v>169500</v>
      </c>
      <c r="M63" s="9">
        <f>M40+M41+M48+M49+M53+M60</f>
        <v>270683.07</v>
      </c>
      <c r="N63" s="9">
        <f>N40+N41+N48+N49+N53+N60</f>
        <v>1509599.4813899999</v>
      </c>
      <c r="O63" s="9">
        <f>SUM(O40:O51)</f>
        <v>245500</v>
      </c>
      <c r="P63" s="9">
        <f>P40+P41+P48+P49+P53+P60</f>
        <v>418885.1</v>
      </c>
      <c r="Q63" s="9">
        <f>Q40+Q41+Q48+Q49+Q53+Q60</f>
        <v>2336122.2027000003</v>
      </c>
      <c r="R63" s="9">
        <f>R40+R41+R48+R49+R53+R60</f>
        <v>1309931.9300000002</v>
      </c>
      <c r="S63" s="9">
        <f>S40+S41+S48+S49+S53+S60</f>
        <v>6962677.359834</v>
      </c>
      <c r="T63" s="69"/>
      <c r="U63" s="37"/>
      <c r="V63" s="12"/>
      <c r="W63" s="12"/>
    </row>
    <row r="64" spans="1:23" ht="50.25" customHeight="1" hidden="1">
      <c r="A64" s="54"/>
      <c r="B64" s="513" t="s">
        <v>8</v>
      </c>
      <c r="C64" s="513"/>
      <c r="D64" s="513"/>
      <c r="E64" s="88"/>
      <c r="F64" s="427" t="s">
        <v>69</v>
      </c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9"/>
      <c r="U64" s="12"/>
      <c r="V64" s="12"/>
      <c r="W64" s="12"/>
    </row>
    <row r="65" spans="1:23" ht="32.25" customHeight="1" hidden="1">
      <c r="A65" s="47"/>
      <c r="B65" s="47"/>
      <c r="C65" s="47"/>
      <c r="D65" s="5" t="s">
        <v>14</v>
      </c>
      <c r="E65" s="5"/>
      <c r="F65" s="5">
        <v>4.38</v>
      </c>
      <c r="G65" s="5">
        <v>5.0244</v>
      </c>
      <c r="H65" s="5">
        <v>5.577</v>
      </c>
      <c r="I65" s="6"/>
      <c r="J65" s="6"/>
      <c r="K65" s="43"/>
      <c r="L65" s="43"/>
      <c r="M65" s="43"/>
      <c r="N65" s="47"/>
      <c r="O65" s="47"/>
      <c r="P65" s="47"/>
      <c r="Q65" s="56"/>
      <c r="R65" s="56"/>
      <c r="S65" s="47"/>
      <c r="U65" s="12"/>
      <c r="V65" s="12"/>
      <c r="W65" s="12"/>
    </row>
    <row r="66" spans="1:23" ht="33.75" customHeight="1" hidden="1">
      <c r="A66" s="47"/>
      <c r="B66" s="47"/>
      <c r="C66" s="47"/>
      <c r="D66" s="5" t="s">
        <v>66</v>
      </c>
      <c r="E66" s="5"/>
      <c r="F66" s="5"/>
      <c r="G66" s="5"/>
      <c r="H66" s="5"/>
      <c r="I66" s="6"/>
      <c r="J66" s="6"/>
      <c r="K66" s="43"/>
      <c r="L66" s="43"/>
      <c r="M66" s="43"/>
      <c r="N66" s="47"/>
      <c r="O66" s="47"/>
      <c r="P66" s="47"/>
      <c r="Q66" s="514"/>
      <c r="R66" s="514"/>
      <c r="S66" s="514"/>
      <c r="U66" s="12"/>
      <c r="V66" s="12"/>
      <c r="W66" s="12"/>
    </row>
    <row r="67" spans="1:23" ht="47.25" customHeight="1">
      <c r="A67" s="476" t="s">
        <v>97</v>
      </c>
      <c r="B67" s="476"/>
      <c r="C67" s="476"/>
      <c r="D67" s="476"/>
      <c r="E67" s="476"/>
      <c r="F67" s="476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  <c r="S67" s="476"/>
      <c r="U67" s="12"/>
      <c r="V67" s="12"/>
      <c r="W67" s="12"/>
    </row>
    <row r="68" spans="1:23" ht="27.75" customHeight="1">
      <c r="A68" s="484" t="s">
        <v>15</v>
      </c>
      <c r="B68" s="485" t="s">
        <v>0</v>
      </c>
      <c r="C68" s="486"/>
      <c r="D68" s="487"/>
      <c r="E68" s="521" t="s">
        <v>70</v>
      </c>
      <c r="F68" s="409" t="s">
        <v>1</v>
      </c>
      <c r="G68" s="409"/>
      <c r="H68" s="409"/>
      <c r="I68" s="409" t="s">
        <v>3</v>
      </c>
      <c r="J68" s="409"/>
      <c r="K68" s="409"/>
      <c r="L68" s="409" t="s">
        <v>4</v>
      </c>
      <c r="M68" s="409"/>
      <c r="N68" s="409"/>
      <c r="O68" s="409" t="s">
        <v>6</v>
      </c>
      <c r="P68" s="409"/>
      <c r="Q68" s="409"/>
      <c r="R68" s="409" t="s">
        <v>7</v>
      </c>
      <c r="S68" s="409"/>
      <c r="U68" s="12"/>
      <c r="V68" s="12"/>
      <c r="W68" s="12"/>
    </row>
    <row r="69" spans="1:23" ht="47.25" customHeight="1">
      <c r="A69" s="484"/>
      <c r="B69" s="488"/>
      <c r="C69" s="489"/>
      <c r="D69" s="490"/>
      <c r="E69" s="522"/>
      <c r="F69" s="75"/>
      <c r="G69" s="75"/>
      <c r="H69" s="75" t="s">
        <v>5</v>
      </c>
      <c r="I69" s="75" t="s">
        <v>10</v>
      </c>
      <c r="J69" s="75"/>
      <c r="K69" s="75" t="s">
        <v>5</v>
      </c>
      <c r="L69" s="75" t="s">
        <v>10</v>
      </c>
      <c r="M69" s="75"/>
      <c r="N69" s="75" t="s">
        <v>5</v>
      </c>
      <c r="O69" s="75" t="s">
        <v>10</v>
      </c>
      <c r="P69" s="75"/>
      <c r="Q69" s="75" t="s">
        <v>5</v>
      </c>
      <c r="R69" s="75" t="s">
        <v>10</v>
      </c>
      <c r="S69" s="75" t="s">
        <v>5</v>
      </c>
      <c r="U69" s="12"/>
      <c r="V69" s="12"/>
      <c r="W69" s="12"/>
    </row>
    <row r="70" spans="1:23" s="97" customFormat="1" ht="48.75" customHeight="1">
      <c r="A70" s="91">
        <v>1</v>
      </c>
      <c r="B70" s="515" t="s">
        <v>33</v>
      </c>
      <c r="C70" s="516"/>
      <c r="D70" s="517"/>
      <c r="E70" s="92" t="s">
        <v>80</v>
      </c>
      <c r="F70" s="91">
        <v>0</v>
      </c>
      <c r="G70" s="93"/>
      <c r="H70" s="93">
        <f>H71+H72</f>
        <v>2502.348</v>
      </c>
      <c r="I70" s="93"/>
      <c r="J70" s="93"/>
      <c r="K70" s="93">
        <f>K71+K72</f>
        <v>2075.6781</v>
      </c>
      <c r="L70" s="93"/>
      <c r="M70" s="93"/>
      <c r="N70" s="93">
        <f>N71+N72</f>
        <v>2343.2652</v>
      </c>
      <c r="O70" s="93"/>
      <c r="P70" s="93"/>
      <c r="Q70" s="93">
        <f>Q71+Q72</f>
        <v>3514.8977999999997</v>
      </c>
      <c r="R70" s="93"/>
      <c r="S70" s="93">
        <v>10436.2</v>
      </c>
      <c r="T70" s="94"/>
      <c r="U70" s="95">
        <f>37.94*P70</f>
        <v>0</v>
      </c>
      <c r="V70" s="96">
        <f>H70+K70+N70+Q70</f>
        <v>10436.1891</v>
      </c>
      <c r="W70" s="95">
        <f>G70+J70+M70+P70</f>
        <v>0</v>
      </c>
    </row>
    <row r="71" spans="1:23" ht="29.25" customHeight="1">
      <c r="A71" s="15"/>
      <c r="B71" s="523"/>
      <c r="C71" s="524"/>
      <c r="D71" s="525"/>
      <c r="E71" s="87" t="s">
        <v>71</v>
      </c>
      <c r="F71" s="8"/>
      <c r="G71" s="226">
        <v>7</v>
      </c>
      <c r="H71" s="226">
        <f>G71*H161</f>
        <v>349.72</v>
      </c>
      <c r="I71" s="226"/>
      <c r="J71" s="226">
        <v>6</v>
      </c>
      <c r="K71" s="226">
        <f>J71*H161</f>
        <v>299.76</v>
      </c>
      <c r="L71" s="226"/>
      <c r="M71" s="226">
        <v>6</v>
      </c>
      <c r="N71" s="226">
        <f>M71*J161</f>
        <v>311.76</v>
      </c>
      <c r="O71" s="226"/>
      <c r="P71" s="226">
        <v>9</v>
      </c>
      <c r="Q71" s="226">
        <f>P71*J161</f>
        <v>467.64</v>
      </c>
      <c r="R71" s="226">
        <f>G71+J71+M71+P71</f>
        <v>28</v>
      </c>
      <c r="S71" s="226">
        <f>H71+K71+N71+Q71</f>
        <v>1428.88</v>
      </c>
      <c r="U71" s="12"/>
      <c r="V71" s="11"/>
      <c r="W71" s="12"/>
    </row>
    <row r="72" spans="1:23" ht="29.25" customHeight="1">
      <c r="A72" s="15"/>
      <c r="B72" s="523"/>
      <c r="C72" s="524"/>
      <c r="D72" s="525"/>
      <c r="E72" s="87" t="s">
        <v>2</v>
      </c>
      <c r="F72" s="8"/>
      <c r="G72" s="226">
        <v>0.4</v>
      </c>
      <c r="H72" s="226">
        <f>G72*H163</f>
        <v>2152.628</v>
      </c>
      <c r="I72" s="226"/>
      <c r="J72" s="226">
        <v>0.33</v>
      </c>
      <c r="K72" s="226">
        <f>J72*H163</f>
        <v>1775.9181</v>
      </c>
      <c r="L72" s="226"/>
      <c r="M72" s="226">
        <v>0.36</v>
      </c>
      <c r="N72" s="226">
        <f>M72*J163</f>
        <v>2031.5051999999998</v>
      </c>
      <c r="O72" s="226"/>
      <c r="P72" s="226">
        <v>0.54</v>
      </c>
      <c r="Q72" s="226">
        <f>P72*J164</f>
        <v>3047.2578</v>
      </c>
      <c r="R72" s="226">
        <f>G72+J72+M72+P72</f>
        <v>1.63</v>
      </c>
      <c r="S72" s="226">
        <v>9007.32</v>
      </c>
      <c r="U72" s="12"/>
      <c r="V72" s="11"/>
      <c r="W72" s="12"/>
    </row>
    <row r="73" spans="1:23" s="97" customFormat="1" ht="45" customHeight="1">
      <c r="A73" s="91">
        <v>2</v>
      </c>
      <c r="B73" s="515" t="s">
        <v>72</v>
      </c>
      <c r="C73" s="516"/>
      <c r="D73" s="517"/>
      <c r="E73" s="92" t="s">
        <v>80</v>
      </c>
      <c r="F73" s="98"/>
      <c r="G73" s="93"/>
      <c r="H73" s="93">
        <f>H76+H79+H82+H85+H88+H91</f>
        <v>400637.1208</v>
      </c>
      <c r="I73" s="93"/>
      <c r="J73" s="93"/>
      <c r="K73" s="93">
        <v>428487.34</v>
      </c>
      <c r="L73" s="93"/>
      <c r="M73" s="93"/>
      <c r="N73" s="93">
        <v>317166.88</v>
      </c>
      <c r="O73" s="93"/>
      <c r="P73" s="93"/>
      <c r="Q73" s="93">
        <f>Q76+Q79+Q82+Q85+Q88+Q91</f>
        <v>505926.62930000003</v>
      </c>
      <c r="R73" s="93"/>
      <c r="S73" s="93">
        <v>1652217.97</v>
      </c>
      <c r="T73" s="94"/>
      <c r="U73" s="95"/>
      <c r="V73" s="96"/>
      <c r="W73" s="95"/>
    </row>
    <row r="74" spans="1:23" ht="45" customHeight="1">
      <c r="A74" s="15"/>
      <c r="B74" s="76"/>
      <c r="C74" s="77"/>
      <c r="D74" s="78"/>
      <c r="E74" s="86" t="s">
        <v>71</v>
      </c>
      <c r="F74" s="8"/>
      <c r="G74" s="60">
        <f>G77+G80+G83+G86+G89+G92</f>
        <v>1122</v>
      </c>
      <c r="H74" s="60">
        <f>H77+H80+H83+H86+H89+H92</f>
        <v>59230.32</v>
      </c>
      <c r="I74" s="60"/>
      <c r="J74" s="60">
        <f>J77+J80+J83+J86+J89+J92</f>
        <v>1218</v>
      </c>
      <c r="K74" s="60">
        <f>K77+K80+K83+K86+K89+K92</f>
        <v>64908.48</v>
      </c>
      <c r="L74" s="60"/>
      <c r="M74" s="60">
        <f>M77+M80+M83+M86+M89+M92</f>
        <v>786</v>
      </c>
      <c r="N74" s="60">
        <f>N77+N80+N83+N86+N89+N92</f>
        <v>43252.270000000004</v>
      </c>
      <c r="O74" s="60"/>
      <c r="P74" s="60">
        <f>P77+P80+P83+P86+P89+P92</f>
        <v>1293</v>
      </c>
      <c r="Q74" s="60">
        <f>Q77+Q80+Q83+Q86+Q89+Q92</f>
        <v>71466.67000000001</v>
      </c>
      <c r="R74" s="60">
        <f>G74+J74+M74+P74</f>
        <v>4419</v>
      </c>
      <c r="S74" s="60">
        <f>S77+S80+S83+S86+S89+S92</f>
        <v>238857.74000000002</v>
      </c>
      <c r="U74" s="12"/>
      <c r="V74" s="11"/>
      <c r="W74" s="12"/>
    </row>
    <row r="75" spans="1:23" ht="45" customHeight="1">
      <c r="A75" s="15"/>
      <c r="B75" s="518"/>
      <c r="C75" s="519"/>
      <c r="D75" s="520"/>
      <c r="E75" s="86" t="s">
        <v>2</v>
      </c>
      <c r="F75" s="8"/>
      <c r="G75" s="60">
        <f>G78+G81+G84+G87+G90+G93</f>
        <v>63.44</v>
      </c>
      <c r="H75" s="60">
        <f>H78+H81+H84+H87+H90+H93</f>
        <v>341406.80079999997</v>
      </c>
      <c r="I75" s="60"/>
      <c r="J75" s="60">
        <f>J78+J81+J84+J87+J90+J93</f>
        <v>67.56</v>
      </c>
      <c r="K75" s="60">
        <v>363578.86</v>
      </c>
      <c r="L75" s="60"/>
      <c r="M75" s="60">
        <f>M78+M81+M84+M87+M90+M93</f>
        <v>48.54</v>
      </c>
      <c r="N75" s="60">
        <v>273914.61</v>
      </c>
      <c r="O75" s="60"/>
      <c r="P75" s="60">
        <f>P78+P81+P84+P87+P90+P93</f>
        <v>76.99000000000001</v>
      </c>
      <c r="Q75" s="60">
        <f>Q78+Q81+Q84+Q87+Q90+Q93</f>
        <v>434459.95930000005</v>
      </c>
      <c r="R75" s="60">
        <f>G75+J75+M75+P75</f>
        <v>256.53</v>
      </c>
      <c r="S75" s="60">
        <v>1413360.23</v>
      </c>
      <c r="U75" s="12"/>
      <c r="V75" s="11"/>
      <c r="W75" s="12"/>
    </row>
    <row r="76" spans="1:23" ht="57" customHeight="1">
      <c r="A76" s="15"/>
      <c r="B76" s="422" t="s">
        <v>34</v>
      </c>
      <c r="C76" s="423"/>
      <c r="D76" s="424"/>
      <c r="E76" s="79"/>
      <c r="F76" s="8">
        <v>420</v>
      </c>
      <c r="G76" s="226"/>
      <c r="H76" s="226">
        <f>H77+H78</f>
        <v>43266.509999999995</v>
      </c>
      <c r="I76" s="226"/>
      <c r="J76" s="226"/>
      <c r="K76" s="226">
        <f>K77+K78</f>
        <v>61509.53999999999</v>
      </c>
      <c r="L76" s="226"/>
      <c r="M76" s="226"/>
      <c r="N76" s="226">
        <f>N77+N78</f>
        <v>44905.33</v>
      </c>
      <c r="O76" s="226"/>
      <c r="P76" s="226"/>
      <c r="Q76" s="226">
        <f>Q77+Q78</f>
        <v>58010.07</v>
      </c>
      <c r="R76" s="226"/>
      <c r="S76" s="226">
        <f>S77+S78</f>
        <v>207691.45</v>
      </c>
      <c r="U76" s="12">
        <f>37.94*P76</f>
        <v>0</v>
      </c>
      <c r="V76" s="11">
        <f>H76+K76+N76+Q76</f>
        <v>207691.45</v>
      </c>
      <c r="W76" s="12">
        <f>G76+J76+M76+P76</f>
        <v>0</v>
      </c>
    </row>
    <row r="77" spans="1:23" ht="28.5" customHeight="1">
      <c r="A77" s="15"/>
      <c r="B77" s="523"/>
      <c r="C77" s="524"/>
      <c r="D77" s="525"/>
      <c r="E77" s="87" t="s">
        <v>71</v>
      </c>
      <c r="F77" s="8"/>
      <c r="G77" s="226">
        <v>112</v>
      </c>
      <c r="H77" s="226">
        <f>G77*H161</f>
        <v>5595.52</v>
      </c>
      <c r="I77" s="226"/>
      <c r="J77" s="226">
        <v>154</v>
      </c>
      <c r="K77" s="226">
        <f>J77*H161</f>
        <v>7693.84</v>
      </c>
      <c r="L77" s="226"/>
      <c r="M77" s="226">
        <v>104</v>
      </c>
      <c r="N77" s="226">
        <f>M77*J161</f>
        <v>5403.84</v>
      </c>
      <c r="O77" s="226"/>
      <c r="P77" s="226">
        <v>139</v>
      </c>
      <c r="Q77" s="226">
        <f>P77*J161</f>
        <v>7222.4400000000005</v>
      </c>
      <c r="R77" s="226">
        <f>G77+J77+M77+P77</f>
        <v>509</v>
      </c>
      <c r="S77" s="226">
        <f>H77+K77+N77+Q77</f>
        <v>25915.64</v>
      </c>
      <c r="U77" s="12"/>
      <c r="V77" s="11"/>
      <c r="W77" s="12"/>
    </row>
    <row r="78" spans="1:23" ht="28.5" customHeight="1">
      <c r="A78" s="15"/>
      <c r="B78" s="523"/>
      <c r="C78" s="524"/>
      <c r="D78" s="525"/>
      <c r="E78" s="87" t="s">
        <v>2</v>
      </c>
      <c r="F78" s="8"/>
      <c r="G78" s="226">
        <v>7</v>
      </c>
      <c r="H78" s="226">
        <f>G78*H163</f>
        <v>37670.99</v>
      </c>
      <c r="I78" s="226"/>
      <c r="J78" s="226">
        <v>10</v>
      </c>
      <c r="K78" s="226">
        <f>J78*H163</f>
        <v>53815.7</v>
      </c>
      <c r="L78" s="226"/>
      <c r="M78" s="226">
        <v>7</v>
      </c>
      <c r="N78" s="226">
        <f>M78*J163</f>
        <v>39501.49</v>
      </c>
      <c r="O78" s="226"/>
      <c r="P78" s="226">
        <v>9</v>
      </c>
      <c r="Q78" s="226">
        <f>P78*J163</f>
        <v>50787.63</v>
      </c>
      <c r="R78" s="226">
        <f>G78+J78+M78+P78</f>
        <v>33</v>
      </c>
      <c r="S78" s="226">
        <f>H78+K78+N78+Q78</f>
        <v>181775.81</v>
      </c>
      <c r="U78" s="12"/>
      <c r="V78" s="11"/>
      <c r="W78" s="12"/>
    </row>
    <row r="79" spans="1:23" ht="57" customHeight="1">
      <c r="A79" s="15"/>
      <c r="B79" s="422" t="s">
        <v>35</v>
      </c>
      <c r="C79" s="423"/>
      <c r="D79" s="424"/>
      <c r="E79" s="79"/>
      <c r="F79" s="8">
        <v>171</v>
      </c>
      <c r="G79" s="226"/>
      <c r="H79" s="226">
        <f>H80+H81</f>
        <v>35025.1606</v>
      </c>
      <c r="I79" s="226"/>
      <c r="J79" s="226"/>
      <c r="K79" s="226">
        <f>K80+K81</f>
        <v>35025.1606</v>
      </c>
      <c r="L79" s="226"/>
      <c r="M79" s="226"/>
      <c r="N79" s="226">
        <f>N80+N81</f>
        <v>19696.502099999998</v>
      </c>
      <c r="O79" s="226"/>
      <c r="P79" s="226"/>
      <c r="Q79" s="226">
        <f>Q80+Q81</f>
        <v>39336.5735</v>
      </c>
      <c r="R79" s="226"/>
      <c r="S79" s="226">
        <f>S80+S81</f>
        <v>129083.39</v>
      </c>
      <c r="U79" s="12">
        <f>37.94*P79</f>
        <v>0</v>
      </c>
      <c r="V79" s="11">
        <f>H79+K79+N79+Q79</f>
        <v>129083.3968</v>
      </c>
      <c r="W79" s="12">
        <f>G79+J79+M79+P79</f>
        <v>0</v>
      </c>
    </row>
    <row r="80" spans="1:23" ht="26.25" customHeight="1">
      <c r="A80" s="15"/>
      <c r="B80" s="523"/>
      <c r="C80" s="524"/>
      <c r="D80" s="525"/>
      <c r="E80" s="87" t="s">
        <v>71</v>
      </c>
      <c r="F80" s="8"/>
      <c r="G80" s="226">
        <v>100</v>
      </c>
      <c r="H80" s="226">
        <f>G80*H161</f>
        <v>4996</v>
      </c>
      <c r="I80" s="226"/>
      <c r="J80" s="226">
        <v>100</v>
      </c>
      <c r="K80" s="226">
        <f>J80*H161</f>
        <v>4996</v>
      </c>
      <c r="L80" s="226"/>
      <c r="M80" s="226">
        <v>50</v>
      </c>
      <c r="N80" s="226">
        <f>M80*J161</f>
        <v>2598</v>
      </c>
      <c r="O80" s="226"/>
      <c r="P80" s="226">
        <v>100</v>
      </c>
      <c r="Q80" s="226">
        <f>P80*J161</f>
        <v>5196</v>
      </c>
      <c r="R80" s="226">
        <f>G80+J80+M80+P80</f>
        <v>350</v>
      </c>
      <c r="S80" s="226">
        <f>H80+K80+N80+Q80</f>
        <v>17786</v>
      </c>
      <c r="U80" s="12"/>
      <c r="V80" s="11"/>
      <c r="W80" s="12"/>
    </row>
    <row r="81" spans="1:23" ht="26.25" customHeight="1">
      <c r="A81" s="15"/>
      <c r="B81" s="523"/>
      <c r="C81" s="524"/>
      <c r="D81" s="525"/>
      <c r="E81" s="87" t="s">
        <v>2</v>
      </c>
      <c r="F81" s="8"/>
      <c r="G81" s="226">
        <v>5.58</v>
      </c>
      <c r="H81" s="226">
        <f>G81*H163</f>
        <v>30029.1606</v>
      </c>
      <c r="I81" s="226"/>
      <c r="J81" s="226">
        <v>5.58</v>
      </c>
      <c r="K81" s="226">
        <f>J81*H163</f>
        <v>30029.1606</v>
      </c>
      <c r="L81" s="226"/>
      <c r="M81" s="226">
        <v>3.03</v>
      </c>
      <c r="N81" s="226">
        <f>M81*J163</f>
        <v>17098.502099999998</v>
      </c>
      <c r="O81" s="226"/>
      <c r="P81" s="226">
        <v>6.05</v>
      </c>
      <c r="Q81" s="226">
        <f>P81*J163</f>
        <v>34140.5735</v>
      </c>
      <c r="R81" s="226">
        <f>G81+J81+M81+P81</f>
        <v>20.24</v>
      </c>
      <c r="S81" s="226">
        <v>111297.39</v>
      </c>
      <c r="U81" s="12"/>
      <c r="V81" s="11"/>
      <c r="W81" s="12"/>
    </row>
    <row r="82" spans="1:23" ht="51.75" customHeight="1">
      <c r="A82" s="15"/>
      <c r="B82" s="422" t="s">
        <v>36</v>
      </c>
      <c r="C82" s="423"/>
      <c r="D82" s="424"/>
      <c r="E82" s="79"/>
      <c r="F82" s="8">
        <v>213</v>
      </c>
      <c r="G82" s="226"/>
      <c r="H82" s="226">
        <f>H83+H84</f>
        <v>35907.1606</v>
      </c>
      <c r="I82" s="226"/>
      <c r="J82" s="226"/>
      <c r="K82" s="226">
        <f>K83+K84</f>
        <v>71814.3212</v>
      </c>
      <c r="L82" s="226"/>
      <c r="M82" s="226"/>
      <c r="N82" s="226">
        <f>N83+N84</f>
        <v>28224.5922</v>
      </c>
      <c r="O82" s="226"/>
      <c r="P82" s="226"/>
      <c r="Q82" s="226">
        <f>Q83+Q84</f>
        <v>72616.2867</v>
      </c>
      <c r="R82" s="226"/>
      <c r="S82" s="226">
        <f>S83+S84</f>
        <v>208562.36070000002</v>
      </c>
      <c r="U82" s="12">
        <f>49.34*P82</f>
        <v>0</v>
      </c>
      <c r="V82" s="11">
        <f>H82+K82+N82+Q82</f>
        <v>208562.36070000002</v>
      </c>
      <c r="W82" s="12">
        <f>G82+J82+M82+P82</f>
        <v>0</v>
      </c>
    </row>
    <row r="83" spans="1:23" ht="28.5" customHeight="1">
      <c r="A83" s="15"/>
      <c r="B83" s="523"/>
      <c r="C83" s="524"/>
      <c r="D83" s="525"/>
      <c r="E83" s="87" t="s">
        <v>71</v>
      </c>
      <c r="F83" s="8"/>
      <c r="G83" s="226">
        <v>100</v>
      </c>
      <c r="H83" s="226">
        <f>G83*H162</f>
        <v>5878</v>
      </c>
      <c r="I83" s="226"/>
      <c r="J83" s="226">
        <v>200</v>
      </c>
      <c r="K83" s="226">
        <f>J83*H162</f>
        <v>11756</v>
      </c>
      <c r="L83" s="226"/>
      <c r="M83" s="226">
        <v>50</v>
      </c>
      <c r="N83" s="226">
        <f>M83*J162</f>
        <v>3056.5</v>
      </c>
      <c r="O83" s="226"/>
      <c r="P83" s="226">
        <v>190</v>
      </c>
      <c r="Q83" s="226">
        <f>P83*J162</f>
        <v>11614.7</v>
      </c>
      <c r="R83" s="226">
        <f aca="true" t="shared" si="13" ref="R83:R93">G83+J83+M83+P83</f>
        <v>540</v>
      </c>
      <c r="S83" s="226">
        <f>H83+K83+N83+Q83</f>
        <v>32305.2</v>
      </c>
      <c r="U83" s="12"/>
      <c r="V83" s="11"/>
      <c r="W83" s="12"/>
    </row>
    <row r="84" spans="1:23" ht="28.5" customHeight="1">
      <c r="A84" s="15"/>
      <c r="B84" s="523"/>
      <c r="C84" s="524"/>
      <c r="D84" s="525"/>
      <c r="E84" s="87" t="s">
        <v>2</v>
      </c>
      <c r="F84" s="8"/>
      <c r="G84" s="226">
        <v>5.58</v>
      </c>
      <c r="H84" s="226">
        <f>G84*H164</f>
        <v>30029.1606</v>
      </c>
      <c r="I84" s="226"/>
      <c r="J84" s="226">
        <v>11.16</v>
      </c>
      <c r="K84" s="226">
        <f>J84*H164</f>
        <v>60058.3212</v>
      </c>
      <c r="L84" s="226"/>
      <c r="M84" s="226">
        <v>4.46</v>
      </c>
      <c r="N84" s="226">
        <f>M84*J164</f>
        <v>25168.0922</v>
      </c>
      <c r="O84" s="226"/>
      <c r="P84" s="226">
        <v>10.81</v>
      </c>
      <c r="Q84" s="226">
        <f>P84*J164</f>
        <v>61001.5867</v>
      </c>
      <c r="R84" s="226">
        <f>G84+J84+M84+P84</f>
        <v>32.010000000000005</v>
      </c>
      <c r="S84" s="226">
        <f>H84+K84+N84+Q84</f>
        <v>176257.1607</v>
      </c>
      <c r="U84" s="12"/>
      <c r="V84" s="11"/>
      <c r="W84" s="12"/>
    </row>
    <row r="85" spans="1:23" ht="25.5" customHeight="1">
      <c r="A85" s="15"/>
      <c r="B85" s="511" t="s">
        <v>37</v>
      </c>
      <c r="C85" s="511"/>
      <c r="D85" s="511"/>
      <c r="E85" s="84"/>
      <c r="F85" s="8">
        <v>0</v>
      </c>
      <c r="G85" s="226"/>
      <c r="H85" s="226">
        <f>H86+H87</f>
        <v>82606.2407</v>
      </c>
      <c r="I85" s="226"/>
      <c r="J85" s="226"/>
      <c r="K85" s="226">
        <f>K86+K87</f>
        <v>82606.2407</v>
      </c>
      <c r="L85" s="226"/>
      <c r="M85" s="226"/>
      <c r="N85" s="226">
        <f>N86+N87</f>
        <v>67307.02339999999</v>
      </c>
      <c r="O85" s="226"/>
      <c r="P85" s="226"/>
      <c r="Q85" s="226">
        <f>Q86+Q87</f>
        <v>84424.12720000002</v>
      </c>
      <c r="R85" s="226"/>
      <c r="S85" s="226">
        <f>S86+S87</f>
        <v>316943.632</v>
      </c>
      <c r="U85" s="12">
        <f>49.34*P85</f>
        <v>0</v>
      </c>
      <c r="V85" s="11">
        <f>H85+K85+N85+Q85</f>
        <v>316943.632</v>
      </c>
      <c r="W85" s="12">
        <f>G85+J85+M85+P85</f>
        <v>0</v>
      </c>
    </row>
    <row r="86" spans="1:23" ht="25.5" customHeight="1">
      <c r="A86" s="15"/>
      <c r="B86" s="523"/>
      <c r="C86" s="524"/>
      <c r="D86" s="525"/>
      <c r="E86" s="87" t="s">
        <v>71</v>
      </c>
      <c r="F86" s="8"/>
      <c r="G86" s="226">
        <v>260</v>
      </c>
      <c r="H86" s="226">
        <f>G86*H162</f>
        <v>15282.800000000001</v>
      </c>
      <c r="I86" s="226"/>
      <c r="J86" s="226">
        <v>260</v>
      </c>
      <c r="K86" s="226">
        <f>J86*H162</f>
        <v>15282.800000000001</v>
      </c>
      <c r="L86" s="226"/>
      <c r="M86" s="226">
        <v>213</v>
      </c>
      <c r="N86" s="226">
        <f>M86*J162</f>
        <v>13020.69</v>
      </c>
      <c r="O86" s="226"/>
      <c r="P86" s="226">
        <v>277</v>
      </c>
      <c r="Q86" s="226">
        <f>P86*J162</f>
        <v>16933.010000000002</v>
      </c>
      <c r="R86" s="226">
        <f t="shared" si="13"/>
        <v>1010</v>
      </c>
      <c r="S86" s="226">
        <f>H86+K86+N86+Q86</f>
        <v>60519.3</v>
      </c>
      <c r="U86" s="12"/>
      <c r="V86" s="11"/>
      <c r="W86" s="12"/>
    </row>
    <row r="87" spans="1:23" ht="25.5" customHeight="1">
      <c r="A87" s="15"/>
      <c r="B87" s="523"/>
      <c r="C87" s="524"/>
      <c r="D87" s="525"/>
      <c r="E87" s="87" t="s">
        <v>2</v>
      </c>
      <c r="F87" s="8"/>
      <c r="G87" s="226">
        <v>12.51</v>
      </c>
      <c r="H87" s="226">
        <f>G87*H164</f>
        <v>67323.44069999999</v>
      </c>
      <c r="I87" s="226"/>
      <c r="J87" s="226">
        <v>12.51</v>
      </c>
      <c r="K87" s="226">
        <f>J87*H164</f>
        <v>67323.44069999999</v>
      </c>
      <c r="L87" s="226"/>
      <c r="M87" s="226">
        <v>9.62</v>
      </c>
      <c r="N87" s="226">
        <f>M87*J164</f>
        <v>54286.333399999996</v>
      </c>
      <c r="O87" s="226"/>
      <c r="P87" s="226">
        <v>11.96</v>
      </c>
      <c r="Q87" s="226">
        <f>P87*J164</f>
        <v>67491.11720000001</v>
      </c>
      <c r="R87" s="226">
        <f t="shared" si="13"/>
        <v>46.6</v>
      </c>
      <c r="S87" s="226">
        <f>H87+K87+N87+Q87</f>
        <v>256424.332</v>
      </c>
      <c r="U87" s="12"/>
      <c r="V87" s="11"/>
      <c r="W87" s="12"/>
    </row>
    <row r="88" spans="1:23" s="120" customFormat="1" ht="25.5" customHeight="1">
      <c r="A88" s="114"/>
      <c r="B88" s="554" t="s">
        <v>38</v>
      </c>
      <c r="C88" s="554"/>
      <c r="D88" s="554"/>
      <c r="E88" s="115"/>
      <c r="F88" s="116">
        <v>651</v>
      </c>
      <c r="G88" s="244"/>
      <c r="H88" s="244">
        <f>H89+H90</f>
        <v>187798.9901</v>
      </c>
      <c r="I88" s="244"/>
      <c r="J88" s="244"/>
      <c r="K88" s="244">
        <f>K89+K90</f>
        <v>161871.8821</v>
      </c>
      <c r="L88" s="244"/>
      <c r="M88" s="244"/>
      <c r="N88" s="244">
        <f>N89+N90</f>
        <v>131758.6456</v>
      </c>
      <c r="O88" s="244"/>
      <c r="P88" s="244"/>
      <c r="Q88" s="244">
        <f>Q89+Q90</f>
        <v>230736.21480000002</v>
      </c>
      <c r="R88" s="244"/>
      <c r="S88" s="244">
        <f>S89+S90</f>
        <v>712165.7326</v>
      </c>
      <c r="T88" s="117"/>
      <c r="U88" s="118">
        <f>37.94*P88</f>
        <v>0</v>
      </c>
      <c r="V88" s="119">
        <f>H88+K88+N88+Q88</f>
        <v>712165.7326</v>
      </c>
      <c r="W88" s="118">
        <f>G88+J88+M88+P88</f>
        <v>0</v>
      </c>
    </row>
    <row r="89" spans="1:23" ht="25.5" customHeight="1">
      <c r="A89" s="15"/>
      <c r="B89" s="523"/>
      <c r="C89" s="524"/>
      <c r="D89" s="525"/>
      <c r="E89" s="87" t="s">
        <v>71</v>
      </c>
      <c r="F89" s="8"/>
      <c r="G89" s="226">
        <v>535</v>
      </c>
      <c r="H89" s="226">
        <f>G89*H161</f>
        <v>26728.600000000002</v>
      </c>
      <c r="I89" s="226"/>
      <c r="J89" s="226">
        <v>490</v>
      </c>
      <c r="K89" s="226">
        <f>J89*H161</f>
        <v>24480.4</v>
      </c>
      <c r="L89" s="226"/>
      <c r="M89" s="226">
        <v>355</v>
      </c>
      <c r="N89" s="226">
        <f>M89*J161</f>
        <v>18445.8</v>
      </c>
      <c r="O89" s="226"/>
      <c r="P89" s="226">
        <v>570</v>
      </c>
      <c r="Q89" s="226">
        <f>P89*J161</f>
        <v>29617.2</v>
      </c>
      <c r="R89" s="226">
        <f t="shared" si="13"/>
        <v>1950</v>
      </c>
      <c r="S89" s="226">
        <f>H89+K89+N89+Q89</f>
        <v>99272</v>
      </c>
      <c r="U89" s="12"/>
      <c r="V89" s="11"/>
      <c r="W89" s="12"/>
    </row>
    <row r="90" spans="1:23" ht="25.5" customHeight="1">
      <c r="A90" s="15"/>
      <c r="B90" s="523"/>
      <c r="C90" s="524"/>
      <c r="D90" s="525"/>
      <c r="E90" s="87" t="s">
        <v>2</v>
      </c>
      <c r="F90" s="8"/>
      <c r="G90" s="226">
        <v>29.93</v>
      </c>
      <c r="H90" s="226">
        <f>G90*H163</f>
        <v>161070.3901</v>
      </c>
      <c r="I90" s="226"/>
      <c r="J90" s="226">
        <v>25.53</v>
      </c>
      <c r="K90" s="226">
        <f>J90*H163</f>
        <v>137391.4821</v>
      </c>
      <c r="L90" s="226"/>
      <c r="M90" s="226">
        <v>20.08</v>
      </c>
      <c r="N90" s="226">
        <f>M90*J163</f>
        <v>113312.84559999999</v>
      </c>
      <c r="O90" s="226"/>
      <c r="P90" s="226">
        <v>35.64</v>
      </c>
      <c r="Q90" s="226">
        <f>P90*J163</f>
        <v>201119.0148</v>
      </c>
      <c r="R90" s="226">
        <f t="shared" si="13"/>
        <v>111.17999999999999</v>
      </c>
      <c r="S90" s="226">
        <f>H90+K90+N90+Q90</f>
        <v>612893.7326</v>
      </c>
      <c r="U90" s="12"/>
      <c r="V90" s="11"/>
      <c r="W90" s="12"/>
    </row>
    <row r="91" spans="1:23" ht="60" customHeight="1">
      <c r="A91" s="15"/>
      <c r="B91" s="511" t="s">
        <v>39</v>
      </c>
      <c r="C91" s="511"/>
      <c r="D91" s="511"/>
      <c r="E91" s="84"/>
      <c r="F91" s="8">
        <v>15.1</v>
      </c>
      <c r="G91" s="226"/>
      <c r="H91" s="226">
        <f>H92+H93</f>
        <v>16033.058799999999</v>
      </c>
      <c r="I91" s="226"/>
      <c r="J91" s="226"/>
      <c r="K91" s="226">
        <f>K92+K93</f>
        <v>15660.2046</v>
      </c>
      <c r="L91" s="226"/>
      <c r="M91" s="226"/>
      <c r="N91" s="226">
        <f>N92+N93</f>
        <v>25274.794499999996</v>
      </c>
      <c r="O91" s="226"/>
      <c r="P91" s="226"/>
      <c r="Q91" s="226">
        <f>Q92+Q93</f>
        <v>20803.357099999997</v>
      </c>
      <c r="R91" s="226"/>
      <c r="S91" s="226">
        <f>S92+S93</f>
        <v>77771.41</v>
      </c>
      <c r="U91" s="12">
        <f>37.94*P91</f>
        <v>0</v>
      </c>
      <c r="V91" s="11">
        <f>H91+K91+N91+Q91</f>
        <v>77771.415</v>
      </c>
      <c r="W91" s="12">
        <f>G91+J91+M91+P91</f>
        <v>0</v>
      </c>
    </row>
    <row r="92" spans="1:23" ht="32.25" customHeight="1">
      <c r="A92" s="15"/>
      <c r="B92" s="523"/>
      <c r="C92" s="524"/>
      <c r="D92" s="525"/>
      <c r="E92" s="87" t="s">
        <v>71</v>
      </c>
      <c r="F92" s="8"/>
      <c r="G92" s="226">
        <v>15</v>
      </c>
      <c r="H92" s="226">
        <f>G92*H161</f>
        <v>749.4</v>
      </c>
      <c r="I92" s="226"/>
      <c r="J92" s="226">
        <v>14</v>
      </c>
      <c r="K92" s="226">
        <f>J92*H161</f>
        <v>699.44</v>
      </c>
      <c r="L92" s="226"/>
      <c r="M92" s="226">
        <v>14</v>
      </c>
      <c r="N92" s="226">
        <f>M92*J161</f>
        <v>727.44</v>
      </c>
      <c r="O92" s="226"/>
      <c r="P92" s="226">
        <v>17</v>
      </c>
      <c r="Q92" s="226">
        <f>P92*J161</f>
        <v>883.32</v>
      </c>
      <c r="R92" s="226">
        <f t="shared" si="13"/>
        <v>60</v>
      </c>
      <c r="S92" s="226">
        <f>H92+K92+N92+Q92</f>
        <v>3059.6000000000004</v>
      </c>
      <c r="U92" s="12"/>
      <c r="V92" s="11"/>
      <c r="W92" s="12"/>
    </row>
    <row r="93" spans="1:23" ht="33.75" customHeight="1">
      <c r="A93" s="15"/>
      <c r="B93" s="523"/>
      <c r="C93" s="524"/>
      <c r="D93" s="525"/>
      <c r="E93" s="87" t="s">
        <v>2</v>
      </c>
      <c r="F93" s="8"/>
      <c r="G93" s="226">
        <v>2.84</v>
      </c>
      <c r="H93" s="226">
        <f>G93*H163</f>
        <v>15283.6588</v>
      </c>
      <c r="I93" s="226"/>
      <c r="J93" s="226">
        <v>2.78</v>
      </c>
      <c r="K93" s="226">
        <f>J93*H163</f>
        <v>14960.764599999999</v>
      </c>
      <c r="L93" s="226"/>
      <c r="M93" s="226">
        <v>4.35</v>
      </c>
      <c r="N93" s="226">
        <f>M93*J163</f>
        <v>24547.354499999998</v>
      </c>
      <c r="O93" s="226"/>
      <c r="P93" s="226">
        <v>3.53</v>
      </c>
      <c r="Q93" s="226">
        <f>P93*J163</f>
        <v>19920.037099999998</v>
      </c>
      <c r="R93" s="226">
        <f t="shared" si="13"/>
        <v>13.499999999999998</v>
      </c>
      <c r="S93" s="226">
        <v>74711.81</v>
      </c>
      <c r="U93" s="12"/>
      <c r="V93" s="11"/>
      <c r="W93" s="12"/>
    </row>
    <row r="94" spans="1:23" s="97" customFormat="1" ht="54.75" customHeight="1">
      <c r="A94" s="91">
        <v>3</v>
      </c>
      <c r="B94" s="515" t="s">
        <v>42</v>
      </c>
      <c r="C94" s="516"/>
      <c r="D94" s="517"/>
      <c r="E94" s="92" t="s">
        <v>80</v>
      </c>
      <c r="F94" s="98"/>
      <c r="G94" s="93"/>
      <c r="H94" s="93">
        <v>55182.9</v>
      </c>
      <c r="I94" s="93"/>
      <c r="J94" s="93"/>
      <c r="K94" s="93">
        <v>34251.99</v>
      </c>
      <c r="L94" s="93"/>
      <c r="M94" s="93"/>
      <c r="N94" s="93">
        <f>N97+N100+N103+N106</f>
        <v>18228.42861</v>
      </c>
      <c r="O94" s="93"/>
      <c r="P94" s="93"/>
      <c r="Q94" s="93">
        <f>Q97+Q100+Q103+Q106</f>
        <v>50489.71987</v>
      </c>
      <c r="R94" s="93"/>
      <c r="S94" s="93">
        <f>H94+K94+N94+Q94</f>
        <v>158153.03848</v>
      </c>
      <c r="T94" s="94"/>
      <c r="U94" s="95"/>
      <c r="V94" s="96"/>
      <c r="W94" s="95">
        <f>G94+J94+M94+P94</f>
        <v>0</v>
      </c>
    </row>
    <row r="95" spans="1:23" ht="42" customHeight="1">
      <c r="A95" s="15"/>
      <c r="B95" s="518"/>
      <c r="C95" s="519"/>
      <c r="D95" s="520"/>
      <c r="E95" s="86" t="s">
        <v>71</v>
      </c>
      <c r="F95" s="8"/>
      <c r="G95" s="384">
        <f>G98+G101+G104+G107</f>
        <v>18.349000000000004</v>
      </c>
      <c r="H95" s="60">
        <v>942.05</v>
      </c>
      <c r="I95" s="60">
        <f aca="true" t="shared" si="14" ref="I95:Q96">I98+I101+I104+I107</f>
        <v>0</v>
      </c>
      <c r="J95" s="384">
        <f t="shared" si="14"/>
        <v>17.753000000000004</v>
      </c>
      <c r="K95" s="60">
        <f t="shared" si="14"/>
        <v>913.1705600000001</v>
      </c>
      <c r="L95" s="60">
        <f t="shared" si="14"/>
        <v>0</v>
      </c>
      <c r="M95" s="384">
        <f t="shared" si="14"/>
        <v>17.032</v>
      </c>
      <c r="N95" s="60">
        <v>915.49</v>
      </c>
      <c r="O95" s="60">
        <f t="shared" si="14"/>
        <v>0</v>
      </c>
      <c r="P95" s="384">
        <f t="shared" si="14"/>
        <v>20.404999999999998</v>
      </c>
      <c r="Q95" s="60">
        <f t="shared" si="14"/>
        <v>1090.2847199999999</v>
      </c>
      <c r="R95" s="384">
        <f>G95+J95+M95+P95</f>
        <v>73.539</v>
      </c>
      <c r="S95" s="60">
        <v>3860.99</v>
      </c>
      <c r="U95" s="12"/>
      <c r="V95" s="11"/>
      <c r="W95" s="12"/>
    </row>
    <row r="96" spans="1:23" ht="40.5" customHeight="1">
      <c r="A96" s="15"/>
      <c r="B96" s="518"/>
      <c r="C96" s="519"/>
      <c r="D96" s="520"/>
      <c r="E96" s="86" t="s">
        <v>2</v>
      </c>
      <c r="F96" s="8"/>
      <c r="G96" s="298">
        <f aca="true" t="shared" si="15" ref="G96:P96">G99+G102+G105+G108</f>
        <v>10.079</v>
      </c>
      <c r="H96" s="60">
        <v>54240.85</v>
      </c>
      <c r="I96" s="60">
        <f t="shared" si="15"/>
        <v>0</v>
      </c>
      <c r="J96" s="298">
        <f t="shared" si="15"/>
        <v>6.195</v>
      </c>
      <c r="K96" s="60">
        <v>33338.82</v>
      </c>
      <c r="L96" s="60">
        <f t="shared" si="15"/>
        <v>0</v>
      </c>
      <c r="M96" s="298">
        <f t="shared" si="15"/>
        <v>3.068</v>
      </c>
      <c r="N96" s="60">
        <f t="shared" si="14"/>
        <v>17312.93876</v>
      </c>
      <c r="O96" s="60">
        <f t="shared" si="15"/>
        <v>0</v>
      </c>
      <c r="P96" s="298">
        <f t="shared" si="15"/>
        <v>8.754000000000001</v>
      </c>
      <c r="Q96" s="60">
        <v>49399.44</v>
      </c>
      <c r="R96" s="301">
        <f>G96+J96+M96+P96</f>
        <v>28.096000000000004</v>
      </c>
      <c r="S96" s="60">
        <f aca="true" t="shared" si="16" ref="S96:S108">H96+K96+N96+Q96</f>
        <v>154292.04876</v>
      </c>
      <c r="U96" s="12"/>
      <c r="V96" s="11"/>
      <c r="W96" s="12"/>
    </row>
    <row r="97" spans="1:23" ht="42" customHeight="1">
      <c r="A97" s="15"/>
      <c r="B97" s="422" t="s">
        <v>98</v>
      </c>
      <c r="C97" s="416"/>
      <c r="D97" s="417"/>
      <c r="E97" s="335"/>
      <c r="F97" s="8"/>
      <c r="G97" s="299"/>
      <c r="H97" s="226">
        <f>SUM(H98:H99)</f>
        <v>21700.882879999997</v>
      </c>
      <c r="I97" s="226"/>
      <c r="J97" s="299"/>
      <c r="K97" s="226">
        <v>17375.45</v>
      </c>
      <c r="L97" s="226"/>
      <c r="M97" s="299"/>
      <c r="N97" s="226">
        <v>13857.7</v>
      </c>
      <c r="O97" s="226"/>
      <c r="P97" s="299"/>
      <c r="Q97" s="226">
        <f>SUM(Q98:Q99)</f>
        <v>20339.216969999998</v>
      </c>
      <c r="R97" s="300"/>
      <c r="S97" s="226">
        <f t="shared" si="16"/>
        <v>73273.24985</v>
      </c>
      <c r="U97" s="12"/>
      <c r="V97" s="11"/>
      <c r="W97" s="12"/>
    </row>
    <row r="98" spans="1:23" ht="40.5" customHeight="1">
      <c r="A98" s="15"/>
      <c r="B98" s="422"/>
      <c r="C98" s="416"/>
      <c r="D98" s="417"/>
      <c r="E98" s="335" t="s">
        <v>71</v>
      </c>
      <c r="F98" s="8"/>
      <c r="G98" s="299">
        <v>12.974</v>
      </c>
      <c r="H98" s="226">
        <f>G98*H161</f>
        <v>648.18104</v>
      </c>
      <c r="I98" s="226"/>
      <c r="J98" s="299">
        <v>12.678</v>
      </c>
      <c r="K98" s="226">
        <f>J98*H161</f>
        <v>633.3928800000001</v>
      </c>
      <c r="L98" s="226"/>
      <c r="M98" s="299">
        <v>12.457</v>
      </c>
      <c r="N98" s="226">
        <f>M98*J161</f>
        <v>647.2657200000001</v>
      </c>
      <c r="O98" s="226"/>
      <c r="P98" s="299">
        <v>14.475</v>
      </c>
      <c r="Q98" s="226">
        <f>P98*J161</f>
        <v>752.121</v>
      </c>
      <c r="R98" s="300">
        <f>G98+J98+M98+P98</f>
        <v>52.584</v>
      </c>
      <c r="S98" s="226">
        <f t="shared" si="16"/>
        <v>2680.9606400000002</v>
      </c>
      <c r="U98" s="12"/>
      <c r="V98" s="11"/>
      <c r="W98" s="12"/>
    </row>
    <row r="99" spans="1:23" ht="35.25" customHeight="1">
      <c r="A99" s="15"/>
      <c r="B99" s="422"/>
      <c r="C99" s="416"/>
      <c r="D99" s="417"/>
      <c r="E99" s="335" t="s">
        <v>2</v>
      </c>
      <c r="F99" s="8"/>
      <c r="G99" s="299">
        <v>3.912</v>
      </c>
      <c r="H99" s="226">
        <f>G99*H163</f>
        <v>21052.701839999998</v>
      </c>
      <c r="I99" s="226"/>
      <c r="J99" s="299">
        <v>3.111</v>
      </c>
      <c r="K99" s="226">
        <f>J99*H163</f>
        <v>16742.06427</v>
      </c>
      <c r="L99" s="226"/>
      <c r="M99" s="299">
        <v>2.341</v>
      </c>
      <c r="N99" s="226">
        <f>M99*J163</f>
        <v>13210.426870000001</v>
      </c>
      <c r="O99" s="226"/>
      <c r="P99" s="299">
        <v>3.471</v>
      </c>
      <c r="Q99" s="226">
        <f>P99*J163</f>
        <v>19587.09597</v>
      </c>
      <c r="R99" s="300">
        <f>G99+J99+M99+P99</f>
        <v>12.835</v>
      </c>
      <c r="S99" s="226">
        <f t="shared" si="16"/>
        <v>70592.28895</v>
      </c>
      <c r="U99" s="12"/>
      <c r="V99" s="11"/>
      <c r="W99" s="12"/>
    </row>
    <row r="100" spans="1:23" ht="40.5" customHeight="1">
      <c r="A100" s="15"/>
      <c r="B100" s="422" t="s">
        <v>99</v>
      </c>
      <c r="C100" s="416"/>
      <c r="D100" s="417"/>
      <c r="E100" s="335"/>
      <c r="F100" s="8"/>
      <c r="G100" s="299"/>
      <c r="H100" s="226">
        <f>SUM(H101:H102)</f>
        <v>1046.07085</v>
      </c>
      <c r="I100" s="226"/>
      <c r="J100" s="299"/>
      <c r="K100" s="226">
        <f>SUM(K101:K102)</f>
        <v>1084.29705</v>
      </c>
      <c r="L100" s="226"/>
      <c r="M100" s="299"/>
      <c r="N100" s="226">
        <f>SUM(N101:N102)</f>
        <v>1269.85861</v>
      </c>
      <c r="O100" s="226"/>
      <c r="P100" s="299"/>
      <c r="Q100" s="226">
        <f>SUM(Q101:Q102)</f>
        <v>1249.8728999999998</v>
      </c>
      <c r="R100" s="300"/>
      <c r="S100" s="226">
        <f t="shared" si="16"/>
        <v>4650.099410000001</v>
      </c>
      <c r="U100" s="12"/>
      <c r="V100" s="11"/>
      <c r="W100" s="12"/>
    </row>
    <row r="101" spans="1:23" ht="35.25" customHeight="1">
      <c r="A101" s="15"/>
      <c r="B101" s="422"/>
      <c r="C101" s="416"/>
      <c r="D101" s="417"/>
      <c r="E101" s="335" t="s">
        <v>71</v>
      </c>
      <c r="F101" s="8"/>
      <c r="G101" s="299">
        <v>2.873</v>
      </c>
      <c r="H101" s="226">
        <f>G101*H162</f>
        <v>168.87494</v>
      </c>
      <c r="I101" s="226"/>
      <c r="J101" s="299">
        <v>2.974</v>
      </c>
      <c r="K101" s="226">
        <f>J101*H162</f>
        <v>174.81172</v>
      </c>
      <c r="L101" s="226"/>
      <c r="M101" s="299">
        <v>3.326</v>
      </c>
      <c r="N101" s="226">
        <f>M101*J162</f>
        <v>203.31838000000002</v>
      </c>
      <c r="O101" s="226"/>
      <c r="P101" s="299">
        <v>3.276</v>
      </c>
      <c r="Q101" s="226">
        <f>P101*J162</f>
        <v>200.26188</v>
      </c>
      <c r="R101" s="300">
        <f>G101+J101+M101+P101</f>
        <v>12.449</v>
      </c>
      <c r="S101" s="226">
        <v>747.26</v>
      </c>
      <c r="U101" s="12"/>
      <c r="V101" s="11"/>
      <c r="W101" s="12"/>
    </row>
    <row r="102" spans="1:23" ht="54.75" customHeight="1">
      <c r="A102" s="15"/>
      <c r="B102" s="422"/>
      <c r="C102" s="416"/>
      <c r="D102" s="417"/>
      <c r="E102" s="335" t="s">
        <v>2</v>
      </c>
      <c r="F102" s="8"/>
      <c r="G102" s="299">
        <v>0.163</v>
      </c>
      <c r="H102" s="226">
        <f>G102*H164</f>
        <v>877.19591</v>
      </c>
      <c r="I102" s="226"/>
      <c r="J102" s="299">
        <v>0.169</v>
      </c>
      <c r="K102" s="226">
        <f>J102*H164</f>
        <v>909.48533</v>
      </c>
      <c r="L102" s="226"/>
      <c r="M102" s="299">
        <v>0.189</v>
      </c>
      <c r="N102" s="226">
        <f>M102*J164</f>
        <v>1066.54023</v>
      </c>
      <c r="O102" s="226"/>
      <c r="P102" s="299">
        <v>0.186</v>
      </c>
      <c r="Q102" s="226">
        <f>P102*J164</f>
        <v>1049.6110199999998</v>
      </c>
      <c r="R102" s="300">
        <f>G102+J102+M102+P102</f>
        <v>0.7070000000000001</v>
      </c>
      <c r="S102" s="226">
        <v>3902.84</v>
      </c>
      <c r="U102" s="12"/>
      <c r="V102" s="11"/>
      <c r="W102" s="12"/>
    </row>
    <row r="103" spans="1:23" ht="47.25" customHeight="1">
      <c r="A103" s="15"/>
      <c r="B103" s="422" t="s">
        <v>136</v>
      </c>
      <c r="C103" s="423"/>
      <c r="D103" s="424"/>
      <c r="E103" s="87"/>
      <c r="F103" s="8"/>
      <c r="G103" s="299"/>
      <c r="H103" s="226">
        <v>304.72</v>
      </c>
      <c r="I103" s="226"/>
      <c r="J103" s="299"/>
      <c r="K103" s="226">
        <f>K104+K105</f>
        <v>322.30764</v>
      </c>
      <c r="L103" s="226"/>
      <c r="M103" s="299"/>
      <c r="N103" s="226">
        <v>371.01</v>
      </c>
      <c r="O103" s="226"/>
      <c r="P103" s="299"/>
      <c r="Q103" s="226">
        <v>364.64</v>
      </c>
      <c r="R103" s="299"/>
      <c r="S103" s="226">
        <f t="shared" si="16"/>
        <v>1362.6776399999999</v>
      </c>
      <c r="U103" s="12"/>
      <c r="V103" s="11"/>
      <c r="W103" s="12"/>
    </row>
    <row r="104" spans="1:23" ht="39.75" customHeight="1">
      <c r="A104" s="15"/>
      <c r="B104" s="422"/>
      <c r="C104" s="423"/>
      <c r="D104" s="424"/>
      <c r="E104" s="87" t="s">
        <v>71</v>
      </c>
      <c r="F104" s="8"/>
      <c r="G104" s="300">
        <v>0.821</v>
      </c>
      <c r="H104" s="226">
        <f>G104*H161</f>
        <v>41.01716</v>
      </c>
      <c r="I104" s="226"/>
      <c r="J104" s="299">
        <v>0.85</v>
      </c>
      <c r="K104" s="226">
        <f>J104*H161</f>
        <v>42.466</v>
      </c>
      <c r="L104" s="226"/>
      <c r="M104" s="300">
        <v>0.95</v>
      </c>
      <c r="N104" s="226">
        <f>M104*J161</f>
        <v>49.362</v>
      </c>
      <c r="O104" s="226"/>
      <c r="P104" s="300">
        <v>0.936</v>
      </c>
      <c r="Q104" s="226">
        <f>P104*J161</f>
        <v>48.63456</v>
      </c>
      <c r="R104" s="300">
        <f>G104+J104+M104+P104</f>
        <v>3.5569999999999995</v>
      </c>
      <c r="S104" s="226">
        <f t="shared" si="16"/>
        <v>181.47972</v>
      </c>
      <c r="U104" s="12"/>
      <c r="V104" s="11"/>
      <c r="W104" s="12"/>
    </row>
    <row r="105" spans="1:23" ht="34.5" customHeight="1">
      <c r="A105" s="15"/>
      <c r="B105" s="422"/>
      <c r="C105" s="423"/>
      <c r="D105" s="424"/>
      <c r="E105" s="87" t="s">
        <v>2</v>
      </c>
      <c r="F105" s="8"/>
      <c r="G105" s="300">
        <v>0.049</v>
      </c>
      <c r="H105" s="226">
        <f>G105*H163</f>
        <v>263.69693</v>
      </c>
      <c r="I105" s="226"/>
      <c r="J105" s="300">
        <v>0.052</v>
      </c>
      <c r="K105" s="226">
        <f>J105*H163</f>
        <v>279.84164</v>
      </c>
      <c r="L105" s="226"/>
      <c r="M105" s="300">
        <v>0.057</v>
      </c>
      <c r="N105" s="226">
        <f>M105*J163</f>
        <v>321.65499</v>
      </c>
      <c r="O105" s="226"/>
      <c r="P105" s="300">
        <v>0.056</v>
      </c>
      <c r="Q105" s="226">
        <f>P105*J163</f>
        <v>316.01192</v>
      </c>
      <c r="R105" s="300">
        <f>G105+J105+M105+P105</f>
        <v>0.214</v>
      </c>
      <c r="S105" s="226">
        <v>1181.2</v>
      </c>
      <c r="U105" s="12"/>
      <c r="V105" s="11"/>
      <c r="W105" s="12"/>
    </row>
    <row r="106" spans="1:23" ht="36.75" customHeight="1">
      <c r="A106" s="15"/>
      <c r="B106" s="422" t="s">
        <v>137</v>
      </c>
      <c r="C106" s="423"/>
      <c r="D106" s="424"/>
      <c r="E106" s="87"/>
      <c r="F106" s="8"/>
      <c r="G106" s="299"/>
      <c r="H106" s="226">
        <f>H107+H108</f>
        <v>32131.232109999997</v>
      </c>
      <c r="I106" s="226"/>
      <c r="J106" s="299"/>
      <c r="K106" s="226">
        <v>15469.93</v>
      </c>
      <c r="L106" s="226"/>
      <c r="M106" s="299"/>
      <c r="N106" s="226">
        <v>2729.86</v>
      </c>
      <c r="O106" s="226"/>
      <c r="P106" s="299"/>
      <c r="Q106" s="226">
        <v>28535.99</v>
      </c>
      <c r="R106" s="299"/>
      <c r="S106" s="226">
        <f t="shared" si="16"/>
        <v>78867.01211</v>
      </c>
      <c r="U106" s="12"/>
      <c r="V106" s="11"/>
      <c r="W106" s="12"/>
    </row>
    <row r="107" spans="1:23" ht="33" customHeight="1">
      <c r="A107" s="15"/>
      <c r="B107" s="523"/>
      <c r="C107" s="524"/>
      <c r="D107" s="525"/>
      <c r="E107" s="87" t="s">
        <v>71</v>
      </c>
      <c r="F107" s="8"/>
      <c r="G107" s="300">
        <v>1.681</v>
      </c>
      <c r="H107" s="226">
        <f>G107*H161</f>
        <v>83.98276</v>
      </c>
      <c r="I107" s="226"/>
      <c r="J107" s="300">
        <v>1.251</v>
      </c>
      <c r="K107" s="226">
        <f>J107*H161</f>
        <v>62.499959999999994</v>
      </c>
      <c r="L107" s="226"/>
      <c r="M107" s="300">
        <v>0.299</v>
      </c>
      <c r="N107" s="226">
        <f>M107*J161</f>
        <v>15.53604</v>
      </c>
      <c r="O107" s="226"/>
      <c r="P107" s="300">
        <v>1.718</v>
      </c>
      <c r="Q107" s="226">
        <f>P107*J161</f>
        <v>89.26728</v>
      </c>
      <c r="R107" s="300">
        <f>G107+J107+M107+P107</f>
        <v>4.949</v>
      </c>
      <c r="S107" s="226">
        <f t="shared" si="16"/>
        <v>251.28603999999999</v>
      </c>
      <c r="U107" s="12"/>
      <c r="V107" s="11"/>
      <c r="W107" s="12"/>
    </row>
    <row r="108" spans="1:23" ht="36.75" customHeight="1">
      <c r="A108" s="15"/>
      <c r="B108" s="523"/>
      <c r="C108" s="524"/>
      <c r="D108" s="525"/>
      <c r="E108" s="87" t="s">
        <v>2</v>
      </c>
      <c r="F108" s="8"/>
      <c r="G108" s="300">
        <v>5.955</v>
      </c>
      <c r="H108" s="226">
        <f>G108*H164</f>
        <v>32047.24935</v>
      </c>
      <c r="I108" s="226"/>
      <c r="J108" s="300">
        <v>2.863</v>
      </c>
      <c r="K108" s="226">
        <f>J108*H164</f>
        <v>15407.43491</v>
      </c>
      <c r="L108" s="226"/>
      <c r="M108" s="300">
        <v>0.481</v>
      </c>
      <c r="N108" s="226">
        <f>M108*J164</f>
        <v>2714.3166699999997</v>
      </c>
      <c r="O108" s="226"/>
      <c r="P108" s="300">
        <v>5.041</v>
      </c>
      <c r="Q108" s="226">
        <f>P108*J164</f>
        <v>28446.71587</v>
      </c>
      <c r="R108" s="300">
        <f>G108+J108+M108+P108</f>
        <v>14.34</v>
      </c>
      <c r="S108" s="226">
        <f t="shared" si="16"/>
        <v>78615.7168</v>
      </c>
      <c r="U108" s="12"/>
      <c r="V108" s="11"/>
      <c r="W108" s="12"/>
    </row>
    <row r="109" spans="1:23" s="97" customFormat="1" ht="45.75" customHeight="1">
      <c r="A109" s="91">
        <v>4</v>
      </c>
      <c r="B109" s="515" t="s">
        <v>43</v>
      </c>
      <c r="C109" s="516"/>
      <c r="D109" s="517"/>
      <c r="E109" s="92" t="s">
        <v>80</v>
      </c>
      <c r="F109" s="98">
        <v>31</v>
      </c>
      <c r="G109" s="93"/>
      <c r="H109" s="93">
        <f>H115+H118</f>
        <v>319204.0743</v>
      </c>
      <c r="I109" s="93"/>
      <c r="J109" s="93"/>
      <c r="K109" s="93">
        <f>K115+K118</f>
        <v>319204.0743</v>
      </c>
      <c r="L109" s="93"/>
      <c r="M109" s="93"/>
      <c r="N109" s="93">
        <f>N115+N118</f>
        <v>334102.9593</v>
      </c>
      <c r="O109" s="93"/>
      <c r="P109" s="93"/>
      <c r="Q109" s="93">
        <f>Q115+Q118</f>
        <v>334102.9593</v>
      </c>
      <c r="R109" s="93"/>
      <c r="S109" s="93">
        <v>1306614.06</v>
      </c>
      <c r="T109" s="94"/>
      <c r="U109" s="95">
        <f>37.94*P109</f>
        <v>0</v>
      </c>
      <c r="V109" s="96">
        <f>H109+K109+N109+Q109</f>
        <v>1306614.0672</v>
      </c>
      <c r="W109" s="95">
        <f>G109+J109+M109+P109</f>
        <v>0</v>
      </c>
    </row>
    <row r="110" spans="1:23" ht="41.25" customHeight="1" hidden="1">
      <c r="A110" s="15"/>
      <c r="B110" s="422" t="s">
        <v>45</v>
      </c>
      <c r="C110" s="423"/>
      <c r="D110" s="424"/>
      <c r="E110" s="332" t="s">
        <v>71</v>
      </c>
      <c r="F110" s="15">
        <v>51</v>
      </c>
      <c r="G110" s="60"/>
      <c r="H110" s="226">
        <f>H111+H112</f>
        <v>0</v>
      </c>
      <c r="I110" s="226"/>
      <c r="J110" s="226"/>
      <c r="K110" s="226">
        <f>K111+K112</f>
        <v>0</v>
      </c>
      <c r="L110" s="226"/>
      <c r="M110" s="226"/>
      <c r="N110" s="226">
        <f>N111+N112</f>
        <v>0</v>
      </c>
      <c r="O110" s="226"/>
      <c r="P110" s="226"/>
      <c r="Q110" s="226">
        <f>Q111+Q112</f>
        <v>0</v>
      </c>
      <c r="R110" s="226"/>
      <c r="S110" s="226">
        <f>S111+S112</f>
        <v>0</v>
      </c>
      <c r="U110" s="12">
        <f>37.94*P110</f>
        <v>0</v>
      </c>
      <c r="V110" s="11">
        <f>H110+K110+N110+Q110</f>
        <v>0</v>
      </c>
      <c r="W110" s="12">
        <f>G110+J110+M110+P110</f>
        <v>0</v>
      </c>
    </row>
    <row r="111" spans="1:23" ht="25.5" customHeight="1" hidden="1">
      <c r="A111" s="15"/>
      <c r="B111" s="523"/>
      <c r="C111" s="524"/>
      <c r="D111" s="525"/>
      <c r="E111" s="332" t="s">
        <v>2</v>
      </c>
      <c r="F111" s="8"/>
      <c r="G111" s="226"/>
      <c r="H111" s="226">
        <f>G111*H161</f>
        <v>0</v>
      </c>
      <c r="I111" s="226"/>
      <c r="J111" s="226"/>
      <c r="K111" s="226">
        <f>J111*H161</f>
        <v>0</v>
      </c>
      <c r="L111" s="226"/>
      <c r="M111" s="226"/>
      <c r="N111" s="226">
        <f>M111*J161</f>
        <v>0</v>
      </c>
      <c r="O111" s="226"/>
      <c r="P111" s="226"/>
      <c r="Q111" s="226">
        <f>P111*J161</f>
        <v>0</v>
      </c>
      <c r="R111" s="226">
        <f>G111+J111+M111+P111</f>
        <v>0</v>
      </c>
      <c r="S111" s="226">
        <f>H111+K111+N111+Q111</f>
        <v>0</v>
      </c>
      <c r="U111" s="12"/>
      <c r="V111" s="11"/>
      <c r="W111" s="12"/>
    </row>
    <row r="112" spans="1:23" ht="25.5" customHeight="1" hidden="1">
      <c r="A112" s="15"/>
      <c r="B112" s="523"/>
      <c r="C112" s="524"/>
      <c r="D112" s="525"/>
      <c r="E112" s="92" t="s">
        <v>80</v>
      </c>
      <c r="F112" s="8"/>
      <c r="G112" s="226"/>
      <c r="H112" s="226">
        <f>G112*H163</f>
        <v>0</v>
      </c>
      <c r="I112" s="226"/>
      <c r="J112" s="226"/>
      <c r="K112" s="226">
        <f>J112*H163</f>
        <v>0</v>
      </c>
      <c r="L112" s="226"/>
      <c r="M112" s="226"/>
      <c r="N112" s="226">
        <f>M112*J163</f>
        <v>0</v>
      </c>
      <c r="O112" s="226"/>
      <c r="P112" s="226"/>
      <c r="Q112" s="226">
        <f>P112*J163</f>
        <v>0</v>
      </c>
      <c r="R112" s="226">
        <f>G112+J112+M112+P112</f>
        <v>0</v>
      </c>
      <c r="S112" s="226">
        <f>H112+K112+N112+Q112</f>
        <v>0</v>
      </c>
      <c r="U112" s="12"/>
      <c r="V112" s="11"/>
      <c r="W112" s="12"/>
    </row>
    <row r="113" spans="1:23" ht="25.5" customHeight="1">
      <c r="A113" s="15"/>
      <c r="B113" s="333"/>
      <c r="C113" s="334"/>
      <c r="D113" s="335"/>
      <c r="E113" s="332" t="s">
        <v>71</v>
      </c>
      <c r="F113" s="8"/>
      <c r="G113" s="60">
        <f>G116+G119</f>
        <v>1218.96</v>
      </c>
      <c r="H113" s="60">
        <f aca="true" t="shared" si="17" ref="H113:Q113">H116+H119</f>
        <v>71059.8816</v>
      </c>
      <c r="I113" s="60">
        <f t="shared" si="17"/>
        <v>0</v>
      </c>
      <c r="J113" s="60">
        <f t="shared" si="17"/>
        <v>1218.96</v>
      </c>
      <c r="K113" s="60">
        <f t="shared" si="17"/>
        <v>71059.8816</v>
      </c>
      <c r="L113" s="60">
        <f t="shared" si="17"/>
        <v>0</v>
      </c>
      <c r="M113" s="60">
        <f t="shared" si="17"/>
        <v>1218.96</v>
      </c>
      <c r="N113" s="60">
        <f t="shared" si="17"/>
        <v>73901.0016</v>
      </c>
      <c r="O113" s="60">
        <f t="shared" si="17"/>
        <v>0</v>
      </c>
      <c r="P113" s="60">
        <f t="shared" si="17"/>
        <v>1218.96</v>
      </c>
      <c r="Q113" s="60">
        <f t="shared" si="17"/>
        <v>73901.0016</v>
      </c>
      <c r="R113" s="60">
        <f>G113+J113+M113+P113</f>
        <v>4875.84</v>
      </c>
      <c r="S113" s="60">
        <v>289921.76</v>
      </c>
      <c r="U113" s="12"/>
      <c r="V113" s="11"/>
      <c r="W113" s="12"/>
    </row>
    <row r="114" spans="1:23" ht="25.5" customHeight="1">
      <c r="A114" s="15"/>
      <c r="B114" s="333"/>
      <c r="C114" s="334"/>
      <c r="D114" s="335"/>
      <c r="E114" s="332" t="s">
        <v>2</v>
      </c>
      <c r="F114" s="8"/>
      <c r="G114" s="60">
        <f>G117+G120</f>
        <v>46.11</v>
      </c>
      <c r="H114" s="60">
        <f aca="true" t="shared" si="18" ref="H114:Q114">H117+H120</f>
        <v>248144.19269999999</v>
      </c>
      <c r="I114" s="60">
        <f t="shared" si="18"/>
        <v>0</v>
      </c>
      <c r="J114" s="60">
        <f t="shared" si="18"/>
        <v>46.11</v>
      </c>
      <c r="K114" s="60">
        <f t="shared" si="18"/>
        <v>248144.19269999999</v>
      </c>
      <c r="L114" s="60">
        <f t="shared" si="18"/>
        <v>0</v>
      </c>
      <c r="M114" s="60">
        <f t="shared" si="18"/>
        <v>46.11</v>
      </c>
      <c r="N114" s="60">
        <f t="shared" si="18"/>
        <v>260201.95769999997</v>
      </c>
      <c r="O114" s="60">
        <f t="shared" si="18"/>
        <v>0</v>
      </c>
      <c r="P114" s="60">
        <f t="shared" si="18"/>
        <v>46.11</v>
      </c>
      <c r="Q114" s="60">
        <f t="shared" si="18"/>
        <v>260201.95769999997</v>
      </c>
      <c r="R114" s="60">
        <f>G114+J114+M114+P114</f>
        <v>184.44</v>
      </c>
      <c r="S114" s="60">
        <f>H114+K114+N114+Q114</f>
        <v>1016692.3007999999</v>
      </c>
      <c r="U114" s="12"/>
      <c r="V114" s="11"/>
      <c r="W114" s="12"/>
    </row>
    <row r="115" spans="1:23" ht="25.5" customHeight="1">
      <c r="A115" s="15"/>
      <c r="B115" s="523" t="s">
        <v>138</v>
      </c>
      <c r="C115" s="555"/>
      <c r="D115" s="556"/>
      <c r="E115" s="335"/>
      <c r="F115" s="8"/>
      <c r="G115" s="226"/>
      <c r="H115" s="226">
        <f>H116+H117</f>
        <v>16583.983799999998</v>
      </c>
      <c r="I115" s="226"/>
      <c r="J115" s="226"/>
      <c r="K115" s="226">
        <f>K116+K117</f>
        <v>16583.983799999998</v>
      </c>
      <c r="L115" s="226"/>
      <c r="M115" s="226"/>
      <c r="N115" s="226">
        <f>N116+N117</f>
        <v>17361.1938</v>
      </c>
      <c r="O115" s="226"/>
      <c r="P115" s="226"/>
      <c r="Q115" s="226">
        <f>Q116+Q117</f>
        <v>17361.1938</v>
      </c>
      <c r="R115" s="226"/>
      <c r="S115" s="226">
        <f>S116+S117</f>
        <v>67890.34</v>
      </c>
      <c r="U115" s="12"/>
      <c r="V115" s="11"/>
      <c r="W115" s="12"/>
    </row>
    <row r="116" spans="1:23" ht="25.5" customHeight="1">
      <c r="A116" s="15"/>
      <c r="B116" s="523"/>
      <c r="C116" s="555"/>
      <c r="D116" s="556"/>
      <c r="E116" s="335" t="s">
        <v>71</v>
      </c>
      <c r="F116" s="8"/>
      <c r="G116" s="226">
        <v>66.96</v>
      </c>
      <c r="H116" s="226">
        <f>G116*H161</f>
        <v>3345.3215999999998</v>
      </c>
      <c r="I116" s="226"/>
      <c r="J116" s="226">
        <v>66.96</v>
      </c>
      <c r="K116" s="226">
        <f>J116*H161</f>
        <v>3345.3215999999998</v>
      </c>
      <c r="L116" s="226"/>
      <c r="M116" s="226">
        <v>66.96</v>
      </c>
      <c r="N116" s="226">
        <f>M116*J161</f>
        <v>3479.2416</v>
      </c>
      <c r="O116" s="226"/>
      <c r="P116" s="226">
        <v>66.96</v>
      </c>
      <c r="Q116" s="226">
        <f>P116*J161</f>
        <v>3479.2416</v>
      </c>
      <c r="R116" s="226">
        <f>G116+J116+M116+P116</f>
        <v>267.84</v>
      </c>
      <c r="S116" s="226">
        <v>13649.12</v>
      </c>
      <c r="U116" s="12"/>
      <c r="V116" s="11"/>
      <c r="W116" s="12"/>
    </row>
    <row r="117" spans="1:23" ht="25.5" customHeight="1">
      <c r="A117" s="15"/>
      <c r="B117" s="523"/>
      <c r="C117" s="555"/>
      <c r="D117" s="556"/>
      <c r="E117" s="335" t="s">
        <v>2</v>
      </c>
      <c r="F117" s="8"/>
      <c r="G117" s="226">
        <v>2.46</v>
      </c>
      <c r="H117" s="226">
        <f>G117*H163</f>
        <v>13238.662199999999</v>
      </c>
      <c r="I117" s="226"/>
      <c r="J117" s="226">
        <v>2.46</v>
      </c>
      <c r="K117" s="226">
        <f>J117*H163</f>
        <v>13238.662199999999</v>
      </c>
      <c r="L117" s="226"/>
      <c r="M117" s="226">
        <v>2.46</v>
      </c>
      <c r="N117" s="226">
        <f>M117*J163</f>
        <v>13881.9522</v>
      </c>
      <c r="O117" s="226"/>
      <c r="P117" s="226">
        <v>2.46</v>
      </c>
      <c r="Q117" s="226">
        <f>P117*J163</f>
        <v>13881.9522</v>
      </c>
      <c r="R117" s="226">
        <f>G117+J117+M117+P117</f>
        <v>9.84</v>
      </c>
      <c r="S117" s="226">
        <v>54241.22</v>
      </c>
      <c r="U117" s="12"/>
      <c r="V117" s="11"/>
      <c r="W117" s="12"/>
    </row>
    <row r="118" spans="1:23" ht="25.5" customHeight="1">
      <c r="A118" s="15"/>
      <c r="B118" s="523" t="s">
        <v>139</v>
      </c>
      <c r="C118" s="555"/>
      <c r="D118" s="556"/>
      <c r="E118" s="335"/>
      <c r="F118" s="8"/>
      <c r="G118" s="226"/>
      <c r="H118" s="226">
        <f>H119+H120</f>
        <v>302620.0905</v>
      </c>
      <c r="I118" s="226"/>
      <c r="J118" s="226"/>
      <c r="K118" s="226">
        <f>K119+K120</f>
        <v>302620.0905</v>
      </c>
      <c r="L118" s="226"/>
      <c r="M118" s="226"/>
      <c r="N118" s="226">
        <f>N119+N120</f>
        <v>316741.7655</v>
      </c>
      <c r="O118" s="226"/>
      <c r="P118" s="226"/>
      <c r="Q118" s="226">
        <f>Q119+Q120</f>
        <v>316741.7655</v>
      </c>
      <c r="R118" s="226"/>
      <c r="S118" s="226">
        <f>S119+S120</f>
        <v>1238723.72</v>
      </c>
      <c r="U118" s="12"/>
      <c r="V118" s="11"/>
      <c r="W118" s="12"/>
    </row>
    <row r="119" spans="1:23" ht="25.5" customHeight="1">
      <c r="A119" s="15"/>
      <c r="B119" s="523"/>
      <c r="C119" s="555"/>
      <c r="D119" s="556"/>
      <c r="E119" s="335" t="s">
        <v>71</v>
      </c>
      <c r="F119" s="8"/>
      <c r="G119" s="226">
        <v>1152</v>
      </c>
      <c r="H119" s="226">
        <f>G119*H162</f>
        <v>67714.56</v>
      </c>
      <c r="I119" s="226"/>
      <c r="J119" s="226">
        <v>1152</v>
      </c>
      <c r="K119" s="226">
        <f>J119*H162</f>
        <v>67714.56</v>
      </c>
      <c r="L119" s="226"/>
      <c r="M119" s="226">
        <v>1152</v>
      </c>
      <c r="N119" s="226">
        <f>M119*J162</f>
        <v>70421.76000000001</v>
      </c>
      <c r="O119" s="226"/>
      <c r="P119" s="226">
        <v>1152</v>
      </c>
      <c r="Q119" s="226">
        <f>P119*J162</f>
        <v>70421.76000000001</v>
      </c>
      <c r="R119" s="226">
        <f>G119+J119+M119+P119</f>
        <v>4608</v>
      </c>
      <c r="S119" s="226">
        <f>H119+K119+N119+Q119</f>
        <v>276272.64</v>
      </c>
      <c r="U119" s="12"/>
      <c r="V119" s="11"/>
      <c r="W119" s="12"/>
    </row>
    <row r="120" spans="1:23" ht="25.5" customHeight="1">
      <c r="A120" s="15"/>
      <c r="B120" s="523"/>
      <c r="C120" s="555"/>
      <c r="D120" s="556"/>
      <c r="E120" s="335" t="s">
        <v>2</v>
      </c>
      <c r="F120" s="8"/>
      <c r="G120" s="226">
        <v>43.65</v>
      </c>
      <c r="H120" s="226">
        <f>G120*H164</f>
        <v>234905.5305</v>
      </c>
      <c r="I120" s="226"/>
      <c r="J120" s="226">
        <v>43.65</v>
      </c>
      <c r="K120" s="226">
        <f>J120*H164</f>
        <v>234905.5305</v>
      </c>
      <c r="L120" s="226"/>
      <c r="M120" s="226">
        <v>43.65</v>
      </c>
      <c r="N120" s="226">
        <f>M120*J164</f>
        <v>246320.00549999997</v>
      </c>
      <c r="O120" s="226"/>
      <c r="P120" s="226">
        <v>43.65</v>
      </c>
      <c r="Q120" s="226">
        <f>P120*J164</f>
        <v>246320.00549999997</v>
      </c>
      <c r="R120" s="226">
        <f>G120+J120+M120+P120</f>
        <v>174.6</v>
      </c>
      <c r="S120" s="226">
        <v>962451.08</v>
      </c>
      <c r="U120" s="12"/>
      <c r="V120" s="11"/>
      <c r="W120" s="12"/>
    </row>
    <row r="121" spans="1:23" s="97" customFormat="1" ht="57.75" customHeight="1">
      <c r="A121" s="91">
        <v>5</v>
      </c>
      <c r="B121" s="515" t="s">
        <v>47</v>
      </c>
      <c r="C121" s="516"/>
      <c r="D121" s="517"/>
      <c r="E121" s="92" t="s">
        <v>80</v>
      </c>
      <c r="F121" s="98"/>
      <c r="G121" s="93"/>
      <c r="H121" s="93">
        <f>H124+H127+H130+H133</f>
        <v>40029.946379999994</v>
      </c>
      <c r="I121" s="93"/>
      <c r="J121" s="93"/>
      <c r="K121" s="93">
        <f>K124+K127+K130+K133</f>
        <v>40458.10236999999</v>
      </c>
      <c r="L121" s="93"/>
      <c r="M121" s="93"/>
      <c r="N121" s="93">
        <v>22406</v>
      </c>
      <c r="O121" s="93"/>
      <c r="P121" s="93"/>
      <c r="Q121" s="93">
        <v>41767.98</v>
      </c>
      <c r="R121" s="93"/>
      <c r="S121" s="93">
        <f>S124+S127+S130+S133</f>
        <v>144662.02937</v>
      </c>
      <c r="T121" s="94"/>
      <c r="U121" s="95"/>
      <c r="V121" s="96"/>
      <c r="W121" s="95"/>
    </row>
    <row r="122" spans="1:23" ht="38.25" customHeight="1">
      <c r="A122" s="15"/>
      <c r="B122" s="518"/>
      <c r="C122" s="519"/>
      <c r="D122" s="520"/>
      <c r="E122" s="166" t="s">
        <v>71</v>
      </c>
      <c r="F122" s="8"/>
      <c r="G122" s="60">
        <f>G125+G128+G131+G134</f>
        <v>76.1</v>
      </c>
      <c r="H122" s="60">
        <f>H125+H128+H131+H134</f>
        <v>3951.8959999999997</v>
      </c>
      <c r="I122" s="60"/>
      <c r="J122" s="60">
        <f>J125+J128+J131+J134</f>
        <v>76.874</v>
      </c>
      <c r="K122" s="60">
        <v>4030.25</v>
      </c>
      <c r="L122" s="60"/>
      <c r="M122" s="60">
        <f>M125+M128+M131+M134</f>
        <v>48.019999999999996</v>
      </c>
      <c r="N122" s="60">
        <f>N125+N128+N131+N134</f>
        <v>2632.6692000000003</v>
      </c>
      <c r="O122" s="60"/>
      <c r="P122" s="60">
        <f>P125+P128+P131+P134</f>
        <v>77.64</v>
      </c>
      <c r="Q122" s="60">
        <v>4235.92</v>
      </c>
      <c r="R122" s="60">
        <f>G122+J122+M122+P122</f>
        <v>278.63399999999996</v>
      </c>
      <c r="S122" s="60">
        <f>S125+S128+S131+S134</f>
        <v>14850.7438</v>
      </c>
      <c r="U122" s="12"/>
      <c r="V122" s="11"/>
      <c r="W122" s="12"/>
    </row>
    <row r="123" spans="1:23" ht="38.25" customHeight="1">
      <c r="A123" s="15"/>
      <c r="B123" s="518"/>
      <c r="C123" s="519"/>
      <c r="D123" s="520"/>
      <c r="E123" s="166" t="s">
        <v>2</v>
      </c>
      <c r="F123" s="8"/>
      <c r="G123" s="60">
        <f>G126+G129+G132+G135</f>
        <v>6.704000000000001</v>
      </c>
      <c r="H123" s="60">
        <f>H126+H129+H132+H135</f>
        <v>36078.04528</v>
      </c>
      <c r="I123" s="60"/>
      <c r="J123" s="60">
        <f>J126+J129+J132+J135</f>
        <v>6.769</v>
      </c>
      <c r="K123" s="60">
        <f>K126+K129+K132+K135</f>
        <v>36427.84733</v>
      </c>
      <c r="L123" s="60"/>
      <c r="M123" s="60">
        <f>M126+M129+M132+M135</f>
        <v>3.504</v>
      </c>
      <c r="N123" s="60">
        <v>19773.33</v>
      </c>
      <c r="O123" s="60"/>
      <c r="P123" s="60">
        <f>P126+P129+P132+P135</f>
        <v>6.651</v>
      </c>
      <c r="Q123" s="60">
        <f>Q126+Q129+Q132+Q135</f>
        <v>37532.058569999994</v>
      </c>
      <c r="R123" s="60">
        <f>G123+J123+M123+P123</f>
        <v>23.628</v>
      </c>
      <c r="S123" s="60">
        <f>S126+S129+S132+S135</f>
        <v>129811.28557000001</v>
      </c>
      <c r="U123" s="12"/>
      <c r="V123" s="11"/>
      <c r="W123" s="12"/>
    </row>
    <row r="124" spans="1:23" ht="35.25" customHeight="1">
      <c r="A124" s="15"/>
      <c r="B124" s="422" t="s">
        <v>48</v>
      </c>
      <c r="C124" s="423"/>
      <c r="D124" s="424"/>
      <c r="E124" s="79"/>
      <c r="F124" s="8"/>
      <c r="G124" s="226"/>
      <c r="H124" s="226">
        <v>1298.5</v>
      </c>
      <c r="I124" s="226"/>
      <c r="J124" s="226"/>
      <c r="K124" s="226">
        <f>K125+K126</f>
        <v>1110.6330699999999</v>
      </c>
      <c r="L124" s="226"/>
      <c r="M124" s="226"/>
      <c r="N124" s="226">
        <f>N125+N126</f>
        <v>1759.5273</v>
      </c>
      <c r="O124" s="226"/>
      <c r="P124" s="226"/>
      <c r="Q124" s="226">
        <f>Q125+Q126</f>
        <v>3703.4150999999993</v>
      </c>
      <c r="R124" s="226"/>
      <c r="S124" s="226">
        <f>S125+S126</f>
        <v>7872.07953</v>
      </c>
      <c r="U124" s="12"/>
      <c r="V124" s="11"/>
      <c r="W124" s="12"/>
    </row>
    <row r="125" spans="1:23" ht="28.5" customHeight="1">
      <c r="A125" s="15"/>
      <c r="B125" s="523"/>
      <c r="C125" s="524"/>
      <c r="D125" s="525"/>
      <c r="E125" s="87" t="s">
        <v>71</v>
      </c>
      <c r="F125" s="8"/>
      <c r="G125" s="226">
        <v>3.37</v>
      </c>
      <c r="H125" s="226">
        <f>G125*H161</f>
        <v>168.36520000000002</v>
      </c>
      <c r="I125" s="226"/>
      <c r="J125" s="299">
        <v>2.949</v>
      </c>
      <c r="K125" s="226">
        <f>J125*H161</f>
        <v>147.33204</v>
      </c>
      <c r="L125" s="226"/>
      <c r="M125" s="226">
        <v>4.54</v>
      </c>
      <c r="N125" s="226">
        <f>M125*J161</f>
        <v>235.8984</v>
      </c>
      <c r="O125" s="226"/>
      <c r="P125" s="226">
        <v>9.37</v>
      </c>
      <c r="Q125" s="226">
        <f>P125*J161</f>
        <v>486.86519999999996</v>
      </c>
      <c r="R125" s="226">
        <f>G125+J125+M125+P125</f>
        <v>20.229</v>
      </c>
      <c r="S125" s="226">
        <v>1038.47</v>
      </c>
      <c r="U125" s="12"/>
      <c r="V125" s="11"/>
      <c r="W125" s="12"/>
    </row>
    <row r="126" spans="1:23" ht="25.5" customHeight="1">
      <c r="A126" s="15"/>
      <c r="B126" s="523"/>
      <c r="C126" s="524"/>
      <c r="D126" s="525"/>
      <c r="E126" s="87" t="s">
        <v>2</v>
      </c>
      <c r="F126" s="8"/>
      <c r="G126" s="226">
        <v>0.21</v>
      </c>
      <c r="H126" s="226">
        <f>G126*H163</f>
        <v>1130.1297</v>
      </c>
      <c r="I126" s="226"/>
      <c r="J126" s="299">
        <v>0.179</v>
      </c>
      <c r="K126" s="226">
        <f>J126*H163</f>
        <v>963.3010299999999</v>
      </c>
      <c r="L126" s="226"/>
      <c r="M126" s="226">
        <v>0.27</v>
      </c>
      <c r="N126" s="226">
        <f>M126*J163</f>
        <v>1523.6289</v>
      </c>
      <c r="O126" s="226"/>
      <c r="P126" s="226">
        <v>0.57</v>
      </c>
      <c r="Q126" s="226">
        <f>P126*J163</f>
        <v>3216.5498999999995</v>
      </c>
      <c r="R126" s="226">
        <f>G126+J126+M126+P126</f>
        <v>1.229</v>
      </c>
      <c r="S126" s="226">
        <f>H126+K126+N126+Q126</f>
        <v>6833.60953</v>
      </c>
      <c r="U126" s="12"/>
      <c r="V126" s="11"/>
      <c r="W126" s="12"/>
    </row>
    <row r="127" spans="1:23" ht="25.5" customHeight="1">
      <c r="A127" s="15"/>
      <c r="B127" s="422" t="s">
        <v>49</v>
      </c>
      <c r="C127" s="423"/>
      <c r="D127" s="424"/>
      <c r="E127" s="79"/>
      <c r="F127" s="8"/>
      <c r="G127" s="226"/>
      <c r="H127" s="226">
        <f>H128+H129</f>
        <v>22717.291599999997</v>
      </c>
      <c r="I127" s="226"/>
      <c r="J127" s="226"/>
      <c r="K127" s="226">
        <f>K128+K129</f>
        <v>24515.353109999996</v>
      </c>
      <c r="L127" s="226"/>
      <c r="M127" s="226"/>
      <c r="N127" s="226">
        <f>N128+N129</f>
        <v>10602.425589999999</v>
      </c>
      <c r="O127" s="226"/>
      <c r="P127" s="226"/>
      <c r="Q127" s="226">
        <f>Q128+Q129</f>
        <v>20893.22994</v>
      </c>
      <c r="R127" s="226"/>
      <c r="S127" s="226">
        <f>S128+S129</f>
        <v>78728.30024</v>
      </c>
      <c r="U127" s="12"/>
      <c r="V127" s="11"/>
      <c r="W127" s="12"/>
    </row>
    <row r="128" spans="1:23" ht="25.5" customHeight="1">
      <c r="A128" s="15"/>
      <c r="B128" s="523"/>
      <c r="C128" s="524"/>
      <c r="D128" s="525"/>
      <c r="E128" s="87" t="s">
        <v>71</v>
      </c>
      <c r="F128" s="8"/>
      <c r="G128" s="226">
        <v>35</v>
      </c>
      <c r="H128" s="226">
        <f>25*H161+10*H162</f>
        <v>1836.8</v>
      </c>
      <c r="I128" s="226"/>
      <c r="J128" s="299">
        <v>50.395</v>
      </c>
      <c r="K128" s="226">
        <f>35.395*H161+15*H162</f>
        <v>2650.0342</v>
      </c>
      <c r="L128" s="226"/>
      <c r="M128" s="226">
        <v>24.5</v>
      </c>
      <c r="N128" s="226">
        <f>14.5*J161+10*J162</f>
        <v>1364.72</v>
      </c>
      <c r="O128" s="226"/>
      <c r="P128" s="226">
        <v>36.5</v>
      </c>
      <c r="Q128" s="226">
        <f>21.5*J161+15*J162</f>
        <v>2034.0900000000001</v>
      </c>
      <c r="R128" s="226">
        <f>G128+J128+M128+P128</f>
        <v>146.395</v>
      </c>
      <c r="S128" s="226">
        <f>H128+K128+N128+Q128</f>
        <v>7885.644200000001</v>
      </c>
      <c r="U128" s="12"/>
      <c r="V128" s="11"/>
      <c r="W128" s="12"/>
    </row>
    <row r="129" spans="1:23" ht="25.5" customHeight="1">
      <c r="A129" s="15"/>
      <c r="B129" s="523"/>
      <c r="C129" s="524"/>
      <c r="D129" s="525"/>
      <c r="E129" s="87" t="s">
        <v>2</v>
      </c>
      <c r="F129" s="8"/>
      <c r="G129" s="226">
        <v>3.88</v>
      </c>
      <c r="H129" s="226">
        <f>G129*H163</f>
        <v>20880.491599999998</v>
      </c>
      <c r="I129" s="226"/>
      <c r="J129" s="226">
        <v>4.063</v>
      </c>
      <c r="K129" s="226">
        <f>J129*H163</f>
        <v>21865.318909999998</v>
      </c>
      <c r="L129" s="226"/>
      <c r="M129" s="226">
        <v>1.637</v>
      </c>
      <c r="N129" s="226">
        <f>M129*J163</f>
        <v>9237.70559</v>
      </c>
      <c r="O129" s="226"/>
      <c r="P129" s="226">
        <v>3.342</v>
      </c>
      <c r="Q129" s="226">
        <f>P129*J163</f>
        <v>18859.13994</v>
      </c>
      <c r="R129" s="226">
        <f>G129+J129+M129+P129</f>
        <v>12.922</v>
      </c>
      <c r="S129" s="226">
        <f>H129+K129+N129+Q129</f>
        <v>70842.65604</v>
      </c>
      <c r="U129" s="12"/>
      <c r="V129" s="11"/>
      <c r="W129" s="12"/>
    </row>
    <row r="130" spans="1:23" ht="25.5" customHeight="1">
      <c r="A130" s="15"/>
      <c r="B130" s="422" t="s">
        <v>50</v>
      </c>
      <c r="C130" s="423"/>
      <c r="D130" s="424"/>
      <c r="E130" s="79"/>
      <c r="F130" s="8"/>
      <c r="G130" s="226"/>
      <c r="H130" s="226">
        <f>H131+H132</f>
        <v>6479.0571</v>
      </c>
      <c r="I130" s="226"/>
      <c r="J130" s="226"/>
      <c r="K130" s="226">
        <f>K131+K132</f>
        <v>5728.9387</v>
      </c>
      <c r="L130" s="226"/>
      <c r="M130" s="226"/>
      <c r="N130" s="226">
        <f>N131+N132</f>
        <v>5205.335300000001</v>
      </c>
      <c r="O130" s="226"/>
      <c r="P130" s="226"/>
      <c r="Q130" s="226">
        <f>Q131+Q132</f>
        <v>6785.8521</v>
      </c>
      <c r="R130" s="226"/>
      <c r="S130" s="226">
        <f>S131+S132</f>
        <v>24199.19</v>
      </c>
      <c r="U130" s="12"/>
      <c r="V130" s="11"/>
      <c r="W130" s="12"/>
    </row>
    <row r="131" spans="1:23" ht="25.5" customHeight="1">
      <c r="A131" s="15"/>
      <c r="B131" s="523"/>
      <c r="C131" s="524"/>
      <c r="D131" s="525"/>
      <c r="E131" s="87" t="s">
        <v>71</v>
      </c>
      <c r="F131" s="8"/>
      <c r="G131" s="226">
        <v>17.5</v>
      </c>
      <c r="H131" s="226">
        <f>10.5*H161+7*H162</f>
        <v>936.0400000000001</v>
      </c>
      <c r="I131" s="226"/>
      <c r="J131" s="226">
        <v>15.5</v>
      </c>
      <c r="K131" s="226">
        <f>9*H161+6.5*H162</f>
        <v>831.71</v>
      </c>
      <c r="L131" s="226"/>
      <c r="M131" s="226">
        <v>13.5</v>
      </c>
      <c r="N131" s="226">
        <f>8.5*J161+5*J162</f>
        <v>747.3100000000001</v>
      </c>
      <c r="O131" s="226"/>
      <c r="P131" s="226">
        <v>17.5</v>
      </c>
      <c r="Q131" s="226">
        <f>10.5*J161+7*J162</f>
        <v>973.49</v>
      </c>
      <c r="R131" s="226">
        <f>G131+J131+M131+P131</f>
        <v>64</v>
      </c>
      <c r="S131" s="226">
        <f>H131+K131+N131+Q131</f>
        <v>3488.55</v>
      </c>
      <c r="U131" s="12"/>
      <c r="V131" s="11"/>
      <c r="W131" s="12"/>
    </row>
    <row r="132" spans="1:23" ht="25.5" customHeight="1">
      <c r="A132" s="15"/>
      <c r="B132" s="523"/>
      <c r="C132" s="524"/>
      <c r="D132" s="525"/>
      <c r="E132" s="87" t="s">
        <v>2</v>
      </c>
      <c r="F132" s="8"/>
      <c r="G132" s="226">
        <v>1.03</v>
      </c>
      <c r="H132" s="226">
        <f>G132*H163</f>
        <v>5543.0171</v>
      </c>
      <c r="I132" s="226"/>
      <c r="J132" s="226">
        <v>0.91</v>
      </c>
      <c r="K132" s="226">
        <f>J132*H163</f>
        <v>4897.2287</v>
      </c>
      <c r="L132" s="226"/>
      <c r="M132" s="226">
        <v>0.79</v>
      </c>
      <c r="N132" s="226">
        <f>M132*J163</f>
        <v>4458.0253</v>
      </c>
      <c r="O132" s="226"/>
      <c r="P132" s="226">
        <v>1.03</v>
      </c>
      <c r="Q132" s="226">
        <f>P132*J163</f>
        <v>5812.3621</v>
      </c>
      <c r="R132" s="226">
        <f>G132+J132+M132+P132</f>
        <v>3.76</v>
      </c>
      <c r="S132" s="226">
        <v>20710.64</v>
      </c>
      <c r="U132" s="12"/>
      <c r="V132" s="11"/>
      <c r="W132" s="12"/>
    </row>
    <row r="133" spans="1:23" ht="54" customHeight="1">
      <c r="A133" s="15"/>
      <c r="B133" s="511" t="s">
        <v>40</v>
      </c>
      <c r="C133" s="511"/>
      <c r="D133" s="511"/>
      <c r="E133" s="84"/>
      <c r="F133" s="8"/>
      <c r="G133" s="226"/>
      <c r="H133" s="226">
        <f>H134+H135</f>
        <v>9535.09768</v>
      </c>
      <c r="I133" s="226"/>
      <c r="J133" s="226"/>
      <c r="K133" s="226">
        <f>K134+K135</f>
        <v>9103.17749</v>
      </c>
      <c r="L133" s="226"/>
      <c r="M133" s="226"/>
      <c r="N133" s="226">
        <f>N134+N135</f>
        <v>4838.69829</v>
      </c>
      <c r="O133" s="226"/>
      <c r="P133" s="226"/>
      <c r="Q133" s="226">
        <f>Q134+Q135</f>
        <v>10385.47583</v>
      </c>
      <c r="R133" s="226"/>
      <c r="S133" s="226">
        <f>S134+S135</f>
        <v>33862.4596</v>
      </c>
      <c r="U133" s="12"/>
      <c r="V133" s="11"/>
      <c r="W133" s="12"/>
    </row>
    <row r="134" spans="1:23" ht="25.5" customHeight="1">
      <c r="A134" s="15"/>
      <c r="B134" s="523"/>
      <c r="C134" s="524"/>
      <c r="D134" s="525"/>
      <c r="E134" s="87" t="s">
        <v>71</v>
      </c>
      <c r="F134" s="8"/>
      <c r="G134" s="226">
        <v>20.23</v>
      </c>
      <c r="H134" s="226">
        <f>G134*H161</f>
        <v>1010.6908000000001</v>
      </c>
      <c r="I134" s="226"/>
      <c r="J134" s="254">
        <v>8.03</v>
      </c>
      <c r="K134" s="226">
        <f>J134*H161</f>
        <v>401.17879999999997</v>
      </c>
      <c r="L134" s="226"/>
      <c r="M134" s="226">
        <v>5.48</v>
      </c>
      <c r="N134" s="226">
        <f>M134*J161</f>
        <v>284.74080000000004</v>
      </c>
      <c r="O134" s="226"/>
      <c r="P134" s="226">
        <v>14.27</v>
      </c>
      <c r="Q134" s="226">
        <f>P134*J161</f>
        <v>741.4692</v>
      </c>
      <c r="R134" s="226">
        <f>G134+J134+M134+P134</f>
        <v>48.00999999999999</v>
      </c>
      <c r="S134" s="226">
        <f>H134+K134+N134+Q134</f>
        <v>2438.0796</v>
      </c>
      <c r="U134" s="12"/>
      <c r="V134" s="11"/>
      <c r="W134" s="12"/>
    </row>
    <row r="135" spans="1:23" ht="25.5" customHeight="1">
      <c r="A135" s="15"/>
      <c r="B135" s="523"/>
      <c r="C135" s="524"/>
      <c r="D135" s="525"/>
      <c r="E135" s="87" t="s">
        <v>2</v>
      </c>
      <c r="F135" s="8"/>
      <c r="G135" s="226">
        <v>1.584</v>
      </c>
      <c r="H135" s="226">
        <f>G135*H163</f>
        <v>8524.40688</v>
      </c>
      <c r="I135" s="226"/>
      <c r="J135" s="226">
        <v>1.617</v>
      </c>
      <c r="K135" s="226">
        <f>J135*H163</f>
        <v>8701.99869</v>
      </c>
      <c r="L135" s="226"/>
      <c r="M135" s="226">
        <v>0.807</v>
      </c>
      <c r="N135" s="226">
        <f>M135*J163</f>
        <v>4553.95749</v>
      </c>
      <c r="O135" s="226"/>
      <c r="P135" s="226">
        <v>1.709</v>
      </c>
      <c r="Q135" s="226">
        <f>P135*J163</f>
        <v>9644.00663</v>
      </c>
      <c r="R135" s="226">
        <f>G135+J135+M135+P135</f>
        <v>5.7170000000000005</v>
      </c>
      <c r="S135" s="226">
        <v>31424.38</v>
      </c>
      <c r="U135" s="12"/>
      <c r="V135" s="11"/>
      <c r="W135" s="12"/>
    </row>
    <row r="136" spans="1:23" s="97" customFormat="1" ht="43.5" customHeight="1">
      <c r="A136" s="91">
        <v>6</v>
      </c>
      <c r="B136" s="515" t="s">
        <v>53</v>
      </c>
      <c r="C136" s="516"/>
      <c r="D136" s="517"/>
      <c r="E136" s="92" t="s">
        <v>80</v>
      </c>
      <c r="F136" s="98"/>
      <c r="G136" s="93"/>
      <c r="H136" s="93">
        <f>H139+H142+H145</f>
        <v>1130378.2277999998</v>
      </c>
      <c r="I136" s="93"/>
      <c r="J136" s="93"/>
      <c r="K136" s="93">
        <f>K139+K142+K145</f>
        <v>1143539.4478</v>
      </c>
      <c r="L136" s="93"/>
      <c r="M136" s="93"/>
      <c r="N136" s="93">
        <f>N139+N142+N145</f>
        <v>1164886.8377999999</v>
      </c>
      <c r="O136" s="93"/>
      <c r="P136" s="93"/>
      <c r="Q136" s="93">
        <f>Q139+Q142+Q145</f>
        <v>1192166.9078</v>
      </c>
      <c r="R136" s="93"/>
      <c r="S136" s="93">
        <f>S139+S142+S145</f>
        <v>4630971.4332</v>
      </c>
      <c r="T136" s="94"/>
      <c r="U136" s="95"/>
      <c r="V136" s="96"/>
      <c r="W136" s="95"/>
    </row>
    <row r="137" spans="1:23" ht="43.5" customHeight="1">
      <c r="A137" s="15"/>
      <c r="B137" s="518"/>
      <c r="C137" s="519"/>
      <c r="D137" s="520"/>
      <c r="E137" s="86" t="s">
        <v>71</v>
      </c>
      <c r="F137" s="8"/>
      <c r="G137" s="60">
        <f>G140+G143+G146</f>
        <v>3225.73</v>
      </c>
      <c r="H137" s="60">
        <f>H140+H143+H146</f>
        <v>161157.4708</v>
      </c>
      <c r="I137" s="60"/>
      <c r="J137" s="60">
        <f>J140+J143+J146</f>
        <v>3273.73</v>
      </c>
      <c r="K137" s="60">
        <f>K140+K143+K146</f>
        <v>163555.55080000003</v>
      </c>
      <c r="L137" s="60"/>
      <c r="M137" s="60">
        <f>M140+M143+M146</f>
        <v>3293.73</v>
      </c>
      <c r="N137" s="60">
        <f>N140+N143+N146</f>
        <v>171142.2108</v>
      </c>
      <c r="O137" s="60"/>
      <c r="P137" s="60">
        <f>P140+P143+P146</f>
        <v>3275.73</v>
      </c>
      <c r="Q137" s="60">
        <f>Q140+Q143+Q146</f>
        <v>170206.9308</v>
      </c>
      <c r="R137" s="60">
        <f>G137+J137+M137+P137</f>
        <v>13068.92</v>
      </c>
      <c r="S137" s="60">
        <f>S140+S143+S146</f>
        <v>666062.1632000001</v>
      </c>
      <c r="U137" s="12"/>
      <c r="V137" s="11"/>
      <c r="W137" s="12"/>
    </row>
    <row r="138" spans="1:23" ht="43.5" customHeight="1">
      <c r="A138" s="15"/>
      <c r="B138" s="518"/>
      <c r="C138" s="519"/>
      <c r="D138" s="520"/>
      <c r="E138" s="86" t="s">
        <v>73</v>
      </c>
      <c r="F138" s="8"/>
      <c r="G138" s="60">
        <f>G141+G144+G147</f>
        <v>180.1</v>
      </c>
      <c r="H138" s="60">
        <f>H141+H144+H147</f>
        <v>969220.7569999999</v>
      </c>
      <c r="I138" s="60"/>
      <c r="J138" s="60">
        <f>J141+J144+J147</f>
        <v>182.1</v>
      </c>
      <c r="K138" s="60">
        <f>K141+K144+K147</f>
        <v>979983.8969999999</v>
      </c>
      <c r="L138" s="60"/>
      <c r="M138" s="60">
        <f>M141+M144+M147</f>
        <v>176.1</v>
      </c>
      <c r="N138" s="60">
        <f>N141+N144+N147</f>
        <v>993744.627</v>
      </c>
      <c r="O138" s="60"/>
      <c r="P138" s="60">
        <f>P141+P144+P147</f>
        <v>181.1</v>
      </c>
      <c r="Q138" s="60">
        <f>Q141+Q144+Q147</f>
        <v>1021959.977</v>
      </c>
      <c r="R138" s="60">
        <f>G138+J138+M138+P138</f>
        <v>719.4</v>
      </c>
      <c r="S138" s="60">
        <f>S141+S144+S147</f>
        <v>3964909.27</v>
      </c>
      <c r="U138" s="12"/>
      <c r="V138" s="11"/>
      <c r="W138" s="12"/>
    </row>
    <row r="139" spans="1:23" ht="31.5" customHeight="1">
      <c r="A139" s="15"/>
      <c r="B139" s="422" t="s">
        <v>140</v>
      </c>
      <c r="C139" s="423"/>
      <c r="D139" s="424"/>
      <c r="E139" s="79"/>
      <c r="F139" s="8"/>
      <c r="G139" s="226"/>
      <c r="H139" s="226">
        <f>H140+H141</f>
        <v>17793.39</v>
      </c>
      <c r="I139" s="226"/>
      <c r="J139" s="226"/>
      <c r="K139" s="226">
        <f>K140+K141</f>
        <v>12311.9</v>
      </c>
      <c r="L139" s="226"/>
      <c r="M139" s="226"/>
      <c r="N139" s="226">
        <f>N140+N141</f>
        <v>7253.83</v>
      </c>
      <c r="O139" s="226"/>
      <c r="P139" s="226"/>
      <c r="Q139" s="226">
        <f>Q140+Q141</f>
        <v>18643.89</v>
      </c>
      <c r="R139" s="226"/>
      <c r="S139" s="226">
        <f>S140+S141</f>
        <v>56003.009999999995</v>
      </c>
      <c r="U139" s="12"/>
      <c r="V139" s="11"/>
      <c r="W139" s="12"/>
    </row>
    <row r="140" spans="1:23" ht="25.5" customHeight="1">
      <c r="A140" s="15"/>
      <c r="B140" s="523"/>
      <c r="C140" s="524"/>
      <c r="D140" s="525"/>
      <c r="E140" s="87" t="s">
        <v>71</v>
      </c>
      <c r="F140" s="8"/>
      <c r="G140" s="226">
        <v>33</v>
      </c>
      <c r="H140" s="226">
        <f>G140*H161</f>
        <v>1648.68</v>
      </c>
      <c r="I140" s="226"/>
      <c r="J140" s="226">
        <v>31</v>
      </c>
      <c r="K140" s="226">
        <f>J140*H161</f>
        <v>1548.76</v>
      </c>
      <c r="L140" s="226"/>
      <c r="M140" s="226">
        <v>31</v>
      </c>
      <c r="N140" s="226">
        <f>M140*J161</f>
        <v>1610.76</v>
      </c>
      <c r="O140" s="226"/>
      <c r="P140" s="226">
        <v>33</v>
      </c>
      <c r="Q140" s="226">
        <f>P140*J161</f>
        <v>1714.68</v>
      </c>
      <c r="R140" s="226">
        <f>G140+J140+M140+P140</f>
        <v>128</v>
      </c>
      <c r="S140" s="226">
        <f>H140+K140+N140+Q140</f>
        <v>6522.88</v>
      </c>
      <c r="U140" s="12"/>
      <c r="V140" s="11"/>
      <c r="W140" s="12"/>
    </row>
    <row r="141" spans="1:23" ht="25.5" customHeight="1">
      <c r="A141" s="15"/>
      <c r="B141" s="523"/>
      <c r="C141" s="524"/>
      <c r="D141" s="525"/>
      <c r="E141" s="87" t="s">
        <v>2</v>
      </c>
      <c r="F141" s="8"/>
      <c r="G141" s="226">
        <v>3</v>
      </c>
      <c r="H141" s="226">
        <f>G141*H163</f>
        <v>16144.71</v>
      </c>
      <c r="I141" s="226"/>
      <c r="J141" s="226">
        <v>2</v>
      </c>
      <c r="K141" s="226">
        <f>J141*H163</f>
        <v>10763.14</v>
      </c>
      <c r="L141" s="226"/>
      <c r="M141" s="226">
        <v>1</v>
      </c>
      <c r="N141" s="226">
        <f>M141*J163</f>
        <v>5643.07</v>
      </c>
      <c r="O141" s="226"/>
      <c r="P141" s="226">
        <v>3</v>
      </c>
      <c r="Q141" s="226">
        <f>P141*J163</f>
        <v>16929.21</v>
      </c>
      <c r="R141" s="226">
        <f>G141+J141+M141+P141</f>
        <v>9</v>
      </c>
      <c r="S141" s="226">
        <f>H141+K141+N141+Q141</f>
        <v>49480.13</v>
      </c>
      <c r="U141" s="12"/>
      <c r="V141" s="11"/>
      <c r="W141" s="12"/>
    </row>
    <row r="142" spans="1:23" ht="33" customHeight="1">
      <c r="A142" s="15"/>
      <c r="B142" s="422" t="s">
        <v>55</v>
      </c>
      <c r="C142" s="423"/>
      <c r="D142" s="424"/>
      <c r="E142" s="79"/>
      <c r="F142" s="8"/>
      <c r="G142" s="226"/>
      <c r="H142" s="226">
        <f>H143+H144</f>
        <v>42666.99</v>
      </c>
      <c r="I142" s="226"/>
      <c r="J142" s="226"/>
      <c r="K142" s="226">
        <f>K143+K144</f>
        <v>61309.7</v>
      </c>
      <c r="L142" s="226"/>
      <c r="M142" s="226"/>
      <c r="N142" s="226">
        <f>N143+N144</f>
        <v>37048.55</v>
      </c>
      <c r="O142" s="226"/>
      <c r="P142" s="226"/>
      <c r="Q142" s="226">
        <f>Q143+Q144</f>
        <v>52938.56</v>
      </c>
      <c r="R142" s="226"/>
      <c r="S142" s="226">
        <f>S143+S144</f>
        <v>193963.80000000002</v>
      </c>
      <c r="U142" s="12"/>
      <c r="V142" s="11"/>
      <c r="W142" s="12"/>
    </row>
    <row r="143" spans="1:23" ht="25.5" customHeight="1">
      <c r="A143" s="15"/>
      <c r="B143" s="523"/>
      <c r="C143" s="524"/>
      <c r="D143" s="525"/>
      <c r="E143" s="87" t="s">
        <v>71</v>
      </c>
      <c r="F143" s="8"/>
      <c r="G143" s="226">
        <v>100</v>
      </c>
      <c r="H143" s="226">
        <f>G143*H161</f>
        <v>4996</v>
      </c>
      <c r="I143" s="226"/>
      <c r="J143" s="226">
        <v>150</v>
      </c>
      <c r="K143" s="226">
        <f>J143*H161</f>
        <v>7494</v>
      </c>
      <c r="L143" s="226"/>
      <c r="M143" s="226">
        <v>170</v>
      </c>
      <c r="N143" s="226">
        <f>M143*J161</f>
        <v>8833.2</v>
      </c>
      <c r="O143" s="226"/>
      <c r="P143" s="226">
        <v>150</v>
      </c>
      <c r="Q143" s="226">
        <f>P143*J161</f>
        <v>7794</v>
      </c>
      <c r="R143" s="226">
        <f>G143+J143+M143+P143</f>
        <v>570</v>
      </c>
      <c r="S143" s="226">
        <f>H143+K143+N143+Q143</f>
        <v>29117.2</v>
      </c>
      <c r="U143" s="12"/>
      <c r="V143" s="11"/>
      <c r="W143" s="12"/>
    </row>
    <row r="144" spans="1:23" ht="25.5" customHeight="1">
      <c r="A144" s="15"/>
      <c r="B144" s="523"/>
      <c r="C144" s="524"/>
      <c r="D144" s="525"/>
      <c r="E144" s="87" t="s">
        <v>2</v>
      </c>
      <c r="F144" s="8"/>
      <c r="G144" s="226">
        <v>7</v>
      </c>
      <c r="H144" s="226">
        <f>G144*H164</f>
        <v>37670.99</v>
      </c>
      <c r="I144" s="226"/>
      <c r="J144" s="226">
        <v>10</v>
      </c>
      <c r="K144" s="226">
        <f>J144*H164</f>
        <v>53815.7</v>
      </c>
      <c r="L144" s="226"/>
      <c r="M144" s="226">
        <v>5</v>
      </c>
      <c r="N144" s="226">
        <f>M144*J164</f>
        <v>28215.35</v>
      </c>
      <c r="O144" s="226"/>
      <c r="P144" s="226">
        <v>8</v>
      </c>
      <c r="Q144" s="226">
        <f>P144*J164</f>
        <v>45144.56</v>
      </c>
      <c r="R144" s="226">
        <f>G144+J144+M144+P144</f>
        <v>30</v>
      </c>
      <c r="S144" s="226">
        <f>H144+K144+N144+Q144</f>
        <v>164846.6</v>
      </c>
      <c r="U144" s="12"/>
      <c r="V144" s="11"/>
      <c r="W144" s="12"/>
    </row>
    <row r="145" spans="1:23" ht="33" customHeight="1">
      <c r="A145" s="15"/>
      <c r="B145" s="393" t="s">
        <v>84</v>
      </c>
      <c r="C145" s="394"/>
      <c r="D145" s="395"/>
      <c r="E145" s="156"/>
      <c r="F145" s="8"/>
      <c r="G145" s="226"/>
      <c r="H145" s="226">
        <f>SUM(H146:H147)</f>
        <v>1069917.8477999999</v>
      </c>
      <c r="I145" s="226"/>
      <c r="J145" s="226"/>
      <c r="K145" s="226">
        <f>SUM(K146:K147)</f>
        <v>1069917.8477999999</v>
      </c>
      <c r="L145" s="226"/>
      <c r="M145" s="226"/>
      <c r="N145" s="226">
        <f>SUM(N146:N147)</f>
        <v>1120584.4578</v>
      </c>
      <c r="O145" s="226"/>
      <c r="P145" s="226"/>
      <c r="Q145" s="226">
        <f>SUM(Q146:Q147)</f>
        <v>1120584.4578</v>
      </c>
      <c r="R145" s="226"/>
      <c r="S145" s="226">
        <f>SUM(S146:S147)</f>
        <v>4381004.6232</v>
      </c>
      <c r="U145" s="12"/>
      <c r="V145" s="11"/>
      <c r="W145" s="12"/>
    </row>
    <row r="146" spans="1:23" ht="25.5" customHeight="1">
      <c r="A146" s="15"/>
      <c r="B146" s="523"/>
      <c r="C146" s="524"/>
      <c r="D146" s="525"/>
      <c r="E146" s="157" t="s">
        <v>71</v>
      </c>
      <c r="F146" s="8"/>
      <c r="G146" s="226">
        <v>3092.73</v>
      </c>
      <c r="H146" s="226">
        <f>SUM(G146)*H161</f>
        <v>154512.79080000002</v>
      </c>
      <c r="I146" s="226"/>
      <c r="J146" s="226">
        <v>3092.73</v>
      </c>
      <c r="K146" s="226">
        <f>SUM(J146)*H161</f>
        <v>154512.79080000002</v>
      </c>
      <c r="L146" s="226"/>
      <c r="M146" s="226">
        <v>3092.73</v>
      </c>
      <c r="N146" s="226">
        <f>SUM(M146)*J161</f>
        <v>160698.2508</v>
      </c>
      <c r="O146" s="226"/>
      <c r="P146" s="226">
        <v>3092.73</v>
      </c>
      <c r="Q146" s="226">
        <f>SUM(P146)*J161</f>
        <v>160698.2508</v>
      </c>
      <c r="R146" s="226">
        <f>SUM(G146)+J146+M146+P146</f>
        <v>12370.92</v>
      </c>
      <c r="S146" s="226">
        <f>SUM(H146)+K146+N146+Q146</f>
        <v>630422.0832000001</v>
      </c>
      <c r="U146" s="12"/>
      <c r="V146" s="11"/>
      <c r="W146" s="12"/>
    </row>
    <row r="147" spans="1:23" ht="25.5" customHeight="1">
      <c r="A147" s="15"/>
      <c r="B147" s="523"/>
      <c r="C147" s="524"/>
      <c r="D147" s="525"/>
      <c r="E147" s="157" t="s">
        <v>2</v>
      </c>
      <c r="F147" s="8"/>
      <c r="G147" s="226">
        <v>170.1</v>
      </c>
      <c r="H147" s="226">
        <f>SUM(G147)*H163</f>
        <v>915405.0569999999</v>
      </c>
      <c r="I147" s="226"/>
      <c r="J147" s="226">
        <v>170.1</v>
      </c>
      <c r="K147" s="226">
        <f>SUM(J147)*H163</f>
        <v>915405.0569999999</v>
      </c>
      <c r="L147" s="226"/>
      <c r="M147" s="226">
        <v>170.1</v>
      </c>
      <c r="N147" s="226">
        <f>SUM(M147)*J163</f>
        <v>959886.2069999999</v>
      </c>
      <c r="O147" s="226"/>
      <c r="P147" s="226">
        <v>170.1</v>
      </c>
      <c r="Q147" s="226">
        <f>SUM(P147)*J163</f>
        <v>959886.2069999999</v>
      </c>
      <c r="R147" s="226">
        <f>SUM(G147)+J147+M147+P147</f>
        <v>680.4</v>
      </c>
      <c r="S147" s="226">
        <v>3750582.54</v>
      </c>
      <c r="U147" s="12"/>
      <c r="V147" s="11"/>
      <c r="W147" s="12"/>
    </row>
    <row r="148" spans="1:23" ht="25.5" customHeight="1">
      <c r="A148" s="99">
        <v>7</v>
      </c>
      <c r="B148" s="410" t="s">
        <v>85</v>
      </c>
      <c r="C148" s="411"/>
      <c r="D148" s="412"/>
      <c r="E148" s="92" t="s">
        <v>80</v>
      </c>
      <c r="F148" s="8"/>
      <c r="G148" s="281"/>
      <c r="H148" s="281">
        <f>H151+H154</f>
        <v>5103.693099999999</v>
      </c>
      <c r="I148" s="281"/>
      <c r="J148" s="281"/>
      <c r="K148" s="281">
        <f>K151+K154</f>
        <v>4539.410399999999</v>
      </c>
      <c r="L148" s="281"/>
      <c r="M148" s="281"/>
      <c r="N148" s="281">
        <f>N151+N154</f>
        <v>5012.1246</v>
      </c>
      <c r="O148" s="281"/>
      <c r="P148" s="281"/>
      <c r="Q148" s="281">
        <f>Q151+Q154</f>
        <v>5402.6687999999995</v>
      </c>
      <c r="R148" s="281"/>
      <c r="S148" s="281">
        <f>S151+S154</f>
        <v>20057.8916</v>
      </c>
      <c r="U148" s="12"/>
      <c r="V148" s="11"/>
      <c r="W148" s="12"/>
    </row>
    <row r="149" spans="1:23" ht="25.5" customHeight="1">
      <c r="A149" s="99"/>
      <c r="B149" s="213"/>
      <c r="C149" s="214"/>
      <c r="D149" s="215"/>
      <c r="E149" s="219" t="s">
        <v>71</v>
      </c>
      <c r="F149" s="8"/>
      <c r="G149" s="60">
        <f>G152+G155</f>
        <v>12.75</v>
      </c>
      <c r="H149" s="60">
        <f aca="true" t="shared" si="19" ref="H149:Q150">H152+H155</f>
        <v>636.99</v>
      </c>
      <c r="I149" s="60">
        <f t="shared" si="19"/>
        <v>0</v>
      </c>
      <c r="J149" s="60">
        <f t="shared" si="19"/>
        <v>11.15</v>
      </c>
      <c r="K149" s="60">
        <f t="shared" si="19"/>
        <v>557.0540000000001</v>
      </c>
      <c r="L149" s="60">
        <f t="shared" si="19"/>
        <v>0</v>
      </c>
      <c r="M149" s="60">
        <f t="shared" si="19"/>
        <v>11.75</v>
      </c>
      <c r="N149" s="60">
        <f t="shared" si="19"/>
        <v>610.5300000000001</v>
      </c>
      <c r="O149" s="60">
        <f t="shared" si="19"/>
        <v>0</v>
      </c>
      <c r="P149" s="60">
        <f t="shared" si="19"/>
        <v>12.75</v>
      </c>
      <c r="Q149" s="60">
        <f t="shared" si="19"/>
        <v>662.49</v>
      </c>
      <c r="R149" s="60">
        <f>SUM(G149)+J149+M149+P149</f>
        <v>48.4</v>
      </c>
      <c r="S149" s="60">
        <f>S152+S155</f>
        <v>2467.0640000000003</v>
      </c>
      <c r="U149" s="12"/>
      <c r="V149" s="11"/>
      <c r="W149" s="12"/>
    </row>
    <row r="150" spans="1:23" ht="25.5" customHeight="1">
      <c r="A150" s="99"/>
      <c r="B150" s="213"/>
      <c r="C150" s="214"/>
      <c r="D150" s="215"/>
      <c r="E150" s="219" t="s">
        <v>73</v>
      </c>
      <c r="F150" s="8"/>
      <c r="G150" s="60">
        <f>G153+G156</f>
        <v>0.83</v>
      </c>
      <c r="H150" s="60">
        <f t="shared" si="19"/>
        <v>4466.7031</v>
      </c>
      <c r="I150" s="60">
        <f aca="true" t="shared" si="20" ref="I150:Q150">I153+I156</f>
        <v>0</v>
      </c>
      <c r="J150" s="60">
        <f t="shared" si="19"/>
        <v>0.74</v>
      </c>
      <c r="K150" s="60">
        <f t="shared" si="19"/>
        <v>3982.3617999999997</v>
      </c>
      <c r="L150" s="60">
        <f t="shared" si="20"/>
        <v>0</v>
      </c>
      <c r="M150" s="60">
        <f t="shared" si="19"/>
        <v>0.78</v>
      </c>
      <c r="N150" s="60">
        <f t="shared" si="20"/>
        <v>4401.594599999999</v>
      </c>
      <c r="O150" s="60">
        <f t="shared" si="20"/>
        <v>0</v>
      </c>
      <c r="P150" s="60">
        <f t="shared" si="19"/>
        <v>0.84</v>
      </c>
      <c r="Q150" s="60">
        <f t="shared" si="20"/>
        <v>4740.1788</v>
      </c>
      <c r="R150" s="60">
        <f>SUM(G150)+J150+M150+P150</f>
        <v>3.1899999999999995</v>
      </c>
      <c r="S150" s="60">
        <f>S153+S156</f>
        <v>17590.831599999998</v>
      </c>
      <c r="U150" s="12"/>
      <c r="V150" s="11"/>
      <c r="W150" s="12"/>
    </row>
    <row r="151" spans="1:23" ht="25.5" customHeight="1">
      <c r="A151" s="99"/>
      <c r="B151" s="399" t="s">
        <v>86</v>
      </c>
      <c r="C151" s="474"/>
      <c r="D151" s="475"/>
      <c r="E151" s="220"/>
      <c r="F151" s="8"/>
      <c r="G151" s="226"/>
      <c r="H151" s="226">
        <f>SUM(H152:H153)</f>
        <v>691.8926999999999</v>
      </c>
      <c r="I151" s="226"/>
      <c r="J151" s="226"/>
      <c r="K151" s="226">
        <v>127.61</v>
      </c>
      <c r="L151" s="226"/>
      <c r="M151" s="226"/>
      <c r="N151" s="226">
        <f>SUM(N152:N153)</f>
        <v>390.54419999999993</v>
      </c>
      <c r="O151" s="226"/>
      <c r="P151" s="226"/>
      <c r="Q151" s="226">
        <f>SUM(Q152:Q153)</f>
        <v>781.0883999999999</v>
      </c>
      <c r="R151" s="226"/>
      <c r="S151" s="226">
        <v>1991.13</v>
      </c>
      <c r="U151" s="12"/>
      <c r="V151" s="11"/>
      <c r="W151" s="12"/>
    </row>
    <row r="152" spans="1:23" ht="25.5" customHeight="1">
      <c r="A152" s="99"/>
      <c r="B152" s="216"/>
      <c r="C152" s="217"/>
      <c r="D152" s="218"/>
      <c r="E152" s="220" t="s">
        <v>71</v>
      </c>
      <c r="F152" s="8"/>
      <c r="G152" s="226">
        <v>2</v>
      </c>
      <c r="H152" s="226">
        <f>SUM(G152)*H161</f>
        <v>99.92</v>
      </c>
      <c r="I152" s="226"/>
      <c r="J152" s="226">
        <v>0.4</v>
      </c>
      <c r="K152" s="226">
        <f>SUM(J152)*H161</f>
        <v>19.984</v>
      </c>
      <c r="L152" s="226"/>
      <c r="M152" s="226">
        <v>1</v>
      </c>
      <c r="N152" s="226">
        <f>SUM(M152)*J161</f>
        <v>51.96</v>
      </c>
      <c r="O152" s="226"/>
      <c r="P152" s="226">
        <v>2</v>
      </c>
      <c r="Q152" s="226">
        <f>SUM(P152)*J161</f>
        <v>103.92</v>
      </c>
      <c r="R152" s="226">
        <f>SUM(G152)+J152+M152+P152</f>
        <v>5.4</v>
      </c>
      <c r="S152" s="226">
        <f>SUM(H152)+K152+N152+Q152</f>
        <v>275.784</v>
      </c>
      <c r="U152" s="12"/>
      <c r="V152" s="11"/>
      <c r="W152" s="12"/>
    </row>
    <row r="153" spans="1:23" ht="25.5" customHeight="1">
      <c r="A153" s="99"/>
      <c r="B153" s="216"/>
      <c r="C153" s="217"/>
      <c r="D153" s="218"/>
      <c r="E153" s="220" t="s">
        <v>2</v>
      </c>
      <c r="F153" s="8"/>
      <c r="G153" s="226">
        <v>0.11</v>
      </c>
      <c r="H153" s="226">
        <f>SUM(G153)*H163</f>
        <v>591.9726999999999</v>
      </c>
      <c r="I153" s="226"/>
      <c r="J153" s="226">
        <v>0.02</v>
      </c>
      <c r="K153" s="226">
        <f>SUM(J153)*H163</f>
        <v>107.6314</v>
      </c>
      <c r="L153" s="226"/>
      <c r="M153" s="226">
        <v>0.06</v>
      </c>
      <c r="N153" s="226">
        <f>SUM(M153)*J163</f>
        <v>338.58419999999995</v>
      </c>
      <c r="O153" s="226"/>
      <c r="P153" s="226">
        <v>0.12</v>
      </c>
      <c r="Q153" s="226">
        <f>SUM(P153)*J163</f>
        <v>677.1683999999999</v>
      </c>
      <c r="R153" s="226">
        <f>SUM(G153)+J153+M153+P153</f>
        <v>0.31</v>
      </c>
      <c r="S153" s="226">
        <v>1715.35</v>
      </c>
      <c r="U153" s="12"/>
      <c r="V153" s="11"/>
      <c r="W153" s="12"/>
    </row>
    <row r="154" spans="1:23" ht="25.5" customHeight="1">
      <c r="A154" s="99"/>
      <c r="B154" s="399" t="s">
        <v>87</v>
      </c>
      <c r="C154" s="474"/>
      <c r="D154" s="475"/>
      <c r="E154" s="220"/>
      <c r="F154" s="8"/>
      <c r="G154" s="226"/>
      <c r="H154" s="226">
        <f>SUM(H155:H156)</f>
        <v>4411.800399999999</v>
      </c>
      <c r="I154" s="226"/>
      <c r="J154" s="226"/>
      <c r="K154" s="226">
        <f>SUM(K155:K156)</f>
        <v>4411.800399999999</v>
      </c>
      <c r="L154" s="226"/>
      <c r="M154" s="226"/>
      <c r="N154" s="226">
        <f>SUM(N155:N156)</f>
        <v>4621.5804</v>
      </c>
      <c r="O154" s="226"/>
      <c r="P154" s="226"/>
      <c r="Q154" s="226">
        <f>SUM(Q155:Q156)</f>
        <v>4621.5804</v>
      </c>
      <c r="R154" s="226"/>
      <c r="S154" s="226">
        <f>SUM(H154)+K154+N154+Q154</f>
        <v>18066.761599999998</v>
      </c>
      <c r="U154" s="12"/>
      <c r="V154" s="11"/>
      <c r="W154" s="12"/>
    </row>
    <row r="155" spans="1:23" ht="25.5" customHeight="1">
      <c r="A155" s="99"/>
      <c r="B155" s="216"/>
      <c r="C155" s="217"/>
      <c r="D155" s="218"/>
      <c r="E155" s="220" t="s">
        <v>71</v>
      </c>
      <c r="F155" s="8"/>
      <c r="G155" s="226">
        <v>10.75</v>
      </c>
      <c r="H155" s="226">
        <f>SUM(G155)*H161</f>
        <v>537.07</v>
      </c>
      <c r="I155" s="226"/>
      <c r="J155" s="226">
        <v>10.75</v>
      </c>
      <c r="K155" s="226">
        <f>SUM(J155)*H161</f>
        <v>537.07</v>
      </c>
      <c r="L155" s="226"/>
      <c r="M155" s="226">
        <v>10.75</v>
      </c>
      <c r="N155" s="226">
        <f>SUM(M155)*J161</f>
        <v>558.57</v>
      </c>
      <c r="O155" s="226"/>
      <c r="P155" s="226">
        <v>10.75</v>
      </c>
      <c r="Q155" s="226">
        <f>SUM(P155)*J161</f>
        <v>558.57</v>
      </c>
      <c r="R155" s="226">
        <f>SUM(G155)+J155+M155+P155</f>
        <v>43</v>
      </c>
      <c r="S155" s="226">
        <f>SUM(H155)+K155+N155+Q155</f>
        <v>2191.28</v>
      </c>
      <c r="U155" s="12"/>
      <c r="V155" s="11"/>
      <c r="W155" s="12"/>
    </row>
    <row r="156" spans="1:23" ht="25.5" customHeight="1">
      <c r="A156" s="99"/>
      <c r="B156" s="216"/>
      <c r="C156" s="217"/>
      <c r="D156" s="218"/>
      <c r="E156" s="220" t="s">
        <v>2</v>
      </c>
      <c r="F156" s="8"/>
      <c r="G156" s="226">
        <v>0.72</v>
      </c>
      <c r="H156" s="226">
        <f>SUM(G156)*H163</f>
        <v>3874.7303999999995</v>
      </c>
      <c r="I156" s="226"/>
      <c r="J156" s="226">
        <v>0.72</v>
      </c>
      <c r="K156" s="226">
        <f>SUM(J156)*H163</f>
        <v>3874.7303999999995</v>
      </c>
      <c r="L156" s="226"/>
      <c r="M156" s="226">
        <v>0.72</v>
      </c>
      <c r="N156" s="226">
        <f>SUM(M156)*J163</f>
        <v>4063.0103999999997</v>
      </c>
      <c r="O156" s="226"/>
      <c r="P156" s="226">
        <v>0.72</v>
      </c>
      <c r="Q156" s="226">
        <f>SUM(P156)*J163</f>
        <v>4063.0103999999997</v>
      </c>
      <c r="R156" s="226">
        <f>SUM(G156)+J156+M156+P156</f>
        <v>2.88</v>
      </c>
      <c r="S156" s="226">
        <f>SUM(H156)+K156+N156+Q156</f>
        <v>15875.481599999997</v>
      </c>
      <c r="U156" s="12"/>
      <c r="V156" s="11"/>
      <c r="W156" s="12"/>
    </row>
    <row r="157" spans="1:23" ht="38.25" customHeight="1">
      <c r="A157" s="61"/>
      <c r="B157" s="512" t="s">
        <v>19</v>
      </c>
      <c r="C157" s="512"/>
      <c r="D157" s="512"/>
      <c r="E157" s="85"/>
      <c r="F157" s="15">
        <f>SUM(F70:F110)</f>
        <v>1552.1</v>
      </c>
      <c r="G157" s="60"/>
      <c r="H157" s="62">
        <f>H70+H73+H94+H109+H121+H136+H148</f>
        <v>1953038.31038</v>
      </c>
      <c r="I157" s="60">
        <f>SUM(I70:I110)</f>
        <v>0</v>
      </c>
      <c r="J157" s="60">
        <f>J70+J73+J94+J109+J121+J136</f>
        <v>0</v>
      </c>
      <c r="K157" s="60">
        <f>K70+K73+K94+K109+K121+K136+K148</f>
        <v>1972556.0429699998</v>
      </c>
      <c r="L157" s="60">
        <f>SUM(L70:L110)</f>
        <v>0</v>
      </c>
      <c r="M157" s="60">
        <f>M70+M73+M94+M109+M121+M136</f>
        <v>0</v>
      </c>
      <c r="N157" s="60">
        <f>N70+N73+N94+N109+N121+N136+N148</f>
        <v>1864146.4955099998</v>
      </c>
      <c r="O157" s="60">
        <f>SUM(O70:O110)</f>
        <v>0</v>
      </c>
      <c r="P157" s="60">
        <f>P70+P73+P94+P109+P121+P136</f>
        <v>0</v>
      </c>
      <c r="Q157" s="60">
        <v>2133371.77</v>
      </c>
      <c r="R157" s="60">
        <f>R70+R73+R94+R109+R121+R136</f>
        <v>0</v>
      </c>
      <c r="S157" s="60">
        <f>S70+S73+S94+S109+S121+S136+S148</f>
        <v>7923112.622649999</v>
      </c>
      <c r="U157" s="12"/>
      <c r="V157" s="12"/>
      <c r="W157" s="12"/>
    </row>
    <row r="158" spans="1:23" ht="38.25" customHeight="1">
      <c r="A158" s="61"/>
      <c r="B158" s="307"/>
      <c r="C158" s="308"/>
      <c r="D158" s="309"/>
      <c r="E158" s="309"/>
      <c r="F158" s="15"/>
      <c r="G158" s="60">
        <f aca="true" t="shared" si="21" ref="G158:P158">G71+G74+G95+G113+G122+G137+G149</f>
        <v>5680.889</v>
      </c>
      <c r="H158" s="62">
        <f t="shared" si="21"/>
        <v>297328.3284</v>
      </c>
      <c r="I158" s="60">
        <f t="shared" si="21"/>
        <v>0</v>
      </c>
      <c r="J158" s="60">
        <v>5822.46</v>
      </c>
      <c r="K158" s="60">
        <v>305324.14</v>
      </c>
      <c r="L158" s="60">
        <f t="shared" si="21"/>
        <v>0</v>
      </c>
      <c r="M158" s="60">
        <f t="shared" si="21"/>
        <v>5381.492</v>
      </c>
      <c r="N158" s="60">
        <f t="shared" si="21"/>
        <v>292765.9316</v>
      </c>
      <c r="O158" s="60">
        <f t="shared" si="21"/>
        <v>0</v>
      </c>
      <c r="P158" s="60">
        <f t="shared" si="21"/>
        <v>5907.485</v>
      </c>
      <c r="Q158" s="60">
        <v>322030.93</v>
      </c>
      <c r="R158" s="60">
        <f>R71+R74+R95+R113+R122+R137+R149</f>
        <v>22792.333000000002</v>
      </c>
      <c r="S158" s="60">
        <v>1217449.33</v>
      </c>
      <c r="U158" s="12"/>
      <c r="V158" s="12"/>
      <c r="W158" s="12"/>
    </row>
    <row r="159" spans="1:23" ht="38.25" customHeight="1">
      <c r="A159" s="61"/>
      <c r="B159" s="307"/>
      <c r="C159" s="308"/>
      <c r="D159" s="309"/>
      <c r="E159" s="309"/>
      <c r="F159" s="15"/>
      <c r="G159" s="60">
        <f aca="true" t="shared" si="22" ref="G159:M159">G72+G75+G96+G114+G123+G138+G150</f>
        <v>307.66299999999995</v>
      </c>
      <c r="H159" s="62">
        <f t="shared" si="22"/>
        <v>1655709.97688</v>
      </c>
      <c r="I159" s="60">
        <f t="shared" si="22"/>
        <v>0</v>
      </c>
      <c r="J159" s="60">
        <f t="shared" si="22"/>
        <v>309.80400000000003</v>
      </c>
      <c r="K159" s="60">
        <f t="shared" si="22"/>
        <v>1667231.8969299998</v>
      </c>
      <c r="L159" s="60">
        <f t="shared" si="22"/>
        <v>0</v>
      </c>
      <c r="M159" s="60">
        <f t="shared" si="22"/>
        <v>278.462</v>
      </c>
      <c r="N159" s="60">
        <v>1571380.57</v>
      </c>
      <c r="O159" s="60">
        <f>O72+O75+O96+O114+O123+O138+O150</f>
        <v>0</v>
      </c>
      <c r="P159" s="60">
        <f>P72+P75+P96+P114+P123+P138+P150</f>
        <v>320.98499999999996</v>
      </c>
      <c r="Q159" s="60">
        <v>1811340.84</v>
      </c>
      <c r="R159" s="60">
        <f>R72+R75+R96+R114+R123+R138+R150</f>
        <v>1216.914</v>
      </c>
      <c r="S159" s="60">
        <f>S72+S75+S96+S114+S123+S138+S150</f>
        <v>6705663.28673</v>
      </c>
      <c r="U159" s="12"/>
      <c r="V159" s="12"/>
      <c r="W159" s="12"/>
    </row>
    <row r="160" spans="1:23" ht="49.5" customHeight="1">
      <c r="A160" s="54"/>
      <c r="B160" s="526" t="s">
        <v>8</v>
      </c>
      <c r="C160" s="527"/>
      <c r="D160" s="528"/>
      <c r="E160" s="89"/>
      <c r="F160" s="484" t="s">
        <v>119</v>
      </c>
      <c r="G160" s="484"/>
      <c r="H160" s="484"/>
      <c r="I160" s="484"/>
      <c r="J160" s="484"/>
      <c r="K160" s="484"/>
      <c r="L160" s="484"/>
      <c r="M160" s="484"/>
      <c r="N160" s="484"/>
      <c r="O160" s="484"/>
      <c r="P160" s="484"/>
      <c r="Q160" s="484"/>
      <c r="R160" s="484"/>
      <c r="S160" s="484"/>
      <c r="U160" s="12"/>
      <c r="V160" s="12"/>
      <c r="W160" s="12"/>
    </row>
    <row r="161" spans="1:20" s="12" customFormat="1" ht="24.75" customHeight="1">
      <c r="A161" s="185"/>
      <c r="B161" s="186"/>
      <c r="C161" s="186"/>
      <c r="D161" s="186"/>
      <c r="E161" s="186"/>
      <c r="F161" s="176" t="s">
        <v>18</v>
      </c>
      <c r="G161" s="176" t="s">
        <v>18</v>
      </c>
      <c r="H161" s="187">
        <v>49.96</v>
      </c>
      <c r="I161" s="187" t="s">
        <v>16</v>
      </c>
      <c r="J161" s="187">
        <v>51.96</v>
      </c>
      <c r="K161" s="188"/>
      <c r="L161" s="188"/>
      <c r="M161" s="188"/>
      <c r="N161" s="188"/>
      <c r="O161" s="188"/>
      <c r="P161" s="188"/>
      <c r="Q161" s="188"/>
      <c r="R161" s="188"/>
      <c r="S161" s="188"/>
      <c r="T161" s="165"/>
    </row>
    <row r="162" spans="1:20" s="12" customFormat="1" ht="55.5" customHeight="1">
      <c r="A162" s="185"/>
      <c r="B162" s="186"/>
      <c r="C162" s="186"/>
      <c r="D162" s="186"/>
      <c r="E162" s="186"/>
      <c r="F162" s="176" t="s">
        <v>13</v>
      </c>
      <c r="G162" s="176" t="s">
        <v>32</v>
      </c>
      <c r="H162" s="187">
        <v>58.78</v>
      </c>
      <c r="I162" s="187"/>
      <c r="J162" s="187">
        <v>61.13</v>
      </c>
      <c r="K162" s="188"/>
      <c r="L162" s="188"/>
      <c r="M162" s="189" t="s">
        <v>74</v>
      </c>
      <c r="N162" s="188" t="s">
        <v>75</v>
      </c>
      <c r="O162" s="188"/>
      <c r="P162" s="188" t="s">
        <v>13</v>
      </c>
      <c r="Q162" s="188"/>
      <c r="R162" s="188"/>
      <c r="S162" s="188"/>
      <c r="T162" s="165"/>
    </row>
    <row r="163" spans="1:20" s="12" customFormat="1" ht="24" customHeight="1">
      <c r="A163" s="185"/>
      <c r="B163" s="186"/>
      <c r="C163" s="186"/>
      <c r="D163" s="186"/>
      <c r="E163" s="186"/>
      <c r="F163" s="176"/>
      <c r="G163" s="176"/>
      <c r="H163" s="190">
        <v>5381.57</v>
      </c>
      <c r="I163" s="190"/>
      <c r="J163" s="190">
        <v>5643.07</v>
      </c>
      <c r="K163" s="188"/>
      <c r="L163" s="188"/>
      <c r="M163" s="188" t="s">
        <v>76</v>
      </c>
      <c r="N163" s="188">
        <v>0.06054</v>
      </c>
      <c r="O163" s="188"/>
      <c r="P163" s="188">
        <v>0.05688</v>
      </c>
      <c r="Q163" s="191"/>
      <c r="R163" s="191"/>
      <c r="S163" s="192"/>
      <c r="T163" s="165"/>
    </row>
    <row r="164" spans="1:20" s="12" customFormat="1" ht="21" customHeight="1">
      <c r="A164" s="185"/>
      <c r="B164" s="186"/>
      <c r="C164" s="186"/>
      <c r="D164" s="186"/>
      <c r="E164" s="186"/>
      <c r="F164" s="176"/>
      <c r="G164" s="176"/>
      <c r="H164" s="190">
        <v>5381.57</v>
      </c>
      <c r="I164" s="190"/>
      <c r="J164" s="190">
        <v>5643.07</v>
      </c>
      <c r="K164" s="188"/>
      <c r="L164" s="188"/>
      <c r="M164" s="188" t="s">
        <v>77</v>
      </c>
      <c r="N164" s="188">
        <v>0.06054</v>
      </c>
      <c r="O164" s="188"/>
      <c r="P164" s="188">
        <v>0.05688</v>
      </c>
      <c r="Q164" s="529"/>
      <c r="R164" s="529"/>
      <c r="S164" s="529"/>
      <c r="T164" s="165"/>
    </row>
    <row r="165" spans="1:20" s="12" customFormat="1" ht="15" customHeight="1">
      <c r="A165" s="185"/>
      <c r="B165" s="186"/>
      <c r="C165" s="186"/>
      <c r="D165" s="186"/>
      <c r="E165" s="186"/>
      <c r="F165" s="176"/>
      <c r="G165" s="176"/>
      <c r="H165" s="190"/>
      <c r="I165" s="190"/>
      <c r="J165" s="190"/>
      <c r="K165" s="188"/>
      <c r="L165" s="188"/>
      <c r="M165" s="188"/>
      <c r="N165" s="188"/>
      <c r="O165" s="188"/>
      <c r="P165" s="188"/>
      <c r="Q165" s="529"/>
      <c r="R165" s="529"/>
      <c r="S165" s="529"/>
      <c r="T165" s="165"/>
    </row>
    <row r="166" spans="1:20" s="12" customFormat="1" ht="13.5" customHeight="1">
      <c r="A166" s="185"/>
      <c r="B166" s="186"/>
      <c r="C166" s="186"/>
      <c r="D166" s="186"/>
      <c r="E166" s="186"/>
      <c r="F166" s="176"/>
      <c r="G166" s="176"/>
      <c r="H166" s="176"/>
      <c r="I166" s="176"/>
      <c r="J166" s="176"/>
      <c r="K166" s="188"/>
      <c r="L166" s="188"/>
      <c r="M166" s="188"/>
      <c r="N166" s="188"/>
      <c r="O166" s="188"/>
      <c r="P166" s="188"/>
      <c r="Q166" s="529"/>
      <c r="R166" s="529"/>
      <c r="S166" s="529"/>
      <c r="T166" s="165"/>
    </row>
    <row r="167" spans="1:20" s="12" customFormat="1" ht="15.75" customHeight="1">
      <c r="A167" s="185"/>
      <c r="B167" s="186"/>
      <c r="C167" s="186"/>
      <c r="D167" s="186"/>
      <c r="E167" s="186"/>
      <c r="F167" s="176"/>
      <c r="G167" s="176"/>
      <c r="H167" s="176"/>
      <c r="I167" s="176"/>
      <c r="J167" s="176"/>
      <c r="K167" s="188"/>
      <c r="L167" s="188"/>
      <c r="M167" s="188"/>
      <c r="N167" s="188"/>
      <c r="O167" s="188"/>
      <c r="P167" s="188"/>
      <c r="Q167" s="188"/>
      <c r="R167" s="188"/>
      <c r="S167" s="188"/>
      <c r="T167" s="165"/>
    </row>
    <row r="168" spans="1:20" s="12" customFormat="1" ht="26.25" customHeight="1" hidden="1">
      <c r="A168" s="530" t="s">
        <v>63</v>
      </c>
      <c r="B168" s="530"/>
      <c r="C168" s="530"/>
      <c r="D168" s="530"/>
      <c r="E168" s="530"/>
      <c r="F168" s="530"/>
      <c r="G168" s="530"/>
      <c r="H168" s="530"/>
      <c r="I168" s="530"/>
      <c r="J168" s="530"/>
      <c r="K168" s="530"/>
      <c r="L168" s="530"/>
      <c r="M168" s="530"/>
      <c r="N168" s="530"/>
      <c r="O168" s="530"/>
      <c r="P168" s="530"/>
      <c r="Q168" s="530"/>
      <c r="R168" s="530"/>
      <c r="S168" s="530"/>
      <c r="T168" s="165"/>
    </row>
    <row r="169" spans="1:20" s="12" customFormat="1" ht="35.25" hidden="1">
      <c r="A169" s="531" t="s">
        <v>15</v>
      </c>
      <c r="B169" s="532" t="s">
        <v>0</v>
      </c>
      <c r="C169" s="533"/>
      <c r="D169" s="534"/>
      <c r="E169" s="193"/>
      <c r="F169" s="538" t="s">
        <v>1</v>
      </c>
      <c r="G169" s="538"/>
      <c r="H169" s="538"/>
      <c r="I169" s="538" t="s">
        <v>3</v>
      </c>
      <c r="J169" s="538"/>
      <c r="K169" s="538"/>
      <c r="L169" s="538" t="s">
        <v>4</v>
      </c>
      <c r="M169" s="538"/>
      <c r="N169" s="538"/>
      <c r="O169" s="538" t="s">
        <v>6</v>
      </c>
      <c r="P169" s="538"/>
      <c r="Q169" s="538"/>
      <c r="R169" s="538" t="s">
        <v>7</v>
      </c>
      <c r="S169" s="538"/>
      <c r="T169" s="165"/>
    </row>
    <row r="170" spans="1:20" s="12" customFormat="1" ht="35.25" hidden="1">
      <c r="A170" s="531"/>
      <c r="B170" s="535"/>
      <c r="C170" s="536"/>
      <c r="D170" s="537"/>
      <c r="E170" s="194"/>
      <c r="F170" s="118"/>
      <c r="G170" s="195" t="s">
        <v>10</v>
      </c>
      <c r="H170" s="195" t="s">
        <v>5</v>
      </c>
      <c r="I170" s="195" t="s">
        <v>10</v>
      </c>
      <c r="J170" s="195" t="s">
        <v>10</v>
      </c>
      <c r="K170" s="195" t="s">
        <v>5</v>
      </c>
      <c r="L170" s="195" t="s">
        <v>10</v>
      </c>
      <c r="M170" s="195" t="s">
        <v>10</v>
      </c>
      <c r="N170" s="195" t="s">
        <v>5</v>
      </c>
      <c r="O170" s="195" t="s">
        <v>10</v>
      </c>
      <c r="P170" s="195" t="s">
        <v>10</v>
      </c>
      <c r="Q170" s="195" t="s">
        <v>5</v>
      </c>
      <c r="R170" s="195" t="s">
        <v>10</v>
      </c>
      <c r="S170" s="195" t="s">
        <v>5</v>
      </c>
      <c r="T170" s="165"/>
    </row>
    <row r="171" spans="1:22" s="12" customFormat="1" ht="32.25" customHeight="1" hidden="1">
      <c r="A171" s="196">
        <v>1</v>
      </c>
      <c r="B171" s="539" t="s">
        <v>33</v>
      </c>
      <c r="C171" s="540"/>
      <c r="D171" s="541"/>
      <c r="E171" s="197"/>
      <c r="F171" s="196">
        <v>14.8</v>
      </c>
      <c r="G171" s="198">
        <v>3.3</v>
      </c>
      <c r="H171" s="198">
        <f>G171*J194</f>
        <v>97.152</v>
      </c>
      <c r="I171" s="198">
        <v>14.8</v>
      </c>
      <c r="J171" s="198">
        <v>3.3</v>
      </c>
      <c r="K171" s="198">
        <f>J171*J194</f>
        <v>97.152</v>
      </c>
      <c r="L171" s="198">
        <v>15</v>
      </c>
      <c r="M171" s="198">
        <v>3.4</v>
      </c>
      <c r="N171" s="198">
        <f>M171*J194</f>
        <v>100.096</v>
      </c>
      <c r="O171" s="198">
        <v>15</v>
      </c>
      <c r="P171" s="198">
        <v>3.3</v>
      </c>
      <c r="Q171" s="198">
        <f>P171*J194</f>
        <v>97.152</v>
      </c>
      <c r="R171" s="198">
        <f>G171+J171+M171+P171</f>
        <v>13.3</v>
      </c>
      <c r="S171" s="198">
        <f>H171+K171+N171+Q171</f>
        <v>391.55199999999996</v>
      </c>
      <c r="T171" s="165" t="s">
        <v>21</v>
      </c>
      <c r="U171" s="11"/>
      <c r="V171" s="11"/>
    </row>
    <row r="172" spans="1:22" s="12" customFormat="1" ht="32.25" customHeight="1" hidden="1">
      <c r="A172" s="196">
        <v>2</v>
      </c>
      <c r="B172" s="539" t="s">
        <v>41</v>
      </c>
      <c r="C172" s="540"/>
      <c r="D172" s="541"/>
      <c r="E172" s="197"/>
      <c r="F172" s="199"/>
      <c r="G172" s="198">
        <f>G173+G174+G175+G176+G177+G178</f>
        <v>4062.7</v>
      </c>
      <c r="H172" s="198">
        <f>H173+H174+H175+H176+H177+H178</f>
        <v>130684.578</v>
      </c>
      <c r="I172" s="198"/>
      <c r="J172" s="198">
        <f>J173+J174+J175+J176+J177+J178</f>
        <v>3746</v>
      </c>
      <c r="K172" s="198">
        <f>K173+K174+K175+K176+K177+K178</f>
        <v>121933.6</v>
      </c>
      <c r="L172" s="198"/>
      <c r="M172" s="198">
        <f>M173+M174+M175+M176+M177+M178</f>
        <v>3920.1</v>
      </c>
      <c r="N172" s="198">
        <f>N173+N174+N175+N176+N177+N178</f>
        <v>126797.51400000001</v>
      </c>
      <c r="O172" s="198"/>
      <c r="P172" s="198">
        <f>P173+P174+P175+P176+P177+P178</f>
        <v>3955.8</v>
      </c>
      <c r="Q172" s="198">
        <f>Q173+Q174+Q175+Q176+Q177+Q178</f>
        <v>128166.672</v>
      </c>
      <c r="R172" s="198">
        <f>R173+R174+R175+R176+R177+R178</f>
        <v>15684.6</v>
      </c>
      <c r="S172" s="198">
        <f>S173+S174+S175+S176+S177+S178</f>
        <v>507582.364</v>
      </c>
      <c r="T172" s="165"/>
      <c r="U172" s="11"/>
      <c r="V172" s="11"/>
    </row>
    <row r="173" spans="1:22" s="12" customFormat="1" ht="25.5" customHeight="1" hidden="1">
      <c r="A173" s="196"/>
      <c r="B173" s="542" t="s">
        <v>34</v>
      </c>
      <c r="C173" s="543"/>
      <c r="D173" s="544"/>
      <c r="E173" s="200"/>
      <c r="F173" s="199">
        <v>3068.8</v>
      </c>
      <c r="G173" s="201">
        <v>520</v>
      </c>
      <c r="H173" s="201">
        <f>G173*J194</f>
        <v>15308.800000000001</v>
      </c>
      <c r="I173" s="201">
        <v>2511</v>
      </c>
      <c r="J173" s="201">
        <v>185</v>
      </c>
      <c r="K173" s="201">
        <f>J173*J194</f>
        <v>5446.400000000001</v>
      </c>
      <c r="L173" s="201">
        <v>2511</v>
      </c>
      <c r="M173" s="201">
        <v>590</v>
      </c>
      <c r="N173" s="201">
        <f>M173*J194</f>
        <v>17369.600000000002</v>
      </c>
      <c r="O173" s="201">
        <v>2511</v>
      </c>
      <c r="P173" s="201">
        <v>342</v>
      </c>
      <c r="Q173" s="201">
        <f>P173*J194</f>
        <v>10068.48</v>
      </c>
      <c r="R173" s="201">
        <f aca="true" t="shared" si="23" ref="R173:S179">G173+J173+M173+P173</f>
        <v>1637</v>
      </c>
      <c r="S173" s="201">
        <f t="shared" si="23"/>
        <v>48193.28</v>
      </c>
      <c r="T173" s="165" t="s">
        <v>21</v>
      </c>
      <c r="U173" s="11"/>
      <c r="V173" s="11"/>
    </row>
    <row r="174" spans="1:22" s="12" customFormat="1" ht="27.75" customHeight="1" hidden="1">
      <c r="A174" s="196"/>
      <c r="B174" s="542" t="s">
        <v>35</v>
      </c>
      <c r="C174" s="543"/>
      <c r="D174" s="544"/>
      <c r="E174" s="200"/>
      <c r="F174" s="199">
        <v>609</v>
      </c>
      <c r="G174" s="201">
        <v>516</v>
      </c>
      <c r="H174" s="201">
        <f>G174*J194</f>
        <v>15191.04</v>
      </c>
      <c r="I174" s="201">
        <v>609</v>
      </c>
      <c r="J174" s="201">
        <v>516</v>
      </c>
      <c r="K174" s="201">
        <f>J174*J194</f>
        <v>15191.04</v>
      </c>
      <c r="L174" s="201">
        <v>609</v>
      </c>
      <c r="M174" s="201">
        <v>516</v>
      </c>
      <c r="N174" s="201">
        <f>M174*J194</f>
        <v>15191.04</v>
      </c>
      <c r="O174" s="201">
        <v>609</v>
      </c>
      <c r="P174" s="201">
        <v>516</v>
      </c>
      <c r="Q174" s="201">
        <f>P174*J194</f>
        <v>15191.04</v>
      </c>
      <c r="R174" s="201">
        <f t="shared" si="23"/>
        <v>2064</v>
      </c>
      <c r="S174" s="201">
        <f t="shared" si="23"/>
        <v>60764.16</v>
      </c>
      <c r="T174" s="165" t="s">
        <v>21</v>
      </c>
      <c r="U174" s="11"/>
      <c r="V174" s="11"/>
    </row>
    <row r="175" spans="1:22" s="12" customFormat="1" ht="26.25" customHeight="1" hidden="1">
      <c r="A175" s="196"/>
      <c r="B175" s="542" t="s">
        <v>36</v>
      </c>
      <c r="C175" s="543"/>
      <c r="D175" s="544"/>
      <c r="E175" s="200"/>
      <c r="F175" s="199">
        <v>725.1</v>
      </c>
      <c r="G175" s="201">
        <v>616</v>
      </c>
      <c r="H175" s="201">
        <f>G175*J195</f>
        <v>22490.16</v>
      </c>
      <c r="I175" s="201">
        <v>885.2</v>
      </c>
      <c r="J175" s="201">
        <v>752</v>
      </c>
      <c r="K175" s="201">
        <f>J175*J195</f>
        <v>27455.519999999997</v>
      </c>
      <c r="L175" s="201">
        <v>727.3</v>
      </c>
      <c r="M175" s="201">
        <v>618</v>
      </c>
      <c r="N175" s="201">
        <f>M175*J195</f>
        <v>22563.18</v>
      </c>
      <c r="O175" s="201">
        <v>892.61</v>
      </c>
      <c r="P175" s="201">
        <v>759</v>
      </c>
      <c r="Q175" s="201">
        <f>P175*J195</f>
        <v>27711.09</v>
      </c>
      <c r="R175" s="201">
        <f t="shared" si="23"/>
        <v>2745</v>
      </c>
      <c r="S175" s="201">
        <f t="shared" si="23"/>
        <v>100219.94999999998</v>
      </c>
      <c r="T175" s="165" t="s">
        <v>21</v>
      </c>
      <c r="U175" s="11"/>
      <c r="V175" s="11"/>
    </row>
    <row r="176" spans="1:22" s="12" customFormat="1" ht="24" customHeight="1" hidden="1">
      <c r="A176" s="196"/>
      <c r="B176" s="545" t="s">
        <v>37</v>
      </c>
      <c r="C176" s="545"/>
      <c r="D176" s="545"/>
      <c r="E176" s="202"/>
      <c r="F176" s="199">
        <v>1639</v>
      </c>
      <c r="G176" s="201">
        <v>951</v>
      </c>
      <c r="H176" s="201">
        <f>G176*J195</f>
        <v>34721.009999999995</v>
      </c>
      <c r="I176" s="201">
        <v>1584</v>
      </c>
      <c r="J176" s="201">
        <v>896</v>
      </c>
      <c r="K176" s="201">
        <f>J176*J195</f>
        <v>32712.96</v>
      </c>
      <c r="L176" s="201">
        <v>1344</v>
      </c>
      <c r="M176" s="201">
        <v>993</v>
      </c>
      <c r="N176" s="201">
        <f>M176*J195</f>
        <v>36254.43</v>
      </c>
      <c r="O176" s="201">
        <v>1639</v>
      </c>
      <c r="P176" s="201">
        <v>897</v>
      </c>
      <c r="Q176" s="201">
        <f>P176*J195</f>
        <v>32749.469999999998</v>
      </c>
      <c r="R176" s="201">
        <f t="shared" si="23"/>
        <v>3737</v>
      </c>
      <c r="S176" s="201">
        <f t="shared" si="23"/>
        <v>136437.87</v>
      </c>
      <c r="T176" s="165" t="s">
        <v>21</v>
      </c>
      <c r="U176" s="11"/>
      <c r="V176" s="11"/>
    </row>
    <row r="177" spans="1:22" s="12" customFormat="1" ht="24.75" customHeight="1" hidden="1">
      <c r="A177" s="196"/>
      <c r="B177" s="545" t="s">
        <v>38</v>
      </c>
      <c r="C177" s="545"/>
      <c r="D177" s="545"/>
      <c r="E177" s="202"/>
      <c r="F177" s="199">
        <v>53.7</v>
      </c>
      <c r="G177" s="201">
        <v>1393</v>
      </c>
      <c r="H177" s="201">
        <f>G177*J194</f>
        <v>41009.92</v>
      </c>
      <c r="I177" s="201">
        <v>43.6</v>
      </c>
      <c r="J177" s="201">
        <v>1346</v>
      </c>
      <c r="K177" s="201">
        <f>J177*J194</f>
        <v>39626.240000000005</v>
      </c>
      <c r="L177" s="201">
        <v>43.8</v>
      </c>
      <c r="M177" s="201">
        <v>1142</v>
      </c>
      <c r="N177" s="201">
        <f>M177*J194</f>
        <v>33620.48</v>
      </c>
      <c r="O177" s="201">
        <v>43.8</v>
      </c>
      <c r="P177" s="201">
        <v>1393</v>
      </c>
      <c r="Q177" s="201">
        <f>P177*J194</f>
        <v>41009.92</v>
      </c>
      <c r="R177" s="201">
        <f t="shared" si="23"/>
        <v>5274</v>
      </c>
      <c r="S177" s="201">
        <f t="shared" si="23"/>
        <v>155266.56</v>
      </c>
      <c r="T177" s="165" t="s">
        <v>21</v>
      </c>
      <c r="U177" s="11"/>
      <c r="V177" s="11"/>
    </row>
    <row r="178" spans="1:22" s="12" customFormat="1" ht="54.75" customHeight="1" hidden="1">
      <c r="A178" s="196"/>
      <c r="B178" s="545" t="s">
        <v>39</v>
      </c>
      <c r="C178" s="545"/>
      <c r="D178" s="545"/>
      <c r="E178" s="202"/>
      <c r="F178" s="199">
        <v>51</v>
      </c>
      <c r="G178" s="201">
        <v>66.7</v>
      </c>
      <c r="H178" s="201">
        <f>G178*J194</f>
        <v>1963.6480000000001</v>
      </c>
      <c r="I178" s="201">
        <v>48</v>
      </c>
      <c r="J178" s="201">
        <v>51</v>
      </c>
      <c r="K178" s="201">
        <f>J178*J194</f>
        <v>1501.44</v>
      </c>
      <c r="L178" s="201">
        <v>48</v>
      </c>
      <c r="M178" s="201">
        <v>61.1</v>
      </c>
      <c r="N178" s="201">
        <f>M178*J194</f>
        <v>1798.784</v>
      </c>
      <c r="O178" s="201">
        <v>51</v>
      </c>
      <c r="P178" s="201">
        <v>48.8</v>
      </c>
      <c r="Q178" s="201">
        <f>P178*J194</f>
        <v>1436.672</v>
      </c>
      <c r="R178" s="201">
        <f t="shared" si="23"/>
        <v>227.60000000000002</v>
      </c>
      <c r="S178" s="201">
        <f t="shared" si="23"/>
        <v>6700.544</v>
      </c>
      <c r="T178" s="165" t="s">
        <v>21</v>
      </c>
      <c r="U178" s="11"/>
      <c r="V178" s="11"/>
    </row>
    <row r="179" spans="1:22" s="12" customFormat="1" ht="24" customHeight="1" hidden="1">
      <c r="A179" s="196">
        <v>3</v>
      </c>
      <c r="B179" s="539" t="s">
        <v>42</v>
      </c>
      <c r="C179" s="540"/>
      <c r="D179" s="541"/>
      <c r="E179" s="197"/>
      <c r="F179" s="199">
        <v>76.86</v>
      </c>
      <c r="G179" s="198">
        <v>201</v>
      </c>
      <c r="H179" s="198">
        <f>G179*J194</f>
        <v>5917.4400000000005</v>
      </c>
      <c r="I179" s="198">
        <v>76.86</v>
      </c>
      <c r="J179" s="198">
        <v>201</v>
      </c>
      <c r="K179" s="198">
        <f>J179*J194</f>
        <v>5917.4400000000005</v>
      </c>
      <c r="L179" s="198">
        <v>76.86</v>
      </c>
      <c r="M179" s="198">
        <v>201</v>
      </c>
      <c r="N179" s="198">
        <f>M179*J194</f>
        <v>5917.4400000000005</v>
      </c>
      <c r="O179" s="198">
        <v>76.86</v>
      </c>
      <c r="P179" s="198">
        <v>201</v>
      </c>
      <c r="Q179" s="198">
        <f>P179*J194</f>
        <v>5917.4400000000005</v>
      </c>
      <c r="R179" s="198">
        <f t="shared" si="23"/>
        <v>804</v>
      </c>
      <c r="S179" s="198">
        <f t="shared" si="23"/>
        <v>23669.760000000002</v>
      </c>
      <c r="T179" s="165" t="s">
        <v>21</v>
      </c>
      <c r="U179" s="11"/>
      <c r="V179" s="11"/>
    </row>
    <row r="180" spans="1:22" s="12" customFormat="1" ht="30.75" customHeight="1" hidden="1">
      <c r="A180" s="196">
        <v>4</v>
      </c>
      <c r="B180" s="539" t="s">
        <v>43</v>
      </c>
      <c r="C180" s="540"/>
      <c r="D180" s="541"/>
      <c r="E180" s="197"/>
      <c r="F180" s="199">
        <v>172</v>
      </c>
      <c r="G180" s="198">
        <f>G181</f>
        <v>23.4</v>
      </c>
      <c r="H180" s="198">
        <f>H181</f>
        <v>688.896</v>
      </c>
      <c r="I180" s="198"/>
      <c r="J180" s="198">
        <f>J181</f>
        <v>23.4</v>
      </c>
      <c r="K180" s="198">
        <f>K181</f>
        <v>688.896</v>
      </c>
      <c r="L180" s="198"/>
      <c r="M180" s="198">
        <f>M181</f>
        <v>23.4</v>
      </c>
      <c r="N180" s="198">
        <f>N181</f>
        <v>688.896</v>
      </c>
      <c r="O180" s="198"/>
      <c r="P180" s="198">
        <f>P181</f>
        <v>23.1</v>
      </c>
      <c r="Q180" s="198">
        <f>Q181</f>
        <v>680.0640000000001</v>
      </c>
      <c r="R180" s="198">
        <f>R181</f>
        <v>93.29999999999998</v>
      </c>
      <c r="S180" s="198">
        <f>S181</f>
        <v>2746.7520000000004</v>
      </c>
      <c r="T180" s="165" t="s">
        <v>21</v>
      </c>
      <c r="U180" s="11"/>
      <c r="V180" s="11"/>
    </row>
    <row r="181" spans="1:22" s="12" customFormat="1" ht="30.75" customHeight="1" hidden="1">
      <c r="A181" s="196"/>
      <c r="B181" s="542" t="s">
        <v>44</v>
      </c>
      <c r="C181" s="543"/>
      <c r="D181" s="544"/>
      <c r="E181" s="200"/>
      <c r="F181" s="199"/>
      <c r="G181" s="201">
        <v>23.4</v>
      </c>
      <c r="H181" s="201">
        <f>G181*J194</f>
        <v>688.896</v>
      </c>
      <c r="I181" s="201"/>
      <c r="J181" s="201">
        <v>23.4</v>
      </c>
      <c r="K181" s="201">
        <f>J181*J194</f>
        <v>688.896</v>
      </c>
      <c r="L181" s="201"/>
      <c r="M181" s="201">
        <v>23.4</v>
      </c>
      <c r="N181" s="201">
        <f>M181*J194</f>
        <v>688.896</v>
      </c>
      <c r="O181" s="201"/>
      <c r="P181" s="201">
        <v>23.1</v>
      </c>
      <c r="Q181" s="201">
        <f>P181*J194</f>
        <v>680.0640000000001</v>
      </c>
      <c r="R181" s="201">
        <f>G181+J181+M181+P181</f>
        <v>93.29999999999998</v>
      </c>
      <c r="S181" s="201">
        <f>H181+K181+N181+Q181</f>
        <v>2746.7520000000004</v>
      </c>
      <c r="T181" s="165"/>
      <c r="U181" s="11"/>
      <c r="V181" s="11"/>
    </row>
    <row r="182" spans="1:22" s="12" customFormat="1" ht="30.75" customHeight="1" hidden="1">
      <c r="A182" s="196">
        <v>5</v>
      </c>
      <c r="B182" s="539" t="s">
        <v>47</v>
      </c>
      <c r="C182" s="540"/>
      <c r="D182" s="541"/>
      <c r="E182" s="197"/>
      <c r="F182" s="199"/>
      <c r="G182" s="198">
        <f>G183+G184+G185+G186+G187+G188</f>
        <v>127.91</v>
      </c>
      <c r="H182" s="198">
        <f>H183+H184+H185+H186+H187+H188</f>
        <v>3854.7524000000003</v>
      </c>
      <c r="I182" s="198"/>
      <c r="J182" s="198">
        <f>J183+J184+J185+J187+J188+J186</f>
        <v>122.46000000000001</v>
      </c>
      <c r="K182" s="198">
        <f>K183+K184+K185+K186+K187+K188</f>
        <v>3672.3874</v>
      </c>
      <c r="L182" s="198"/>
      <c r="M182" s="198">
        <f>M183+M184+M185+M186+M187+M188</f>
        <v>110.28999999999999</v>
      </c>
      <c r="N182" s="198">
        <f>N183+N184+N185+N186+N187+N188</f>
        <v>3314.1026</v>
      </c>
      <c r="O182" s="198"/>
      <c r="P182" s="198">
        <f>P183+P184+P185+P186+P187+P188</f>
        <v>122.81</v>
      </c>
      <c r="Q182" s="198">
        <f>Q183+Q184+Q185+Q186+Q187+Q188</f>
        <v>3701.0734</v>
      </c>
      <c r="R182" s="198">
        <f>R183+R184+R185+R186+R187+R188</f>
        <v>483.46999999999997</v>
      </c>
      <c r="S182" s="198">
        <f>S183+S184+S185+S186+S187+S188</f>
        <v>14542.3158</v>
      </c>
      <c r="T182" s="165"/>
      <c r="U182" s="11"/>
      <c r="V182" s="11"/>
    </row>
    <row r="183" spans="1:22" s="12" customFormat="1" ht="30.75" customHeight="1" hidden="1">
      <c r="A183" s="196"/>
      <c r="B183" s="542" t="s">
        <v>48</v>
      </c>
      <c r="C183" s="543"/>
      <c r="D183" s="544"/>
      <c r="E183" s="200"/>
      <c r="F183" s="199"/>
      <c r="G183" s="201">
        <v>7.71</v>
      </c>
      <c r="H183" s="201">
        <f>G183*J194</f>
        <v>226.9824</v>
      </c>
      <c r="I183" s="201"/>
      <c r="J183" s="201">
        <v>6.36</v>
      </c>
      <c r="K183" s="201">
        <f>J183*J194</f>
        <v>187.2384</v>
      </c>
      <c r="L183" s="201"/>
      <c r="M183" s="201">
        <v>3.69</v>
      </c>
      <c r="N183" s="201">
        <f>M183*J194</f>
        <v>108.6336</v>
      </c>
      <c r="O183" s="201"/>
      <c r="P183" s="201">
        <v>6.11</v>
      </c>
      <c r="Q183" s="201">
        <f>P183*J194</f>
        <v>179.87840000000003</v>
      </c>
      <c r="R183" s="201">
        <f aca="true" t="shared" si="24" ref="R183:S188">G183+J183+M183+P183</f>
        <v>23.87</v>
      </c>
      <c r="S183" s="201">
        <f t="shared" si="24"/>
        <v>702.7328000000001</v>
      </c>
      <c r="T183" s="165"/>
      <c r="U183" s="11"/>
      <c r="V183" s="11"/>
    </row>
    <row r="184" spans="1:22" s="12" customFormat="1" ht="30.75" customHeight="1" hidden="1">
      <c r="A184" s="196"/>
      <c r="B184" s="542" t="s">
        <v>49</v>
      </c>
      <c r="C184" s="543"/>
      <c r="D184" s="544"/>
      <c r="E184" s="200"/>
      <c r="F184" s="199"/>
      <c r="G184" s="201">
        <v>40</v>
      </c>
      <c r="H184" s="201">
        <f>G184*J194</f>
        <v>1177.6000000000001</v>
      </c>
      <c r="I184" s="201"/>
      <c r="J184" s="201">
        <v>40</v>
      </c>
      <c r="K184" s="201">
        <f>J184*J194</f>
        <v>1177.6000000000001</v>
      </c>
      <c r="L184" s="201"/>
      <c r="M184" s="201">
        <v>40</v>
      </c>
      <c r="N184" s="201">
        <f>M184*J194</f>
        <v>1177.6000000000001</v>
      </c>
      <c r="O184" s="201"/>
      <c r="P184" s="201">
        <v>40</v>
      </c>
      <c r="Q184" s="201">
        <f>P184*J194</f>
        <v>1177.6000000000001</v>
      </c>
      <c r="R184" s="201">
        <f t="shared" si="24"/>
        <v>160</v>
      </c>
      <c r="S184" s="201">
        <f t="shared" si="24"/>
        <v>4710.400000000001</v>
      </c>
      <c r="T184" s="165"/>
      <c r="U184" s="11"/>
      <c r="V184" s="11"/>
    </row>
    <row r="185" spans="1:22" s="12" customFormat="1" ht="30.75" customHeight="1" hidden="1">
      <c r="A185" s="196"/>
      <c r="B185" s="542" t="s">
        <v>50</v>
      </c>
      <c r="C185" s="543"/>
      <c r="D185" s="544"/>
      <c r="E185" s="200"/>
      <c r="F185" s="199"/>
      <c r="G185" s="201">
        <v>27.6</v>
      </c>
      <c r="H185" s="203">
        <f>G185*J194</f>
        <v>812.5440000000001</v>
      </c>
      <c r="I185" s="201"/>
      <c r="J185" s="201">
        <v>27.6</v>
      </c>
      <c r="K185" s="201">
        <f>J185*J194</f>
        <v>812.5440000000001</v>
      </c>
      <c r="L185" s="201"/>
      <c r="M185" s="201">
        <v>27.6</v>
      </c>
      <c r="N185" s="201">
        <f>M185*J194</f>
        <v>812.5440000000001</v>
      </c>
      <c r="O185" s="201"/>
      <c r="P185" s="201">
        <v>27.6</v>
      </c>
      <c r="Q185" s="201">
        <f>P185*J194</f>
        <v>812.5440000000001</v>
      </c>
      <c r="R185" s="201">
        <f t="shared" si="24"/>
        <v>110.4</v>
      </c>
      <c r="S185" s="201">
        <f t="shared" si="24"/>
        <v>3250.1760000000004</v>
      </c>
      <c r="T185" s="165"/>
      <c r="U185" s="11"/>
      <c r="V185" s="11"/>
    </row>
    <row r="186" spans="1:22" s="12" customFormat="1" ht="30.75" customHeight="1" hidden="1">
      <c r="A186" s="196"/>
      <c r="B186" s="545" t="s">
        <v>40</v>
      </c>
      <c r="C186" s="545"/>
      <c r="D186" s="545"/>
      <c r="E186" s="202"/>
      <c r="F186" s="199"/>
      <c r="G186" s="201">
        <v>40</v>
      </c>
      <c r="H186" s="201">
        <f>G186*J194</f>
        <v>1177.6000000000001</v>
      </c>
      <c r="I186" s="201"/>
      <c r="J186" s="201">
        <v>39</v>
      </c>
      <c r="K186" s="201">
        <f>J186*J194</f>
        <v>1148.16</v>
      </c>
      <c r="L186" s="201"/>
      <c r="M186" s="201">
        <v>29.5</v>
      </c>
      <c r="N186" s="201">
        <f>M186*J194</f>
        <v>868.48</v>
      </c>
      <c r="O186" s="201"/>
      <c r="P186" s="201">
        <v>37</v>
      </c>
      <c r="Q186" s="201">
        <f>P186*J194</f>
        <v>1089.28</v>
      </c>
      <c r="R186" s="201">
        <f t="shared" si="24"/>
        <v>145.5</v>
      </c>
      <c r="S186" s="201">
        <f t="shared" si="24"/>
        <v>4283.52</v>
      </c>
      <c r="T186" s="165"/>
      <c r="U186" s="11"/>
      <c r="V186" s="11"/>
    </row>
    <row r="187" spans="1:22" s="12" customFormat="1" ht="30.75" customHeight="1" hidden="1">
      <c r="A187" s="196"/>
      <c r="B187" s="545" t="s">
        <v>51</v>
      </c>
      <c r="C187" s="545"/>
      <c r="D187" s="545"/>
      <c r="E187" s="202"/>
      <c r="F187" s="199"/>
      <c r="G187" s="201">
        <v>4.6</v>
      </c>
      <c r="H187" s="201">
        <f>G187*J195</f>
        <v>167.94599999999997</v>
      </c>
      <c r="I187" s="201"/>
      <c r="J187" s="201">
        <v>1.5</v>
      </c>
      <c r="K187" s="201">
        <f>J187*J195</f>
        <v>54.765</v>
      </c>
      <c r="L187" s="201"/>
      <c r="M187" s="201">
        <v>1.5</v>
      </c>
      <c r="N187" s="201">
        <f>M187*J195</f>
        <v>54.765</v>
      </c>
      <c r="O187" s="201"/>
      <c r="P187" s="201">
        <v>4.1</v>
      </c>
      <c r="Q187" s="201">
        <f>P187*J195</f>
        <v>149.69099999999997</v>
      </c>
      <c r="R187" s="201">
        <f t="shared" si="24"/>
        <v>11.7</v>
      </c>
      <c r="S187" s="201">
        <f t="shared" si="24"/>
        <v>427.1669999999999</v>
      </c>
      <c r="T187" s="165"/>
      <c r="U187" s="11"/>
      <c r="V187" s="11"/>
    </row>
    <row r="188" spans="1:22" s="12" customFormat="1" ht="30.75" customHeight="1" hidden="1">
      <c r="A188" s="196"/>
      <c r="B188" s="545" t="s">
        <v>52</v>
      </c>
      <c r="C188" s="545"/>
      <c r="D188" s="545"/>
      <c r="E188" s="202"/>
      <c r="F188" s="199"/>
      <c r="G188" s="201">
        <v>8</v>
      </c>
      <c r="H188" s="201">
        <f>G188*J195</f>
        <v>292.08</v>
      </c>
      <c r="I188" s="201"/>
      <c r="J188" s="201">
        <v>8</v>
      </c>
      <c r="K188" s="201">
        <f>J188*J195</f>
        <v>292.08</v>
      </c>
      <c r="L188" s="201"/>
      <c r="M188" s="201">
        <v>8</v>
      </c>
      <c r="N188" s="201">
        <f>M188*J195</f>
        <v>292.08</v>
      </c>
      <c r="O188" s="201"/>
      <c r="P188" s="201">
        <v>8</v>
      </c>
      <c r="Q188" s="201">
        <f>P188*J195</f>
        <v>292.08</v>
      </c>
      <c r="R188" s="201">
        <f t="shared" si="24"/>
        <v>32</v>
      </c>
      <c r="S188" s="201">
        <f t="shared" si="24"/>
        <v>1168.32</v>
      </c>
      <c r="T188" s="165"/>
      <c r="U188" s="11"/>
      <c r="V188" s="11"/>
    </row>
    <row r="189" spans="1:22" s="12" customFormat="1" ht="30.75" customHeight="1" hidden="1">
      <c r="A189" s="196">
        <v>6</v>
      </c>
      <c r="B189" s="539" t="s">
        <v>53</v>
      </c>
      <c r="C189" s="540"/>
      <c r="D189" s="541"/>
      <c r="E189" s="197"/>
      <c r="F189" s="199"/>
      <c r="G189" s="198">
        <f>G190+G191</f>
        <v>428.14000000000004</v>
      </c>
      <c r="H189" s="198">
        <f>H190+H191</f>
        <v>12604.4416</v>
      </c>
      <c r="I189" s="198"/>
      <c r="J189" s="198">
        <f>J190+J191</f>
        <v>444.5</v>
      </c>
      <c r="K189" s="198">
        <f>K190+K191</f>
        <v>13086.08</v>
      </c>
      <c r="L189" s="198"/>
      <c r="M189" s="198">
        <f>M190+M191</f>
        <v>216.12</v>
      </c>
      <c r="N189" s="198">
        <f>N190+N191</f>
        <v>6362.5728</v>
      </c>
      <c r="O189" s="198"/>
      <c r="P189" s="198">
        <f>P190+P191</f>
        <v>423.71000000000004</v>
      </c>
      <c r="Q189" s="198">
        <f>Q190+Q191</f>
        <v>12474.022400000002</v>
      </c>
      <c r="R189" s="198">
        <f>R190+R191</f>
        <v>1512.47</v>
      </c>
      <c r="S189" s="198">
        <f>S190+S191</f>
        <v>44527.1168</v>
      </c>
      <c r="T189" s="165"/>
      <c r="U189" s="11"/>
      <c r="V189" s="11"/>
    </row>
    <row r="190" spans="1:22" s="12" customFormat="1" ht="30.75" customHeight="1" hidden="1">
      <c r="A190" s="199"/>
      <c r="B190" s="542" t="s">
        <v>54</v>
      </c>
      <c r="C190" s="543"/>
      <c r="D190" s="544"/>
      <c r="E190" s="200"/>
      <c r="F190" s="199"/>
      <c r="G190" s="201">
        <v>27.6</v>
      </c>
      <c r="H190" s="201">
        <f>G190*J194</f>
        <v>812.5440000000001</v>
      </c>
      <c r="I190" s="201"/>
      <c r="J190" s="201">
        <v>44.5</v>
      </c>
      <c r="K190" s="201">
        <f>J190*J194</f>
        <v>1310.0800000000002</v>
      </c>
      <c r="L190" s="201"/>
      <c r="M190" s="201">
        <v>74.6</v>
      </c>
      <c r="N190" s="201">
        <f>M190*J194</f>
        <v>2196.2239999999997</v>
      </c>
      <c r="O190" s="201"/>
      <c r="P190" s="201">
        <v>23.1</v>
      </c>
      <c r="Q190" s="201">
        <f>P190*J194</f>
        <v>680.0640000000001</v>
      </c>
      <c r="R190" s="201">
        <f>G190+J190+M190+P190</f>
        <v>169.79999999999998</v>
      </c>
      <c r="S190" s="201">
        <f>H190+K190+N190+Q190</f>
        <v>4998.912</v>
      </c>
      <c r="T190" s="165"/>
      <c r="U190" s="11"/>
      <c r="V190" s="11"/>
    </row>
    <row r="191" spans="1:22" s="12" customFormat="1" ht="30.75" customHeight="1" hidden="1">
      <c r="A191" s="199"/>
      <c r="B191" s="542" t="s">
        <v>55</v>
      </c>
      <c r="C191" s="543"/>
      <c r="D191" s="544"/>
      <c r="E191" s="200"/>
      <c r="F191" s="199"/>
      <c r="G191" s="201">
        <v>400.54</v>
      </c>
      <c r="H191" s="201">
        <f>G191*J194</f>
        <v>11791.8976</v>
      </c>
      <c r="I191" s="201"/>
      <c r="J191" s="201">
        <v>400</v>
      </c>
      <c r="K191" s="201">
        <f>J191*J194</f>
        <v>11776</v>
      </c>
      <c r="L191" s="201"/>
      <c r="M191" s="201">
        <v>141.52</v>
      </c>
      <c r="N191" s="201">
        <f>M191*J194</f>
        <v>4166.348800000001</v>
      </c>
      <c r="O191" s="201"/>
      <c r="P191" s="201">
        <v>400.61</v>
      </c>
      <c r="Q191" s="201">
        <f>P191*J194</f>
        <v>11793.958400000001</v>
      </c>
      <c r="R191" s="201">
        <f>G191+J191+M191+P191</f>
        <v>1342.67</v>
      </c>
      <c r="S191" s="201">
        <f>H191+K191+N191+Q191</f>
        <v>39528.2048</v>
      </c>
      <c r="T191" s="165"/>
      <c r="U191" s="11"/>
      <c r="V191" s="11"/>
    </row>
    <row r="192" spans="1:20" s="12" customFormat="1" ht="35.25" hidden="1">
      <c r="A192" s="204"/>
      <c r="B192" s="546" t="s">
        <v>19</v>
      </c>
      <c r="C192" s="547"/>
      <c r="D192" s="548"/>
      <c r="E192" s="205"/>
      <c r="F192" s="196" t="e">
        <f>F171+#REF!+#REF!+F173+F174+F175+#REF!+F176+F177+F178+F179+F180+#REF!</f>
        <v>#REF!</v>
      </c>
      <c r="G192" s="198">
        <f>G171+G172+G179+G180+G182+G189</f>
        <v>4846.45</v>
      </c>
      <c r="H192" s="198">
        <f>H171+H172+H179+H180+H182+H189</f>
        <v>153847.25999999998</v>
      </c>
      <c r="I192" s="198" t="e">
        <f>I171+I173+I174+I175+#REF!+I176+I177+I178+I179+I180</f>
        <v>#REF!</v>
      </c>
      <c r="J192" s="198">
        <f>J171+J172+J179+J180+J182+J189</f>
        <v>4540.66</v>
      </c>
      <c r="K192" s="198">
        <f>K171+K172+K179+K180+K182+K189</f>
        <v>145395.55539999998</v>
      </c>
      <c r="L192" s="198" t="e">
        <f>L171+L173+L174+L175+#REF!+L176+L177+L178+L179+L180</f>
        <v>#REF!</v>
      </c>
      <c r="M192" s="198">
        <f>M171+M172+M179+M180+M182+M189</f>
        <v>4474.3099999999995</v>
      </c>
      <c r="N192" s="198">
        <f>N171+N172+N179+N180+N182+N189</f>
        <v>143180.62140000003</v>
      </c>
      <c r="O192" s="198" t="e">
        <f>O171+O173+O174+O175+#REF!+O176+O177+O178+O179+O180</f>
        <v>#REF!</v>
      </c>
      <c r="P192" s="198">
        <f>P171+P172+P179+P180+P182+P189</f>
        <v>4729.720000000001</v>
      </c>
      <c r="Q192" s="198">
        <f>Q171+Q172+Q179+Q180+Q182+Q189</f>
        <v>151036.4238</v>
      </c>
      <c r="R192" s="198">
        <f>R171+R172+R179+R180+R182+R189</f>
        <v>18591.140000000003</v>
      </c>
      <c r="S192" s="198">
        <f>S171+S172+S179+S180+S182+S189</f>
        <v>593459.8605999999</v>
      </c>
      <c r="T192" s="165"/>
    </row>
    <row r="193" spans="1:20" s="12" customFormat="1" ht="35.25" hidden="1">
      <c r="A193" s="204"/>
      <c r="B193" s="549" t="s">
        <v>17</v>
      </c>
      <c r="C193" s="549"/>
      <c r="D193" s="549"/>
      <c r="E193" s="206"/>
      <c r="F193" s="531" t="s">
        <v>60</v>
      </c>
      <c r="G193" s="531"/>
      <c r="H193" s="531"/>
      <c r="I193" s="531"/>
      <c r="J193" s="531"/>
      <c r="K193" s="531"/>
      <c r="L193" s="531"/>
      <c r="M193" s="531"/>
      <c r="N193" s="531"/>
      <c r="O193" s="531"/>
      <c r="P193" s="531"/>
      <c r="Q193" s="531"/>
      <c r="R193" s="531"/>
      <c r="S193" s="531"/>
      <c r="T193" s="165"/>
    </row>
    <row r="194" spans="1:20" s="12" customFormat="1" ht="25.5" customHeight="1" hidden="1">
      <c r="A194" s="176"/>
      <c r="B194" s="176"/>
      <c r="C194" s="176"/>
      <c r="D194" s="176"/>
      <c r="E194" s="176"/>
      <c r="F194" s="176"/>
      <c r="G194" s="176"/>
      <c r="H194" s="179" t="s">
        <v>12</v>
      </c>
      <c r="I194" s="179"/>
      <c r="J194" s="179">
        <v>29.44</v>
      </c>
      <c r="K194" s="179"/>
      <c r="L194" s="176"/>
      <c r="M194" s="176"/>
      <c r="N194" s="176"/>
      <c r="O194" s="176"/>
      <c r="P194" s="176"/>
      <c r="Q194" s="176"/>
      <c r="R194" s="176"/>
      <c r="S194" s="176"/>
      <c r="T194" s="165"/>
    </row>
    <row r="195" spans="1:20" s="12" customFormat="1" ht="33" customHeight="1" hidden="1">
      <c r="A195" s="176"/>
      <c r="B195" s="176"/>
      <c r="C195" s="176"/>
      <c r="D195" s="176"/>
      <c r="E195" s="176"/>
      <c r="F195" s="176"/>
      <c r="G195" s="176"/>
      <c r="H195" s="179" t="s">
        <v>13</v>
      </c>
      <c r="I195" s="179"/>
      <c r="J195" s="179">
        <v>36.51</v>
      </c>
      <c r="K195" s="179"/>
      <c r="L195" s="176"/>
      <c r="M195" s="176"/>
      <c r="N195" s="176"/>
      <c r="O195" s="176"/>
      <c r="P195" s="176"/>
      <c r="Q195" s="191"/>
      <c r="R195" s="191"/>
      <c r="S195" s="176"/>
      <c r="T195" s="165"/>
    </row>
    <row r="196" spans="1:20" s="12" customFormat="1" ht="34.5" customHeight="1" hidden="1">
      <c r="A196" s="530" t="s">
        <v>64</v>
      </c>
      <c r="B196" s="530"/>
      <c r="C196" s="530"/>
      <c r="D196" s="530"/>
      <c r="E196" s="530"/>
      <c r="F196" s="530"/>
      <c r="G196" s="530"/>
      <c r="H196" s="530"/>
      <c r="I196" s="530"/>
      <c r="J196" s="530"/>
      <c r="K196" s="530"/>
      <c r="L196" s="530"/>
      <c r="M196" s="530"/>
      <c r="N196" s="530"/>
      <c r="O196" s="530"/>
      <c r="P196" s="530"/>
      <c r="Q196" s="530"/>
      <c r="R196" s="530"/>
      <c r="S196" s="530"/>
      <c r="T196" s="165"/>
    </row>
    <row r="197" spans="1:20" s="12" customFormat="1" ht="35.25" hidden="1">
      <c r="A197" s="531" t="s">
        <v>15</v>
      </c>
      <c r="B197" s="532" t="s">
        <v>0</v>
      </c>
      <c r="C197" s="533"/>
      <c r="D197" s="534"/>
      <c r="E197" s="193"/>
      <c r="F197" s="538" t="s">
        <v>1</v>
      </c>
      <c r="G197" s="538"/>
      <c r="H197" s="538"/>
      <c r="I197" s="538" t="s">
        <v>3</v>
      </c>
      <c r="J197" s="538"/>
      <c r="K197" s="538"/>
      <c r="L197" s="538" t="s">
        <v>4</v>
      </c>
      <c r="M197" s="538"/>
      <c r="N197" s="538"/>
      <c r="O197" s="538" t="s">
        <v>6</v>
      </c>
      <c r="P197" s="538"/>
      <c r="Q197" s="538"/>
      <c r="R197" s="538" t="s">
        <v>7</v>
      </c>
      <c r="S197" s="538"/>
      <c r="T197" s="165"/>
    </row>
    <row r="198" spans="1:20" s="12" customFormat="1" ht="35.25" hidden="1">
      <c r="A198" s="531"/>
      <c r="B198" s="535"/>
      <c r="C198" s="536"/>
      <c r="D198" s="537"/>
      <c r="E198" s="207"/>
      <c r="F198" s="195" t="s">
        <v>10</v>
      </c>
      <c r="G198" s="195" t="s">
        <v>10</v>
      </c>
      <c r="H198" s="195" t="s">
        <v>5</v>
      </c>
      <c r="I198" s="195" t="s">
        <v>10</v>
      </c>
      <c r="J198" s="195" t="s">
        <v>10</v>
      </c>
      <c r="K198" s="195" t="s">
        <v>5</v>
      </c>
      <c r="L198" s="195" t="s">
        <v>10</v>
      </c>
      <c r="M198" s="195" t="s">
        <v>10</v>
      </c>
      <c r="N198" s="195" t="s">
        <v>5</v>
      </c>
      <c r="O198" s="195" t="s">
        <v>10</v>
      </c>
      <c r="P198" s="195" t="s">
        <v>10</v>
      </c>
      <c r="Q198" s="195" t="s">
        <v>5</v>
      </c>
      <c r="R198" s="195" t="s">
        <v>10</v>
      </c>
      <c r="S198" s="195" t="s">
        <v>5</v>
      </c>
      <c r="T198" s="165"/>
    </row>
    <row r="199" spans="1:23" s="12" customFormat="1" ht="25.5" customHeight="1" hidden="1">
      <c r="A199" s="196">
        <v>1</v>
      </c>
      <c r="B199" s="539" t="s">
        <v>33</v>
      </c>
      <c r="C199" s="540"/>
      <c r="D199" s="541"/>
      <c r="E199" s="197"/>
      <c r="F199" s="199">
        <v>17.5</v>
      </c>
      <c r="G199" s="198">
        <v>12.3</v>
      </c>
      <c r="H199" s="198">
        <f>G199*J222</f>
        <v>457.068</v>
      </c>
      <c r="I199" s="198">
        <v>17.5</v>
      </c>
      <c r="J199" s="198">
        <v>8.3</v>
      </c>
      <c r="K199" s="198">
        <f>J199*J222</f>
        <v>308.428</v>
      </c>
      <c r="L199" s="198">
        <v>17.5</v>
      </c>
      <c r="M199" s="198">
        <v>5.4</v>
      </c>
      <c r="N199" s="198">
        <f>M199*K222</f>
        <v>207.9</v>
      </c>
      <c r="O199" s="198">
        <v>17.5</v>
      </c>
      <c r="P199" s="198">
        <v>11.3</v>
      </c>
      <c r="Q199" s="198">
        <f>P199*K222</f>
        <v>435.05</v>
      </c>
      <c r="R199" s="198">
        <f>G199+J199+M199+P199</f>
        <v>37.3</v>
      </c>
      <c r="S199" s="198">
        <f>H199+K199+N199+Q199</f>
        <v>1408.446</v>
      </c>
      <c r="T199" s="165" t="s">
        <v>21</v>
      </c>
      <c r="U199" s="11">
        <f>41.08*P199</f>
        <v>464.204</v>
      </c>
      <c r="V199" s="11">
        <f>H199+K199+N199+Q199</f>
        <v>1408.446</v>
      </c>
      <c r="W199" s="12">
        <f aca="true" t="shared" si="25" ref="W199:W208">G199+J199+M199+P199</f>
        <v>37.3</v>
      </c>
    </row>
    <row r="200" spans="1:22" s="12" customFormat="1" ht="25.5" customHeight="1" hidden="1">
      <c r="A200" s="196">
        <v>2</v>
      </c>
      <c r="B200" s="539" t="s">
        <v>41</v>
      </c>
      <c r="C200" s="540"/>
      <c r="D200" s="541"/>
      <c r="E200" s="197"/>
      <c r="F200" s="199"/>
      <c r="G200" s="198">
        <f>G201+G202+G203+G204+G205+G206</f>
        <v>5188.679999999999</v>
      </c>
      <c r="H200" s="198">
        <f>H201+H202+H204+H205+H206+H203</f>
        <v>136057.8288</v>
      </c>
      <c r="I200" s="198"/>
      <c r="J200" s="198">
        <f>J201+J202+J203+J204+J205+J206</f>
        <v>4597.45</v>
      </c>
      <c r="K200" s="198">
        <f>K201+K202+K203+K204+K205+K206</f>
        <v>119534.57199999999</v>
      </c>
      <c r="L200" s="198"/>
      <c r="M200" s="198">
        <f>M201+M202+M203+M204+M205+M206</f>
        <v>4948.61</v>
      </c>
      <c r="N200" s="198">
        <f>N201+N202+N203+N204+N205+N206</f>
        <v>134143.28500000003</v>
      </c>
      <c r="O200" s="198"/>
      <c r="P200" s="198">
        <f>P201+P202+P203+P204+P205+P206</f>
        <v>4697.63</v>
      </c>
      <c r="Q200" s="198">
        <f>Q201+Q202+Q203+Q204+Q205+Q206</f>
        <v>125820.235</v>
      </c>
      <c r="R200" s="198">
        <f>R201+R202+R204+R205+R206+R203</f>
        <v>19432.370000000003</v>
      </c>
      <c r="S200" s="198">
        <f>S201+S202+S203+S204+S205+S206</f>
        <v>515555.92079999996</v>
      </c>
      <c r="T200" s="165"/>
      <c r="U200" s="11"/>
      <c r="V200" s="11"/>
    </row>
    <row r="201" spans="1:23" s="12" customFormat="1" ht="32.25" customHeight="1" hidden="1">
      <c r="A201" s="199"/>
      <c r="B201" s="542" t="s">
        <v>34</v>
      </c>
      <c r="C201" s="543"/>
      <c r="D201" s="544"/>
      <c r="E201" s="200"/>
      <c r="F201" s="199">
        <v>2715</v>
      </c>
      <c r="G201" s="201">
        <v>748.28</v>
      </c>
      <c r="H201" s="201">
        <f>G201*J222</f>
        <v>27806.084799999997</v>
      </c>
      <c r="I201" s="201">
        <v>2715</v>
      </c>
      <c r="J201" s="201">
        <v>409.15</v>
      </c>
      <c r="K201" s="201">
        <f>J201*J222</f>
        <v>15204.013999999997</v>
      </c>
      <c r="L201" s="201">
        <v>2715</v>
      </c>
      <c r="M201" s="201">
        <v>662.91</v>
      </c>
      <c r="N201" s="201">
        <f>M201*K222</f>
        <v>25522.035</v>
      </c>
      <c r="O201" s="201">
        <v>2715</v>
      </c>
      <c r="P201" s="201">
        <v>464.93</v>
      </c>
      <c r="Q201" s="201">
        <f>P201*K222</f>
        <v>17899.805</v>
      </c>
      <c r="R201" s="201">
        <f aca="true" t="shared" si="26" ref="R201:S207">G201+J201+M201+P201</f>
        <v>2285.2699999999995</v>
      </c>
      <c r="S201" s="201">
        <f t="shared" si="26"/>
        <v>86431.9388</v>
      </c>
      <c r="T201" s="165" t="s">
        <v>21</v>
      </c>
      <c r="U201" s="11">
        <f aca="true" t="shared" si="27" ref="U201:U208">41.08*P201</f>
        <v>19099.324399999998</v>
      </c>
      <c r="V201" s="11">
        <f aca="true" t="shared" si="28" ref="V201:V208">H201+K201+N201+Q201</f>
        <v>86431.9388</v>
      </c>
      <c r="W201" s="12">
        <f t="shared" si="25"/>
        <v>2285.2699999999995</v>
      </c>
    </row>
    <row r="202" spans="1:23" s="12" customFormat="1" ht="33.75" customHeight="1" hidden="1">
      <c r="A202" s="199"/>
      <c r="B202" s="542" t="s">
        <v>35</v>
      </c>
      <c r="C202" s="543"/>
      <c r="D202" s="544"/>
      <c r="E202" s="200"/>
      <c r="F202" s="199">
        <v>816</v>
      </c>
      <c r="G202" s="201">
        <v>660</v>
      </c>
      <c r="H202" s="201">
        <f>G202*J222</f>
        <v>24525.6</v>
      </c>
      <c r="I202" s="201">
        <v>816</v>
      </c>
      <c r="J202" s="201">
        <v>660</v>
      </c>
      <c r="K202" s="201">
        <f>J202*J222</f>
        <v>24525.6</v>
      </c>
      <c r="L202" s="201">
        <v>816</v>
      </c>
      <c r="M202" s="201">
        <v>660</v>
      </c>
      <c r="N202" s="201">
        <f>M202*K222</f>
        <v>25410</v>
      </c>
      <c r="O202" s="201">
        <v>816</v>
      </c>
      <c r="P202" s="201">
        <v>660</v>
      </c>
      <c r="Q202" s="201">
        <f>P202*K222</f>
        <v>25410</v>
      </c>
      <c r="R202" s="201">
        <f t="shared" si="26"/>
        <v>2640</v>
      </c>
      <c r="S202" s="201">
        <f t="shared" si="26"/>
        <v>99871.2</v>
      </c>
      <c r="T202" s="165" t="s">
        <v>21</v>
      </c>
      <c r="U202" s="11">
        <f t="shared" si="27"/>
        <v>27112.8</v>
      </c>
      <c r="V202" s="11">
        <f t="shared" si="28"/>
        <v>99871.2</v>
      </c>
      <c r="W202" s="12">
        <f t="shared" si="25"/>
        <v>2640</v>
      </c>
    </row>
    <row r="203" spans="1:23" s="12" customFormat="1" ht="34.5" customHeight="1" hidden="1">
      <c r="A203" s="199"/>
      <c r="B203" s="542" t="s">
        <v>36</v>
      </c>
      <c r="C203" s="543"/>
      <c r="D203" s="544"/>
      <c r="E203" s="200"/>
      <c r="F203" s="199">
        <v>910.2</v>
      </c>
      <c r="G203" s="201">
        <v>774</v>
      </c>
      <c r="H203" s="201">
        <f>G203*J223</f>
        <v>8196.66</v>
      </c>
      <c r="I203" s="201">
        <v>1072.5</v>
      </c>
      <c r="J203" s="201">
        <v>912</v>
      </c>
      <c r="K203" s="201">
        <f>J203*J223</f>
        <v>9658.08</v>
      </c>
      <c r="L203" s="201">
        <v>905.1</v>
      </c>
      <c r="M203" s="201">
        <v>769</v>
      </c>
      <c r="N203" s="201">
        <f>M203*K223</f>
        <v>8143.71</v>
      </c>
      <c r="O203" s="201">
        <v>1121.6</v>
      </c>
      <c r="P203" s="201">
        <v>940</v>
      </c>
      <c r="Q203" s="201">
        <f>P203*K223</f>
        <v>9954.6</v>
      </c>
      <c r="R203" s="201">
        <f t="shared" si="26"/>
        <v>3395</v>
      </c>
      <c r="S203" s="201">
        <f t="shared" si="26"/>
        <v>35953.049999999996</v>
      </c>
      <c r="T203" s="165" t="s">
        <v>21</v>
      </c>
      <c r="U203" s="11">
        <f>11.81*P203</f>
        <v>11101.4</v>
      </c>
      <c r="V203" s="11">
        <f t="shared" si="28"/>
        <v>35953.049999999996</v>
      </c>
      <c r="W203" s="12">
        <f t="shared" si="25"/>
        <v>3395</v>
      </c>
    </row>
    <row r="204" spans="1:23" s="12" customFormat="1" ht="28.5" customHeight="1" hidden="1">
      <c r="A204" s="199"/>
      <c r="B204" s="545" t="s">
        <v>37</v>
      </c>
      <c r="C204" s="545"/>
      <c r="D204" s="545"/>
      <c r="E204" s="202"/>
      <c r="F204" s="199">
        <v>1845</v>
      </c>
      <c r="G204" s="201">
        <v>1362</v>
      </c>
      <c r="H204" s="201">
        <f>G204*J223</f>
        <v>14423.58</v>
      </c>
      <c r="I204" s="201">
        <v>1803</v>
      </c>
      <c r="J204" s="201">
        <v>1019</v>
      </c>
      <c r="K204" s="201">
        <f>J204*J223</f>
        <v>10791.21</v>
      </c>
      <c r="L204" s="201">
        <v>1803</v>
      </c>
      <c r="M204" s="201">
        <v>1251</v>
      </c>
      <c r="N204" s="201">
        <f>M204*K223</f>
        <v>13248.09</v>
      </c>
      <c r="O204" s="201">
        <v>1813.3</v>
      </c>
      <c r="P204" s="201">
        <v>1032</v>
      </c>
      <c r="Q204" s="201">
        <f>P204*K223</f>
        <v>10928.88</v>
      </c>
      <c r="R204" s="201">
        <f t="shared" si="26"/>
        <v>4664</v>
      </c>
      <c r="S204" s="201">
        <f t="shared" si="26"/>
        <v>49391.76</v>
      </c>
      <c r="T204" s="165" t="s">
        <v>21</v>
      </c>
      <c r="U204" s="11">
        <f t="shared" si="27"/>
        <v>42394.56</v>
      </c>
      <c r="V204" s="11">
        <f t="shared" si="28"/>
        <v>49391.76</v>
      </c>
      <c r="W204" s="12">
        <f t="shared" si="25"/>
        <v>4664</v>
      </c>
    </row>
    <row r="205" spans="1:23" s="12" customFormat="1" ht="33" customHeight="1" hidden="1">
      <c r="A205" s="199"/>
      <c r="B205" s="545" t="s">
        <v>38</v>
      </c>
      <c r="C205" s="545"/>
      <c r="D205" s="545"/>
      <c r="E205" s="202"/>
      <c r="F205" s="199">
        <v>74.5</v>
      </c>
      <c r="G205" s="201">
        <v>1568</v>
      </c>
      <c r="H205" s="201">
        <f>G205*J222</f>
        <v>58266.88</v>
      </c>
      <c r="I205" s="201">
        <v>72.8</v>
      </c>
      <c r="J205" s="201">
        <v>1533</v>
      </c>
      <c r="K205" s="201">
        <f>J205*J222</f>
        <v>56966.27999999999</v>
      </c>
      <c r="L205" s="201">
        <v>72.9</v>
      </c>
      <c r="M205" s="201">
        <v>1533</v>
      </c>
      <c r="N205" s="201">
        <f>M205*K222</f>
        <v>59020.5</v>
      </c>
      <c r="O205" s="201">
        <v>72.9</v>
      </c>
      <c r="P205" s="201">
        <v>1541</v>
      </c>
      <c r="Q205" s="201">
        <f>P205*K222</f>
        <v>59328.5</v>
      </c>
      <c r="R205" s="201">
        <f t="shared" si="26"/>
        <v>6175</v>
      </c>
      <c r="S205" s="201">
        <f t="shared" si="26"/>
        <v>233582.15999999997</v>
      </c>
      <c r="T205" s="165" t="s">
        <v>21</v>
      </c>
      <c r="U205" s="11">
        <f t="shared" si="27"/>
        <v>63304.28</v>
      </c>
      <c r="V205" s="11">
        <f t="shared" si="28"/>
        <v>233582.15999999997</v>
      </c>
      <c r="W205" s="12">
        <f t="shared" si="25"/>
        <v>6175</v>
      </c>
    </row>
    <row r="206" spans="1:23" s="12" customFormat="1" ht="44.25" customHeight="1" hidden="1">
      <c r="A206" s="199"/>
      <c r="B206" s="545" t="s">
        <v>39</v>
      </c>
      <c r="C206" s="545"/>
      <c r="D206" s="545"/>
      <c r="E206" s="202"/>
      <c r="F206" s="199">
        <v>88.6</v>
      </c>
      <c r="G206" s="201">
        <v>76.4</v>
      </c>
      <c r="H206" s="201">
        <f>G206*J222</f>
        <v>2839.024</v>
      </c>
      <c r="I206" s="201">
        <v>88.5</v>
      </c>
      <c r="J206" s="201">
        <v>64.3</v>
      </c>
      <c r="K206" s="201">
        <f>J206*J222</f>
        <v>2389.3879999999995</v>
      </c>
      <c r="L206" s="201">
        <v>88.5</v>
      </c>
      <c r="M206" s="201">
        <v>72.7</v>
      </c>
      <c r="N206" s="201">
        <f>M206*K222</f>
        <v>2798.9500000000003</v>
      </c>
      <c r="O206" s="201">
        <v>88.5</v>
      </c>
      <c r="P206" s="201">
        <v>59.7</v>
      </c>
      <c r="Q206" s="201">
        <f>P206*K222</f>
        <v>2298.4500000000003</v>
      </c>
      <c r="R206" s="201">
        <f>G206+J206+M206+P206</f>
        <v>273.09999999999997</v>
      </c>
      <c r="S206" s="201">
        <f t="shared" si="26"/>
        <v>10325.812</v>
      </c>
      <c r="T206" s="165" t="s">
        <v>21</v>
      </c>
      <c r="U206" s="11">
        <f t="shared" si="27"/>
        <v>2452.476</v>
      </c>
      <c r="V206" s="11">
        <f t="shared" si="28"/>
        <v>10325.812</v>
      </c>
      <c r="W206" s="12">
        <f t="shared" si="25"/>
        <v>273.09999999999997</v>
      </c>
    </row>
    <row r="207" spans="1:23" s="12" customFormat="1" ht="51.75" customHeight="1" hidden="1">
      <c r="A207" s="196">
        <v>3</v>
      </c>
      <c r="B207" s="539" t="s">
        <v>42</v>
      </c>
      <c r="C207" s="540"/>
      <c r="D207" s="541"/>
      <c r="E207" s="197"/>
      <c r="F207" s="199">
        <v>118.05</v>
      </c>
      <c r="G207" s="198">
        <v>263</v>
      </c>
      <c r="H207" s="198">
        <f>G207*J222</f>
        <v>9773.08</v>
      </c>
      <c r="I207" s="198">
        <v>118.05</v>
      </c>
      <c r="J207" s="198">
        <v>252</v>
      </c>
      <c r="K207" s="198">
        <f>J207*J222</f>
        <v>9364.32</v>
      </c>
      <c r="L207" s="198">
        <v>118.05</v>
      </c>
      <c r="M207" s="198">
        <v>248</v>
      </c>
      <c r="N207" s="198">
        <f>M207*K222</f>
        <v>9548</v>
      </c>
      <c r="O207" s="198">
        <v>118.05</v>
      </c>
      <c r="P207" s="198">
        <v>268</v>
      </c>
      <c r="Q207" s="198">
        <f>P207*K222</f>
        <v>10318</v>
      </c>
      <c r="R207" s="198">
        <f t="shared" si="26"/>
        <v>1031</v>
      </c>
      <c r="S207" s="198">
        <f t="shared" si="26"/>
        <v>39003.4</v>
      </c>
      <c r="T207" s="165" t="s">
        <v>21</v>
      </c>
      <c r="U207" s="11">
        <f t="shared" si="27"/>
        <v>11009.439999999999</v>
      </c>
      <c r="V207" s="11">
        <f t="shared" si="28"/>
        <v>39003.4</v>
      </c>
      <c r="W207" s="12">
        <f t="shared" si="25"/>
        <v>1031</v>
      </c>
    </row>
    <row r="208" spans="1:23" s="12" customFormat="1" ht="33.75" customHeight="1" hidden="1">
      <c r="A208" s="196">
        <v>4</v>
      </c>
      <c r="B208" s="539" t="s">
        <v>43</v>
      </c>
      <c r="C208" s="540"/>
      <c r="D208" s="541"/>
      <c r="E208" s="197"/>
      <c r="F208" s="199">
        <v>180</v>
      </c>
      <c r="G208" s="198">
        <f>G209</f>
        <v>23.4</v>
      </c>
      <c r="H208" s="198">
        <f>H209</f>
        <v>869.5439999999999</v>
      </c>
      <c r="I208" s="198"/>
      <c r="J208" s="198">
        <f>J209</f>
        <v>23.4</v>
      </c>
      <c r="K208" s="198">
        <f>K209</f>
        <v>869.5439999999999</v>
      </c>
      <c r="L208" s="198"/>
      <c r="M208" s="198">
        <f>M209</f>
        <v>23.4</v>
      </c>
      <c r="N208" s="198">
        <f>N209</f>
        <v>900.9</v>
      </c>
      <c r="O208" s="198"/>
      <c r="P208" s="198">
        <f>P209</f>
        <v>23.1</v>
      </c>
      <c r="Q208" s="198">
        <f>Q209</f>
        <v>889.35</v>
      </c>
      <c r="R208" s="198">
        <f>R209</f>
        <v>93.29999999999998</v>
      </c>
      <c r="S208" s="198">
        <f>S209</f>
        <v>3529.3379999999997</v>
      </c>
      <c r="T208" s="165" t="s">
        <v>21</v>
      </c>
      <c r="U208" s="11">
        <f t="shared" si="27"/>
        <v>948.948</v>
      </c>
      <c r="V208" s="11">
        <f t="shared" si="28"/>
        <v>3529.3379999999997</v>
      </c>
      <c r="W208" s="12">
        <f t="shared" si="25"/>
        <v>93.29999999999998</v>
      </c>
    </row>
    <row r="209" spans="1:22" s="12" customFormat="1" ht="27.75" customHeight="1" hidden="1">
      <c r="A209" s="199"/>
      <c r="B209" s="542" t="s">
        <v>44</v>
      </c>
      <c r="C209" s="543"/>
      <c r="D209" s="544"/>
      <c r="E209" s="200"/>
      <c r="F209" s="199"/>
      <c r="G209" s="201">
        <v>23.4</v>
      </c>
      <c r="H209" s="201">
        <f>G209*J222</f>
        <v>869.5439999999999</v>
      </c>
      <c r="I209" s="201"/>
      <c r="J209" s="201">
        <v>23.4</v>
      </c>
      <c r="K209" s="201">
        <f>J209*J222</f>
        <v>869.5439999999999</v>
      </c>
      <c r="L209" s="201"/>
      <c r="M209" s="201">
        <v>23.4</v>
      </c>
      <c r="N209" s="201">
        <f>M209*K222</f>
        <v>900.9</v>
      </c>
      <c r="O209" s="201"/>
      <c r="P209" s="201">
        <v>23.1</v>
      </c>
      <c r="Q209" s="201">
        <f>P209*K222</f>
        <v>889.35</v>
      </c>
      <c r="R209" s="201">
        <f>G209+J209+M209+P209</f>
        <v>93.29999999999998</v>
      </c>
      <c r="S209" s="201">
        <f>H209+K209+N209+Q209</f>
        <v>3529.3379999999997</v>
      </c>
      <c r="T209" s="165"/>
      <c r="U209" s="11"/>
      <c r="V209" s="11"/>
    </row>
    <row r="210" spans="1:22" s="12" customFormat="1" ht="33.75" customHeight="1" hidden="1">
      <c r="A210" s="196">
        <v>5</v>
      </c>
      <c r="B210" s="539" t="s">
        <v>47</v>
      </c>
      <c r="C210" s="540"/>
      <c r="D210" s="541"/>
      <c r="E210" s="197"/>
      <c r="F210" s="199"/>
      <c r="G210" s="198">
        <f>G211+G212+G213+G214+G215+G216</f>
        <v>189.14000000000001</v>
      </c>
      <c r="H210" s="198">
        <f>H211+H212+H213+H214+H215+H216</f>
        <v>6316.366399999999</v>
      </c>
      <c r="I210" s="198"/>
      <c r="J210" s="198">
        <f>J211+J212+J213+J214+J215+J216</f>
        <v>169.2</v>
      </c>
      <c r="K210" s="198">
        <f>K211+K212+K214+K216+K213+K215</f>
        <v>5710.902999999999</v>
      </c>
      <c r="L210" s="198"/>
      <c r="M210" s="198">
        <f>M211+M212+M213+M214+M215+M216</f>
        <v>143.23000000000002</v>
      </c>
      <c r="N210" s="198">
        <f>N211+N212+N213+N214+N215+N216</f>
        <v>4908.708</v>
      </c>
      <c r="O210" s="198"/>
      <c r="P210" s="198">
        <f>P211+P212+P213+P214+P215+P216</f>
        <v>174.28</v>
      </c>
      <c r="Q210" s="198">
        <f>Q211+Q212+Q213+Q214+Q215+Q216</f>
        <v>5942.255</v>
      </c>
      <c r="R210" s="198">
        <f>R211+R212+R213+R214+R215+R216</f>
        <v>675.85</v>
      </c>
      <c r="S210" s="198">
        <f>S211+S212+S213+S214+S215+S216</f>
        <v>22878.2324</v>
      </c>
      <c r="T210" s="165"/>
      <c r="U210" s="11"/>
      <c r="V210" s="11"/>
    </row>
    <row r="211" spans="1:22" s="12" customFormat="1" ht="33.75" customHeight="1" hidden="1">
      <c r="A211" s="196"/>
      <c r="B211" s="542" t="s">
        <v>48</v>
      </c>
      <c r="C211" s="543"/>
      <c r="D211" s="544"/>
      <c r="E211" s="200"/>
      <c r="F211" s="199"/>
      <c r="G211" s="201">
        <v>8.64</v>
      </c>
      <c r="H211" s="201">
        <f>G211*J222</f>
        <v>321.06239999999997</v>
      </c>
      <c r="I211" s="201"/>
      <c r="J211" s="201">
        <v>8</v>
      </c>
      <c r="K211" s="201">
        <f>J211*J222</f>
        <v>297.28</v>
      </c>
      <c r="L211" s="201"/>
      <c r="M211" s="201">
        <v>5.23</v>
      </c>
      <c r="N211" s="201">
        <f>M211*K222</f>
        <v>201.35500000000002</v>
      </c>
      <c r="O211" s="201"/>
      <c r="P211" s="201">
        <v>7.48</v>
      </c>
      <c r="Q211" s="201">
        <f>P211*K222</f>
        <v>287.98</v>
      </c>
      <c r="R211" s="201">
        <f aca="true" t="shared" si="29" ref="R211:S216">G211+J211+M211+P211</f>
        <v>29.35</v>
      </c>
      <c r="S211" s="201">
        <f t="shared" si="29"/>
        <v>1107.6774</v>
      </c>
      <c r="T211" s="165"/>
      <c r="U211" s="11"/>
      <c r="V211" s="11"/>
    </row>
    <row r="212" spans="1:22" s="12" customFormat="1" ht="33.75" customHeight="1" hidden="1">
      <c r="A212" s="196"/>
      <c r="B212" s="542" t="s">
        <v>49</v>
      </c>
      <c r="C212" s="543"/>
      <c r="D212" s="544"/>
      <c r="E212" s="200"/>
      <c r="F212" s="199"/>
      <c r="G212" s="201">
        <v>53.5</v>
      </c>
      <c r="H212" s="201">
        <f>G212*J222</f>
        <v>1988.0599999999997</v>
      </c>
      <c r="I212" s="201"/>
      <c r="J212" s="201">
        <v>52.5</v>
      </c>
      <c r="K212" s="201">
        <f>J212*J222</f>
        <v>1950.8999999999999</v>
      </c>
      <c r="L212" s="201"/>
      <c r="M212" s="201">
        <v>42.5</v>
      </c>
      <c r="N212" s="201">
        <f>M212*K222</f>
        <v>1636.25</v>
      </c>
      <c r="O212" s="201"/>
      <c r="P212" s="201">
        <v>51.5</v>
      </c>
      <c r="Q212" s="201">
        <f>P212*K222</f>
        <v>1982.75</v>
      </c>
      <c r="R212" s="201">
        <f t="shared" si="29"/>
        <v>200</v>
      </c>
      <c r="S212" s="201">
        <f t="shared" si="29"/>
        <v>7557.959999999999</v>
      </c>
      <c r="T212" s="165"/>
      <c r="U212" s="11"/>
      <c r="V212" s="11"/>
    </row>
    <row r="213" spans="1:22" s="12" customFormat="1" ht="33.75" customHeight="1" hidden="1">
      <c r="A213" s="196"/>
      <c r="B213" s="542" t="s">
        <v>50</v>
      </c>
      <c r="C213" s="543"/>
      <c r="D213" s="544"/>
      <c r="E213" s="200"/>
      <c r="F213" s="199"/>
      <c r="G213" s="201">
        <v>40</v>
      </c>
      <c r="H213" s="201">
        <f>G213*J222</f>
        <v>1486.3999999999999</v>
      </c>
      <c r="I213" s="201"/>
      <c r="J213" s="201">
        <v>40</v>
      </c>
      <c r="K213" s="201">
        <f>J213*J222</f>
        <v>1486.3999999999999</v>
      </c>
      <c r="L213" s="201"/>
      <c r="M213" s="201">
        <v>38.9</v>
      </c>
      <c r="N213" s="201">
        <f>M213*K222</f>
        <v>1497.6499999999999</v>
      </c>
      <c r="O213" s="201"/>
      <c r="P213" s="201">
        <v>39.5</v>
      </c>
      <c r="Q213" s="201">
        <f>P213*K222</f>
        <v>1520.75</v>
      </c>
      <c r="R213" s="201">
        <f t="shared" si="29"/>
        <v>158.4</v>
      </c>
      <c r="S213" s="201">
        <f t="shared" si="29"/>
        <v>5991.2</v>
      </c>
      <c r="T213" s="165"/>
      <c r="U213" s="11"/>
      <c r="V213" s="11"/>
    </row>
    <row r="214" spans="1:22" s="12" customFormat="1" ht="33.75" customHeight="1" hidden="1">
      <c r="A214" s="196"/>
      <c r="B214" s="545" t="s">
        <v>40</v>
      </c>
      <c r="C214" s="545"/>
      <c r="D214" s="545"/>
      <c r="E214" s="202"/>
      <c r="F214" s="199"/>
      <c r="G214" s="201">
        <v>60.2</v>
      </c>
      <c r="H214" s="201">
        <f>G214*J222</f>
        <v>2237.0319999999997</v>
      </c>
      <c r="I214" s="201"/>
      <c r="J214" s="201">
        <v>47</v>
      </c>
      <c r="K214" s="201">
        <f>J214*J222</f>
        <v>1746.5199999999998</v>
      </c>
      <c r="L214" s="201"/>
      <c r="M214" s="201">
        <v>34.9</v>
      </c>
      <c r="N214" s="201">
        <f>M214*K222</f>
        <v>1343.6499999999999</v>
      </c>
      <c r="O214" s="201"/>
      <c r="P214" s="201">
        <v>48.3</v>
      </c>
      <c r="Q214" s="201">
        <f>P214*K222</f>
        <v>1859.55</v>
      </c>
      <c r="R214" s="201">
        <f t="shared" si="29"/>
        <v>190.39999999999998</v>
      </c>
      <c r="S214" s="201">
        <f t="shared" si="29"/>
        <v>7186.7519999999995</v>
      </c>
      <c r="T214" s="165"/>
      <c r="U214" s="11"/>
      <c r="V214" s="11"/>
    </row>
    <row r="215" spans="1:22" s="12" customFormat="1" ht="33.75" customHeight="1" hidden="1">
      <c r="A215" s="196"/>
      <c r="B215" s="545" t="s">
        <v>51</v>
      </c>
      <c r="C215" s="545"/>
      <c r="D215" s="545"/>
      <c r="E215" s="202"/>
      <c r="F215" s="199"/>
      <c r="G215" s="201">
        <v>7.3</v>
      </c>
      <c r="H215" s="201">
        <f>G215*J223</f>
        <v>77.307</v>
      </c>
      <c r="I215" s="201"/>
      <c r="J215" s="201">
        <v>2.2</v>
      </c>
      <c r="K215" s="201">
        <f>J215*J223</f>
        <v>23.298000000000002</v>
      </c>
      <c r="L215" s="201"/>
      <c r="M215" s="201">
        <v>2.2</v>
      </c>
      <c r="N215" s="201">
        <f>M215*K223</f>
        <v>23.298000000000002</v>
      </c>
      <c r="O215" s="201"/>
      <c r="P215" s="201">
        <v>8</v>
      </c>
      <c r="Q215" s="201">
        <f>P215*K223</f>
        <v>84.72</v>
      </c>
      <c r="R215" s="201">
        <f t="shared" si="29"/>
        <v>19.7</v>
      </c>
      <c r="S215" s="201">
        <f t="shared" si="29"/>
        <v>208.623</v>
      </c>
      <c r="T215" s="165"/>
      <c r="U215" s="11"/>
      <c r="V215" s="11"/>
    </row>
    <row r="216" spans="1:22" s="12" customFormat="1" ht="33.75" customHeight="1" hidden="1">
      <c r="A216" s="196"/>
      <c r="B216" s="545" t="s">
        <v>52</v>
      </c>
      <c r="C216" s="545"/>
      <c r="D216" s="545"/>
      <c r="E216" s="202"/>
      <c r="F216" s="199"/>
      <c r="G216" s="201">
        <v>19.5</v>
      </c>
      <c r="H216" s="201">
        <f>G216*J223</f>
        <v>206.505</v>
      </c>
      <c r="I216" s="201"/>
      <c r="J216" s="201">
        <v>19.5</v>
      </c>
      <c r="K216" s="201">
        <f>J216*J223</f>
        <v>206.505</v>
      </c>
      <c r="L216" s="201"/>
      <c r="M216" s="201">
        <v>19.5</v>
      </c>
      <c r="N216" s="201">
        <f>M216*K223</f>
        <v>206.505</v>
      </c>
      <c r="O216" s="201"/>
      <c r="P216" s="201">
        <v>19.5</v>
      </c>
      <c r="Q216" s="201">
        <f>P216*K223</f>
        <v>206.505</v>
      </c>
      <c r="R216" s="201">
        <f t="shared" si="29"/>
        <v>78</v>
      </c>
      <c r="S216" s="201">
        <f t="shared" si="29"/>
        <v>826.02</v>
      </c>
      <c r="T216" s="165"/>
      <c r="U216" s="11"/>
      <c r="V216" s="11"/>
    </row>
    <row r="217" spans="1:22" s="12" customFormat="1" ht="33.75" customHeight="1" hidden="1">
      <c r="A217" s="196">
        <v>6</v>
      </c>
      <c r="B217" s="539" t="s">
        <v>53</v>
      </c>
      <c r="C217" s="540"/>
      <c r="D217" s="541"/>
      <c r="E217" s="197"/>
      <c r="F217" s="199"/>
      <c r="G217" s="198">
        <f>G218+G219</f>
        <v>463.75</v>
      </c>
      <c r="H217" s="198">
        <f>H218+H219</f>
        <v>17232.949999999997</v>
      </c>
      <c r="I217" s="198"/>
      <c r="J217" s="198">
        <f>J218+J219</f>
        <v>564.53</v>
      </c>
      <c r="K217" s="198">
        <f>K218+K219</f>
        <v>20977.934799999995</v>
      </c>
      <c r="L217" s="198"/>
      <c r="M217" s="198">
        <f>M218+M219</f>
        <v>284.18</v>
      </c>
      <c r="N217" s="198">
        <f>N218+N219</f>
        <v>10940.93</v>
      </c>
      <c r="O217" s="198"/>
      <c r="P217" s="198">
        <f>P218+P219</f>
        <v>550.62</v>
      </c>
      <c r="Q217" s="198">
        <f>Q218+Q219</f>
        <v>21198.87</v>
      </c>
      <c r="R217" s="198">
        <f>R218+R219</f>
        <v>1863.08</v>
      </c>
      <c r="S217" s="198">
        <f>S218+S219</f>
        <v>70350.6848</v>
      </c>
      <c r="T217" s="165"/>
      <c r="U217" s="11"/>
      <c r="V217" s="11"/>
    </row>
    <row r="218" spans="1:22" s="12" customFormat="1" ht="33.75" customHeight="1" hidden="1">
      <c r="A218" s="199"/>
      <c r="B218" s="542" t="s">
        <v>54</v>
      </c>
      <c r="C218" s="543"/>
      <c r="D218" s="544"/>
      <c r="E218" s="200"/>
      <c r="F218" s="199"/>
      <c r="G218" s="201">
        <v>45.6</v>
      </c>
      <c r="H218" s="201">
        <f>G218*J222</f>
        <v>1694.4959999999999</v>
      </c>
      <c r="I218" s="201"/>
      <c r="J218" s="201">
        <v>64.5</v>
      </c>
      <c r="K218" s="201">
        <f>J218*J222</f>
        <v>2396.8199999999997</v>
      </c>
      <c r="L218" s="201"/>
      <c r="M218" s="201">
        <v>113.6</v>
      </c>
      <c r="N218" s="201">
        <f>M218*K222</f>
        <v>4373.599999999999</v>
      </c>
      <c r="O218" s="201"/>
      <c r="P218" s="201">
        <v>50.1</v>
      </c>
      <c r="Q218" s="201">
        <f>P218*K222</f>
        <v>1928.8500000000001</v>
      </c>
      <c r="R218" s="201">
        <f>G218+J218+M218+P218</f>
        <v>273.8</v>
      </c>
      <c r="S218" s="201">
        <f>H218+K218+N218+Q218</f>
        <v>10393.766</v>
      </c>
      <c r="T218" s="165"/>
      <c r="U218" s="11"/>
      <c r="V218" s="11"/>
    </row>
    <row r="219" spans="1:22" s="12" customFormat="1" ht="33.75" customHeight="1" hidden="1">
      <c r="A219" s="199"/>
      <c r="B219" s="542" t="s">
        <v>55</v>
      </c>
      <c r="C219" s="543"/>
      <c r="D219" s="544"/>
      <c r="E219" s="200"/>
      <c r="F219" s="199"/>
      <c r="G219" s="201">
        <v>418.15</v>
      </c>
      <c r="H219" s="201">
        <f>G219*J222</f>
        <v>15538.453999999998</v>
      </c>
      <c r="I219" s="201"/>
      <c r="J219" s="201">
        <v>500.03</v>
      </c>
      <c r="K219" s="201">
        <f>J219*J222</f>
        <v>18581.114799999996</v>
      </c>
      <c r="L219" s="201"/>
      <c r="M219" s="201">
        <v>170.58</v>
      </c>
      <c r="N219" s="201">
        <f>M219*K222</f>
        <v>6567.330000000001</v>
      </c>
      <c r="O219" s="201"/>
      <c r="P219" s="201">
        <v>500.52</v>
      </c>
      <c r="Q219" s="201">
        <f>P219*K222</f>
        <v>19270.02</v>
      </c>
      <c r="R219" s="201">
        <f>G219+J219+M219+P219</f>
        <v>1589.28</v>
      </c>
      <c r="S219" s="201">
        <f>H219+K219+N219+Q219</f>
        <v>59956.9188</v>
      </c>
      <c r="T219" s="165"/>
      <c r="U219" s="11"/>
      <c r="V219" s="11"/>
    </row>
    <row r="220" spans="1:20" s="12" customFormat="1" ht="35.25" hidden="1">
      <c r="A220" s="208"/>
      <c r="B220" s="550" t="s">
        <v>19</v>
      </c>
      <c r="C220" s="550"/>
      <c r="D220" s="550"/>
      <c r="E220" s="209"/>
      <c r="F220" s="196">
        <f>SUM(F199:F208)</f>
        <v>6764.85</v>
      </c>
      <c r="G220" s="198">
        <f>G199+G200+G207+G208+G210+G217</f>
        <v>6140.2699999999995</v>
      </c>
      <c r="H220" s="198">
        <f>H199+H200+H207+H208+H210+H217</f>
        <v>170706.83719999995</v>
      </c>
      <c r="I220" s="198">
        <f>SUM(I199:I208)</f>
        <v>6703.35</v>
      </c>
      <c r="J220" s="198">
        <f>J199+J200+J207+J208+J210+J217</f>
        <v>5614.879999999999</v>
      </c>
      <c r="K220" s="198">
        <f>K199+K200+K207+K208+K210+K217</f>
        <v>156765.70179999995</v>
      </c>
      <c r="L220" s="198">
        <f>SUM(L199:L208)</f>
        <v>6536.05</v>
      </c>
      <c r="M220" s="198">
        <f>M199+M200+M207+M208+M210+M217</f>
        <v>5652.82</v>
      </c>
      <c r="N220" s="198">
        <f>N199+N200+N207+N208+N210+N217</f>
        <v>160649.72300000003</v>
      </c>
      <c r="O220" s="198">
        <f>SUM(O199:O208)</f>
        <v>6762.85</v>
      </c>
      <c r="P220" s="198">
        <f>P199+P200+P207+P208+P210+P217</f>
        <v>5724.93</v>
      </c>
      <c r="Q220" s="198">
        <f>Q199+Q200+Q207+Q208+Q210+Q217</f>
        <v>164603.76</v>
      </c>
      <c r="R220" s="198">
        <f>R199+R200+R207+R208+R210+R217</f>
        <v>23132.9</v>
      </c>
      <c r="S220" s="198">
        <f>S199+S200+S207+S208+S210+S217</f>
        <v>652726.022</v>
      </c>
      <c r="T220" s="165"/>
    </row>
    <row r="221" spans="1:20" s="12" customFormat="1" ht="35.25" hidden="1">
      <c r="A221" s="204"/>
      <c r="B221" s="551" t="s">
        <v>8</v>
      </c>
      <c r="C221" s="552"/>
      <c r="D221" s="553"/>
      <c r="E221" s="210"/>
      <c r="F221" s="538" t="s">
        <v>61</v>
      </c>
      <c r="G221" s="538"/>
      <c r="H221" s="538"/>
      <c r="I221" s="538"/>
      <c r="J221" s="538"/>
      <c r="K221" s="538"/>
      <c r="L221" s="538"/>
      <c r="M221" s="538"/>
      <c r="N221" s="538"/>
      <c r="O221" s="538"/>
      <c r="P221" s="538"/>
      <c r="Q221" s="538"/>
      <c r="R221" s="538"/>
      <c r="S221" s="538"/>
      <c r="T221" s="165"/>
    </row>
    <row r="222" spans="1:20" s="12" customFormat="1" ht="35.25" hidden="1">
      <c r="A222" s="176"/>
      <c r="B222" s="176"/>
      <c r="C222" s="176"/>
      <c r="D222" s="176"/>
      <c r="E222" s="176"/>
      <c r="F222" s="176"/>
      <c r="G222" s="176"/>
      <c r="H222" s="179" t="s">
        <v>12</v>
      </c>
      <c r="I222" s="179"/>
      <c r="J222" s="179">
        <v>37.16</v>
      </c>
      <c r="K222" s="179">
        <v>38.5</v>
      </c>
      <c r="L222" s="176"/>
      <c r="M222" s="176"/>
      <c r="N222" s="176"/>
      <c r="O222" s="176"/>
      <c r="P222" s="176"/>
      <c r="Q222" s="176"/>
      <c r="R222" s="176"/>
      <c r="S222" s="176"/>
      <c r="T222" s="165"/>
    </row>
    <row r="223" spans="1:20" s="12" customFormat="1" ht="35.25" hidden="1">
      <c r="A223" s="176"/>
      <c r="B223" s="176"/>
      <c r="C223" s="176"/>
      <c r="D223" s="176"/>
      <c r="E223" s="176"/>
      <c r="F223" s="176"/>
      <c r="G223" s="176"/>
      <c r="H223" s="179" t="s">
        <v>20</v>
      </c>
      <c r="I223" s="179"/>
      <c r="J223" s="179">
        <v>10.59</v>
      </c>
      <c r="K223" s="179">
        <v>10.59</v>
      </c>
      <c r="L223" s="176"/>
      <c r="M223" s="176"/>
      <c r="N223" s="176"/>
      <c r="O223" s="176"/>
      <c r="P223" s="176"/>
      <c r="Q223" s="176"/>
      <c r="R223" s="176"/>
      <c r="S223" s="176"/>
      <c r="T223" s="165"/>
    </row>
    <row r="224" spans="1:20" s="12" customFormat="1" ht="35.25">
      <c r="A224" s="176"/>
      <c r="B224" s="176"/>
      <c r="C224" s="176"/>
      <c r="D224" s="176"/>
      <c r="E224" s="176"/>
      <c r="F224" s="176"/>
      <c r="G224" s="176"/>
      <c r="H224" s="176"/>
      <c r="I224" s="118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65"/>
    </row>
    <row r="225" spans="1:19" ht="35.25">
      <c r="A225" s="51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</row>
    <row r="226" spans="1:19" ht="35.25">
      <c r="A226" s="6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</row>
    <row r="227" spans="1:19" ht="35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35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35.25">
      <c r="A229" s="6"/>
      <c r="B229" s="6"/>
      <c r="C229" s="6"/>
      <c r="D229" s="6"/>
      <c r="E229" s="6"/>
      <c r="F229" s="54"/>
      <c r="L229" s="6"/>
      <c r="M229" s="6"/>
      <c r="N229" s="6"/>
      <c r="O229" s="6"/>
      <c r="P229" s="6"/>
      <c r="Q229" s="6"/>
      <c r="R229" s="6"/>
      <c r="S229" s="6"/>
    </row>
    <row r="230" ht="35.25">
      <c r="F230" s="55" t="s">
        <v>22</v>
      </c>
    </row>
    <row r="231" ht="35.25">
      <c r="F231" s="55" t="s">
        <v>23</v>
      </c>
    </row>
    <row r="232" ht="35.25">
      <c r="F232" s="55" t="s">
        <v>24</v>
      </c>
    </row>
    <row r="233" ht="35.25">
      <c r="F233" s="55" t="s">
        <v>25</v>
      </c>
    </row>
    <row r="234" ht="35.25">
      <c r="F234" s="55" t="s">
        <v>26</v>
      </c>
    </row>
    <row r="235" ht="35.25">
      <c r="F235" s="55" t="s">
        <v>27</v>
      </c>
    </row>
    <row r="236" ht="35.25">
      <c r="F236" s="55" t="s">
        <v>29</v>
      </c>
    </row>
    <row r="237" ht="35.25">
      <c r="F237" s="55" t="s">
        <v>30</v>
      </c>
    </row>
    <row r="238" ht="35.25">
      <c r="F238" s="55" t="s">
        <v>28</v>
      </c>
    </row>
  </sheetData>
  <sheetProtection/>
  <mergeCells count="230">
    <mergeCell ref="B115:D115"/>
    <mergeCell ref="B116:D116"/>
    <mergeCell ref="B117:D117"/>
    <mergeCell ref="B118:D118"/>
    <mergeCell ref="B119:D119"/>
    <mergeCell ref="B120:D120"/>
    <mergeCell ref="B97:D97"/>
    <mergeCell ref="B98:D98"/>
    <mergeCell ref="B99:D99"/>
    <mergeCell ref="B100:D100"/>
    <mergeCell ref="B101:D101"/>
    <mergeCell ref="B102:D102"/>
    <mergeCell ref="B151:D151"/>
    <mergeCell ref="B154:D154"/>
    <mergeCell ref="B123:D123"/>
    <mergeCell ref="B137:D137"/>
    <mergeCell ref="B138:D138"/>
    <mergeCell ref="B130:D130"/>
    <mergeCell ref="B133:D133"/>
    <mergeCell ref="B140:D140"/>
    <mergeCell ref="B136:D136"/>
    <mergeCell ref="B139:D139"/>
    <mergeCell ref="B129:D129"/>
    <mergeCell ref="B131:D131"/>
    <mergeCell ref="B108:D108"/>
    <mergeCell ref="B111:D111"/>
    <mergeCell ref="B112:D112"/>
    <mergeCell ref="B125:D125"/>
    <mergeCell ref="B126:D126"/>
    <mergeCell ref="B128:D128"/>
    <mergeCell ref="B121:D121"/>
    <mergeCell ref="B124:D124"/>
    <mergeCell ref="B127:D127"/>
    <mergeCell ref="B122:D122"/>
    <mergeCell ref="B85:D85"/>
    <mergeCell ref="B103:D103"/>
    <mergeCell ref="B106:D106"/>
    <mergeCell ref="B104:D104"/>
    <mergeCell ref="B87:D87"/>
    <mergeCell ref="B89:D89"/>
    <mergeCell ref="B90:D90"/>
    <mergeCell ref="B88:D88"/>
    <mergeCell ref="B218:D218"/>
    <mergeCell ref="B219:D219"/>
    <mergeCell ref="B205:D205"/>
    <mergeCell ref="B206:D206"/>
    <mergeCell ref="B207:D207"/>
    <mergeCell ref="B208:D208"/>
    <mergeCell ref="B209:D209"/>
    <mergeCell ref="B210:D210"/>
    <mergeCell ref="B220:D220"/>
    <mergeCell ref="B221:D221"/>
    <mergeCell ref="F221:S221"/>
    <mergeCell ref="B211:D211"/>
    <mergeCell ref="B212:D212"/>
    <mergeCell ref="B213:D213"/>
    <mergeCell ref="B214:D214"/>
    <mergeCell ref="B215:D215"/>
    <mergeCell ref="B216:D216"/>
    <mergeCell ref="B217:D217"/>
    <mergeCell ref="B199:D199"/>
    <mergeCell ref="B200:D200"/>
    <mergeCell ref="B201:D201"/>
    <mergeCell ref="B202:D202"/>
    <mergeCell ref="B203:D203"/>
    <mergeCell ref="B204:D204"/>
    <mergeCell ref="B193:D193"/>
    <mergeCell ref="F193:S193"/>
    <mergeCell ref="A196:S196"/>
    <mergeCell ref="A197:A198"/>
    <mergeCell ref="B197:D198"/>
    <mergeCell ref="F197:H197"/>
    <mergeCell ref="I197:K197"/>
    <mergeCell ref="L197:N197"/>
    <mergeCell ref="O197:Q197"/>
    <mergeCell ref="R197:S197"/>
    <mergeCell ref="B187:D187"/>
    <mergeCell ref="B188:D188"/>
    <mergeCell ref="B189:D189"/>
    <mergeCell ref="B190:D190"/>
    <mergeCell ref="B191:D191"/>
    <mergeCell ref="B192:D192"/>
    <mergeCell ref="B181:D181"/>
    <mergeCell ref="B182:D182"/>
    <mergeCell ref="B183:D183"/>
    <mergeCell ref="B184:D184"/>
    <mergeCell ref="B185:D185"/>
    <mergeCell ref="B186:D186"/>
    <mergeCell ref="B175:D175"/>
    <mergeCell ref="B176:D176"/>
    <mergeCell ref="B177:D177"/>
    <mergeCell ref="B178:D178"/>
    <mergeCell ref="B179:D179"/>
    <mergeCell ref="B180:D180"/>
    <mergeCell ref="O169:Q169"/>
    <mergeCell ref="R169:S169"/>
    <mergeCell ref="B171:D171"/>
    <mergeCell ref="B172:D172"/>
    <mergeCell ref="B173:D173"/>
    <mergeCell ref="B174:D174"/>
    <mergeCell ref="F160:S160"/>
    <mergeCell ref="Q164:S164"/>
    <mergeCell ref="Q165:S165"/>
    <mergeCell ref="Q166:S166"/>
    <mergeCell ref="A168:S168"/>
    <mergeCell ref="A169:A170"/>
    <mergeCell ref="B169:D170"/>
    <mergeCell ref="F169:H169"/>
    <mergeCell ref="I169:K169"/>
    <mergeCell ref="L169:N169"/>
    <mergeCell ref="B142:D142"/>
    <mergeCell ref="B157:D157"/>
    <mergeCell ref="B160:D160"/>
    <mergeCell ref="B141:D141"/>
    <mergeCell ref="B143:D143"/>
    <mergeCell ref="B144:D144"/>
    <mergeCell ref="B145:D145"/>
    <mergeCell ref="B146:D146"/>
    <mergeCell ref="B147:D147"/>
    <mergeCell ref="B148:D148"/>
    <mergeCell ref="B132:D132"/>
    <mergeCell ref="B134:D134"/>
    <mergeCell ref="B135:D135"/>
    <mergeCell ref="B91:D91"/>
    <mergeCell ref="B94:D94"/>
    <mergeCell ref="B109:D109"/>
    <mergeCell ref="B110:D110"/>
    <mergeCell ref="B105:D105"/>
    <mergeCell ref="B92:D92"/>
    <mergeCell ref="B93:D93"/>
    <mergeCell ref="B78:D78"/>
    <mergeCell ref="B80:D80"/>
    <mergeCell ref="B81:D81"/>
    <mergeCell ref="B83:D83"/>
    <mergeCell ref="B107:D107"/>
    <mergeCell ref="B95:D95"/>
    <mergeCell ref="B96:D96"/>
    <mergeCell ref="B82:D82"/>
    <mergeCell ref="B84:D84"/>
    <mergeCell ref="B86:D86"/>
    <mergeCell ref="R68:S68"/>
    <mergeCell ref="B70:D70"/>
    <mergeCell ref="B73:D73"/>
    <mergeCell ref="B76:D76"/>
    <mergeCell ref="B79:D79"/>
    <mergeCell ref="B75:D75"/>
    <mergeCell ref="E68:E69"/>
    <mergeCell ref="B77:D77"/>
    <mergeCell ref="B72:D72"/>
    <mergeCell ref="B71:D71"/>
    <mergeCell ref="A68:A69"/>
    <mergeCell ref="B68:D69"/>
    <mergeCell ref="F68:H68"/>
    <mergeCell ref="I68:K68"/>
    <mergeCell ref="L68:N68"/>
    <mergeCell ref="O68:Q68"/>
    <mergeCell ref="B62:D62"/>
    <mergeCell ref="B63:D63"/>
    <mergeCell ref="B64:D64"/>
    <mergeCell ref="F64:S64"/>
    <mergeCell ref="Q66:S66"/>
    <mergeCell ref="A67:S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O38:Q38"/>
    <mergeCell ref="R38:S38"/>
    <mergeCell ref="B40:D40"/>
    <mergeCell ref="B41:D41"/>
    <mergeCell ref="B42:D42"/>
    <mergeCell ref="B43:D43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R7:S7"/>
    <mergeCell ref="B9:D9"/>
    <mergeCell ref="B10:D10"/>
    <mergeCell ref="B11:D11"/>
    <mergeCell ref="B12:D12"/>
    <mergeCell ref="B13:D13"/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3" r:id="rId1"/>
  <rowBreaks count="2" manualBreakCount="2">
    <brk id="99" max="18" man="1"/>
    <brk id="138" max="18" man="1"/>
  </rowBreaks>
  <colBreaks count="1" manualBreakCount="1">
    <brk id="20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4"/>
  <sheetViews>
    <sheetView view="pageBreakPreview" zoomScale="50" zoomScaleNormal="50" zoomScaleSheetLayoutView="50" workbookViewId="0" topLeftCell="A1">
      <selection activeCell="P3" sqref="P3:R3"/>
    </sheetView>
  </sheetViews>
  <sheetFormatPr defaultColWidth="9.140625" defaultRowHeight="12.75"/>
  <cols>
    <col min="1" max="1" width="9.00390625" style="10" customWidth="1"/>
    <col min="2" max="2" width="9.140625" style="10" customWidth="1"/>
    <col min="3" max="3" width="21.140625" style="10" customWidth="1"/>
    <col min="4" max="4" width="74.28125" style="10" customWidth="1"/>
    <col min="5" max="5" width="14.421875" style="10" hidden="1" customWidth="1"/>
    <col min="6" max="6" width="24.7109375" style="10" customWidth="1"/>
    <col min="7" max="7" width="32.00390625" style="53" customWidth="1"/>
    <col min="8" max="8" width="9.8515625" style="10" hidden="1" customWidth="1"/>
    <col min="9" max="9" width="29.421875" style="10" customWidth="1"/>
    <col min="10" max="10" width="30.140625" style="53" customWidth="1"/>
    <col min="11" max="11" width="9.8515625" style="10" hidden="1" customWidth="1"/>
    <col min="12" max="12" width="28.140625" style="10" customWidth="1"/>
    <col min="13" max="13" width="29.00390625" style="53" customWidth="1"/>
    <col min="14" max="14" width="9.8515625" style="10" hidden="1" customWidth="1"/>
    <col min="15" max="15" width="27.00390625" style="10" customWidth="1"/>
    <col min="16" max="16" width="30.421875" style="53" customWidth="1"/>
    <col min="17" max="17" width="29.28125" style="10" customWidth="1"/>
    <col min="18" max="18" width="30.57421875" style="53" customWidth="1"/>
    <col min="19" max="19" width="18.00390625" style="10" customWidth="1"/>
    <col min="20" max="20" width="22.28125" style="10" bestFit="1" customWidth="1"/>
    <col min="21" max="21" width="12.8515625" style="10" customWidth="1"/>
    <col min="22" max="16384" width="9.140625" style="10" customWidth="1"/>
  </cols>
  <sheetData>
    <row r="1" spans="1:22" ht="26.25">
      <c r="A1" s="6"/>
      <c r="B1" s="6"/>
      <c r="C1" s="6"/>
      <c r="D1" s="6"/>
      <c r="E1" s="6"/>
      <c r="F1" s="6"/>
      <c r="G1" s="104"/>
      <c r="H1" s="6"/>
      <c r="I1" s="6"/>
      <c r="J1" s="104"/>
      <c r="K1" s="6"/>
      <c r="L1" s="6"/>
      <c r="M1" s="104"/>
      <c r="N1" s="148"/>
      <c r="O1" s="148"/>
      <c r="P1" s="110" t="s">
        <v>130</v>
      </c>
      <c r="Q1" s="14"/>
      <c r="R1" s="111"/>
      <c r="T1" s="12"/>
      <c r="U1" s="12"/>
      <c r="V1" s="12"/>
    </row>
    <row r="2" spans="1:22" ht="26.25">
      <c r="A2" s="6"/>
      <c r="B2" s="6"/>
      <c r="C2" s="6"/>
      <c r="D2" s="6"/>
      <c r="E2" s="6"/>
      <c r="F2" s="6"/>
      <c r="G2" s="104"/>
      <c r="H2" s="6"/>
      <c r="I2" s="6"/>
      <c r="J2" s="104"/>
      <c r="K2" s="6"/>
      <c r="L2" s="6"/>
      <c r="M2" s="104"/>
      <c r="N2" s="148"/>
      <c r="O2" s="148"/>
      <c r="P2" s="447" t="s">
        <v>31</v>
      </c>
      <c r="Q2" s="447"/>
      <c r="R2" s="447"/>
      <c r="T2" s="12"/>
      <c r="U2" s="12"/>
      <c r="V2" s="12"/>
    </row>
    <row r="3" spans="1:22" ht="26.25">
      <c r="A3" s="6"/>
      <c r="B3" s="6"/>
      <c r="C3" s="6"/>
      <c r="D3" s="6"/>
      <c r="E3" s="6"/>
      <c r="F3" s="6"/>
      <c r="G3" s="104"/>
      <c r="H3" s="6"/>
      <c r="I3" s="6"/>
      <c r="J3" s="104"/>
      <c r="K3" s="6"/>
      <c r="L3" s="6"/>
      <c r="M3" s="104"/>
      <c r="N3" s="148"/>
      <c r="O3" s="148"/>
      <c r="P3" s="447" t="s">
        <v>62</v>
      </c>
      <c r="Q3" s="447"/>
      <c r="R3" s="447"/>
      <c r="T3" s="12"/>
      <c r="U3" s="12"/>
      <c r="V3" s="12"/>
    </row>
    <row r="4" spans="1:22" ht="26.25">
      <c r="A4" s="6"/>
      <c r="B4" s="6"/>
      <c r="C4" s="6"/>
      <c r="D4" s="6"/>
      <c r="E4" s="6"/>
      <c r="F4" s="6"/>
      <c r="G4" s="104"/>
      <c r="H4" s="6"/>
      <c r="I4" s="6"/>
      <c r="J4" s="104"/>
      <c r="K4" s="6"/>
      <c r="L4" s="6"/>
      <c r="M4" s="104"/>
      <c r="N4" s="148"/>
      <c r="O4" s="148"/>
      <c r="P4" s="447" t="s">
        <v>142</v>
      </c>
      <c r="Q4" s="447"/>
      <c r="R4" s="447"/>
      <c r="T4" s="12"/>
      <c r="U4" s="12"/>
      <c r="V4" s="12"/>
    </row>
    <row r="5" spans="1:22" ht="9.75" customHeight="1">
      <c r="A5" s="6"/>
      <c r="B5" s="6"/>
      <c r="C5" s="6"/>
      <c r="D5" s="6"/>
      <c r="E5" s="6"/>
      <c r="F5" s="6"/>
      <c r="G5" s="104"/>
      <c r="H5" s="6"/>
      <c r="I5" s="6"/>
      <c r="J5" s="104"/>
      <c r="K5" s="6"/>
      <c r="L5" s="6"/>
      <c r="M5" s="104"/>
      <c r="N5" s="148"/>
      <c r="O5" s="148"/>
      <c r="P5" s="111"/>
      <c r="Q5" s="149"/>
      <c r="R5" s="111"/>
      <c r="T5" s="12"/>
      <c r="U5" s="12"/>
      <c r="V5" s="12"/>
    </row>
    <row r="6" spans="1:22" ht="57.75" customHeight="1">
      <c r="A6" s="476" t="s">
        <v>103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T6" s="12"/>
      <c r="U6" s="12"/>
      <c r="V6" s="12"/>
    </row>
    <row r="7" spans="1:22" ht="20.25" customHeight="1">
      <c r="A7" s="448" t="s">
        <v>104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T7" s="12"/>
      <c r="U7" s="12"/>
      <c r="V7" s="12"/>
    </row>
    <row r="8" spans="1:22" ht="30.75" customHeight="1">
      <c r="A8" s="494" t="s">
        <v>15</v>
      </c>
      <c r="B8" s="485" t="s">
        <v>0</v>
      </c>
      <c r="C8" s="486"/>
      <c r="D8" s="487"/>
      <c r="E8" s="427" t="s">
        <v>1</v>
      </c>
      <c r="F8" s="428"/>
      <c r="G8" s="429"/>
      <c r="H8" s="427" t="s">
        <v>3</v>
      </c>
      <c r="I8" s="428"/>
      <c r="J8" s="429"/>
      <c r="K8" s="427" t="s">
        <v>4</v>
      </c>
      <c r="L8" s="428"/>
      <c r="M8" s="429"/>
      <c r="N8" s="427" t="s">
        <v>6</v>
      </c>
      <c r="O8" s="428"/>
      <c r="P8" s="429"/>
      <c r="Q8" s="427" t="s">
        <v>7</v>
      </c>
      <c r="R8" s="429"/>
      <c r="U8" s="12"/>
      <c r="V8" s="12"/>
    </row>
    <row r="9" spans="1:22" ht="33" customHeight="1">
      <c r="A9" s="495"/>
      <c r="B9" s="488"/>
      <c r="C9" s="489"/>
      <c r="D9" s="490"/>
      <c r="E9" s="303"/>
      <c r="F9" s="303" t="s">
        <v>2</v>
      </c>
      <c r="G9" s="105" t="s">
        <v>5</v>
      </c>
      <c r="H9" s="303"/>
      <c r="I9" s="302" t="s">
        <v>2</v>
      </c>
      <c r="J9" s="105" t="s">
        <v>5</v>
      </c>
      <c r="K9" s="303"/>
      <c r="L9" s="303" t="s">
        <v>2</v>
      </c>
      <c r="M9" s="105" t="s">
        <v>5</v>
      </c>
      <c r="N9" s="303" t="s">
        <v>2</v>
      </c>
      <c r="O9" s="303" t="s">
        <v>2</v>
      </c>
      <c r="P9" s="105" t="s">
        <v>5</v>
      </c>
      <c r="Q9" s="303" t="s">
        <v>2</v>
      </c>
      <c r="R9" s="105" t="s">
        <v>5</v>
      </c>
      <c r="U9" s="12"/>
      <c r="V9" s="12"/>
    </row>
    <row r="10" spans="1:22" s="97" customFormat="1" ht="30" customHeight="1">
      <c r="A10" s="99">
        <v>1</v>
      </c>
      <c r="B10" s="402" t="s">
        <v>33</v>
      </c>
      <c r="C10" s="561"/>
      <c r="D10" s="562"/>
      <c r="E10" s="91">
        <v>22.6</v>
      </c>
      <c r="F10" s="221">
        <v>15</v>
      </c>
      <c r="G10" s="222">
        <f>F10*F47</f>
        <v>84646.04999999999</v>
      </c>
      <c r="H10" s="93">
        <v>7.9</v>
      </c>
      <c r="I10" s="223">
        <v>7</v>
      </c>
      <c r="J10" s="222">
        <f>I10*F47</f>
        <v>39501.49</v>
      </c>
      <c r="K10" s="93">
        <v>2.9</v>
      </c>
      <c r="L10" s="223">
        <v>1</v>
      </c>
      <c r="M10" s="222">
        <f>L10*G47</f>
        <v>5708.08</v>
      </c>
      <c r="N10" s="93">
        <v>20.6</v>
      </c>
      <c r="O10" s="223">
        <v>17</v>
      </c>
      <c r="P10" s="222">
        <f>O10*G47</f>
        <v>97037.36</v>
      </c>
      <c r="Q10" s="93">
        <f aca="true" t="shared" si="0" ref="Q10:R23">F10+I10+L10+O10</f>
        <v>40</v>
      </c>
      <c r="R10" s="222">
        <f t="shared" si="0"/>
        <v>226892.97999999998</v>
      </c>
      <c r="S10" s="94" t="s">
        <v>78</v>
      </c>
      <c r="T10" s="100"/>
      <c r="U10" s="96"/>
      <c r="V10" s="95"/>
    </row>
    <row r="11" spans="1:22" s="97" customFormat="1" ht="30" customHeight="1">
      <c r="A11" s="99">
        <v>2</v>
      </c>
      <c r="B11" s="402" t="s">
        <v>41</v>
      </c>
      <c r="C11" s="561"/>
      <c r="D11" s="562"/>
      <c r="E11" s="91"/>
      <c r="F11" s="221">
        <f>F12+F13+F14+F15+F16+F17</f>
        <v>2553.46</v>
      </c>
      <c r="G11" s="222">
        <v>14409353.53</v>
      </c>
      <c r="H11" s="93"/>
      <c r="I11" s="223">
        <f>I12+I13+I14+I15+I16+I17</f>
        <v>1034.0700000000002</v>
      </c>
      <c r="J11" s="222">
        <v>5835329.41</v>
      </c>
      <c r="K11" s="93"/>
      <c r="L11" s="223">
        <f>L12+L13+L14+L15+L16+L17</f>
        <v>283.974</v>
      </c>
      <c r="M11" s="222">
        <f>M12+M13+M14+M15+M16+M17</f>
        <v>1620946.3099199997</v>
      </c>
      <c r="N11" s="93"/>
      <c r="O11" s="223">
        <f>O12+O13+O14+O15+O16+O17</f>
        <v>2193.691</v>
      </c>
      <c r="P11" s="222">
        <v>12521763.73</v>
      </c>
      <c r="Q11" s="93">
        <f>Q12+Q13+Q14+Q15+Q16+Q17</f>
        <v>6065.1900000000005</v>
      </c>
      <c r="R11" s="222">
        <f>R12+R13+R14+R15+R16+R17</f>
        <v>34387392.9783</v>
      </c>
      <c r="S11" s="94"/>
      <c r="T11" s="100"/>
      <c r="U11" s="96"/>
      <c r="V11" s="95"/>
    </row>
    <row r="12" spans="1:21" s="18" customFormat="1" ht="29.25" customHeight="1">
      <c r="A12" s="90"/>
      <c r="B12" s="399" t="s">
        <v>34</v>
      </c>
      <c r="C12" s="474"/>
      <c r="D12" s="475"/>
      <c r="E12" s="15">
        <v>968.6</v>
      </c>
      <c r="F12" s="224">
        <v>450</v>
      </c>
      <c r="G12" s="225">
        <f>F12*F47</f>
        <v>2539381.5</v>
      </c>
      <c r="H12" s="226">
        <v>347.1</v>
      </c>
      <c r="I12" s="227">
        <v>210</v>
      </c>
      <c r="J12" s="225">
        <f>I12*F47</f>
        <v>1185044.7</v>
      </c>
      <c r="K12" s="226">
        <v>138.9</v>
      </c>
      <c r="L12" s="227">
        <v>50</v>
      </c>
      <c r="M12" s="225">
        <f>L12*G47</f>
        <v>285404</v>
      </c>
      <c r="N12" s="226">
        <v>879.1</v>
      </c>
      <c r="O12" s="227">
        <v>290</v>
      </c>
      <c r="P12" s="225">
        <f>O12*G47</f>
        <v>1655343.2</v>
      </c>
      <c r="Q12" s="226">
        <f t="shared" si="0"/>
        <v>1000</v>
      </c>
      <c r="R12" s="225">
        <f t="shared" si="0"/>
        <v>5665173.4</v>
      </c>
      <c r="S12" s="67" t="s">
        <v>78</v>
      </c>
      <c r="T12" s="17"/>
      <c r="U12" s="17"/>
    </row>
    <row r="13" spans="1:22" ht="30" customHeight="1">
      <c r="A13" s="7"/>
      <c r="B13" s="399" t="s">
        <v>35</v>
      </c>
      <c r="C13" s="474"/>
      <c r="D13" s="475"/>
      <c r="E13" s="15">
        <v>275.5</v>
      </c>
      <c r="F13" s="224">
        <v>260.8</v>
      </c>
      <c r="G13" s="330">
        <f>F13*F47</f>
        <v>1471712.656</v>
      </c>
      <c r="H13" s="226">
        <v>101.3</v>
      </c>
      <c r="I13" s="227">
        <v>82.4</v>
      </c>
      <c r="J13" s="225">
        <f>I13*F47</f>
        <v>464988.968</v>
      </c>
      <c r="K13" s="226">
        <v>40.3</v>
      </c>
      <c r="L13" s="227">
        <v>24.8</v>
      </c>
      <c r="M13" s="225">
        <f>L13*G47</f>
        <v>141560.384</v>
      </c>
      <c r="N13" s="226">
        <v>245.5</v>
      </c>
      <c r="O13" s="227">
        <v>214.4</v>
      </c>
      <c r="P13" s="225">
        <f>O13*G47</f>
        <v>1223812.352</v>
      </c>
      <c r="Q13" s="226">
        <f t="shared" si="0"/>
        <v>582.4000000000001</v>
      </c>
      <c r="R13" s="225">
        <f t="shared" si="0"/>
        <v>3302074.36</v>
      </c>
      <c r="S13" s="67"/>
      <c r="T13" s="13"/>
      <c r="U13" s="11"/>
      <c r="V13" s="12"/>
    </row>
    <row r="14" spans="1:22" ht="29.25" customHeight="1">
      <c r="A14" s="7"/>
      <c r="B14" s="399" t="s">
        <v>36</v>
      </c>
      <c r="C14" s="474"/>
      <c r="D14" s="475"/>
      <c r="E14" s="15">
        <v>1020.1</v>
      </c>
      <c r="F14" s="224">
        <v>874.5</v>
      </c>
      <c r="G14" s="225">
        <f>F14*F47</f>
        <v>4934864.715</v>
      </c>
      <c r="H14" s="226">
        <v>343</v>
      </c>
      <c r="I14" s="227">
        <v>313.8</v>
      </c>
      <c r="J14" s="225">
        <f>I14*F47</f>
        <v>1770795.366</v>
      </c>
      <c r="K14" s="226">
        <v>122.2</v>
      </c>
      <c r="L14" s="227">
        <v>95.1</v>
      </c>
      <c r="M14" s="225">
        <f>L14*G47</f>
        <v>542838.4079999999</v>
      </c>
      <c r="N14" s="226">
        <v>920.9</v>
      </c>
      <c r="O14" s="227">
        <v>816.6</v>
      </c>
      <c r="P14" s="225">
        <f>O14*G47</f>
        <v>4661218.1280000005</v>
      </c>
      <c r="Q14" s="226">
        <f t="shared" si="0"/>
        <v>2100</v>
      </c>
      <c r="R14" s="225">
        <v>11909716.63</v>
      </c>
      <c r="S14" s="67" t="s">
        <v>78</v>
      </c>
      <c r="T14" s="13"/>
      <c r="U14" s="11"/>
      <c r="V14" s="12"/>
    </row>
    <row r="15" spans="1:22" ht="30.75" customHeight="1">
      <c r="A15" s="19"/>
      <c r="B15" s="399" t="s">
        <v>37</v>
      </c>
      <c r="C15" s="474"/>
      <c r="D15" s="475"/>
      <c r="E15" s="8">
        <v>186.3</v>
      </c>
      <c r="F15" s="224">
        <v>215.9</v>
      </c>
      <c r="G15" s="225">
        <f>F15*F47</f>
        <v>1218338.813</v>
      </c>
      <c r="H15" s="226">
        <v>55.3</v>
      </c>
      <c r="I15" s="227">
        <v>74.5</v>
      </c>
      <c r="J15" s="225">
        <f>I15*F47</f>
        <v>420408.71499999997</v>
      </c>
      <c r="K15" s="226">
        <v>2.8</v>
      </c>
      <c r="L15" s="227">
        <v>24.7</v>
      </c>
      <c r="M15" s="225">
        <f>L15*G47</f>
        <v>140989.576</v>
      </c>
      <c r="N15" s="226">
        <v>158.5</v>
      </c>
      <c r="O15" s="227">
        <v>181.1</v>
      </c>
      <c r="P15" s="225">
        <f>O15*G47</f>
        <v>1033733.288</v>
      </c>
      <c r="Q15" s="226">
        <f t="shared" si="0"/>
        <v>496.19999999999993</v>
      </c>
      <c r="R15" s="225">
        <v>2813470.4</v>
      </c>
      <c r="S15" s="67"/>
      <c r="T15" s="13"/>
      <c r="U15" s="11"/>
      <c r="V15" s="12"/>
    </row>
    <row r="16" spans="1:22" ht="28.5" customHeight="1">
      <c r="A16" s="19"/>
      <c r="B16" s="399" t="s">
        <v>38</v>
      </c>
      <c r="C16" s="474"/>
      <c r="D16" s="475"/>
      <c r="E16" s="8">
        <v>619</v>
      </c>
      <c r="F16" s="224">
        <v>550.4</v>
      </c>
      <c r="G16" s="225">
        <f>F16*F47</f>
        <v>3105945.7279999997</v>
      </c>
      <c r="H16" s="226">
        <v>532.4</v>
      </c>
      <c r="I16" s="227">
        <v>193.1</v>
      </c>
      <c r="J16" s="225">
        <f>I16*F47</f>
        <v>1089676.8169999998</v>
      </c>
      <c r="K16" s="226">
        <v>142.3</v>
      </c>
      <c r="L16" s="227">
        <v>65</v>
      </c>
      <c r="M16" s="225">
        <f>L16*G47</f>
        <v>371025.2</v>
      </c>
      <c r="N16" s="226">
        <v>646.5</v>
      </c>
      <c r="O16" s="227">
        <v>463.1</v>
      </c>
      <c r="P16" s="225">
        <f>O16*G47</f>
        <v>2643411.848</v>
      </c>
      <c r="Q16" s="226">
        <f t="shared" si="0"/>
        <v>1271.6</v>
      </c>
      <c r="R16" s="225">
        <v>7210059.6</v>
      </c>
      <c r="S16" s="67"/>
      <c r="T16" s="13"/>
      <c r="U16" s="11"/>
      <c r="V16" s="12"/>
    </row>
    <row r="17" spans="1:22" ht="45" customHeight="1">
      <c r="A17" s="19"/>
      <c r="B17" s="399" t="s">
        <v>39</v>
      </c>
      <c r="C17" s="474"/>
      <c r="D17" s="475"/>
      <c r="E17" s="8">
        <v>277.52</v>
      </c>
      <c r="F17" s="228">
        <v>201.86</v>
      </c>
      <c r="G17" s="225">
        <f>F17*F47</f>
        <v>1139110.1102</v>
      </c>
      <c r="H17" s="226">
        <v>129</v>
      </c>
      <c r="I17" s="229">
        <v>160.27</v>
      </c>
      <c r="J17" s="225">
        <f>I17*F47</f>
        <v>904414.8289</v>
      </c>
      <c r="K17" s="226">
        <v>7.2</v>
      </c>
      <c r="L17" s="229">
        <v>24.374</v>
      </c>
      <c r="M17" s="225">
        <f>L17*G47</f>
        <v>139128.74192</v>
      </c>
      <c r="N17" s="226">
        <v>182.6</v>
      </c>
      <c r="O17" s="229">
        <v>228.491</v>
      </c>
      <c r="P17" s="225">
        <f>O17*G47</f>
        <v>1304244.9072800002</v>
      </c>
      <c r="Q17" s="226">
        <v>614.99</v>
      </c>
      <c r="R17" s="225">
        <f t="shared" si="0"/>
        <v>3486898.5883</v>
      </c>
      <c r="S17" s="68" t="s">
        <v>78</v>
      </c>
      <c r="T17" s="13"/>
      <c r="U17" s="11"/>
      <c r="V17" s="12"/>
    </row>
    <row r="18" spans="1:22" s="97" customFormat="1" ht="30.75" customHeight="1">
      <c r="A18" s="99">
        <v>3</v>
      </c>
      <c r="B18" s="402" t="s">
        <v>42</v>
      </c>
      <c r="C18" s="561"/>
      <c r="D18" s="562"/>
      <c r="E18" s="98"/>
      <c r="F18" s="310">
        <f>SUM(F19:F22)</f>
        <v>268.27</v>
      </c>
      <c r="G18" s="222">
        <f>SUM(G19:G22)</f>
        <v>1513866.3889</v>
      </c>
      <c r="H18" s="93">
        <f>SUM(H21:H22)</f>
        <v>0</v>
      </c>
      <c r="I18" s="312">
        <f aca="true" t="shared" si="1" ref="I18:O18">SUM(I19:I22)</f>
        <v>115.22999999999999</v>
      </c>
      <c r="J18" s="222">
        <f t="shared" si="1"/>
        <v>650250.9561</v>
      </c>
      <c r="K18" s="93">
        <f t="shared" si="1"/>
        <v>0</v>
      </c>
      <c r="L18" s="312">
        <f t="shared" si="1"/>
        <v>47.71000000000001</v>
      </c>
      <c r="M18" s="222">
        <v>272332.49</v>
      </c>
      <c r="N18" s="93">
        <f t="shared" si="1"/>
        <v>0</v>
      </c>
      <c r="O18" s="312">
        <f t="shared" si="1"/>
        <v>237.44000000000003</v>
      </c>
      <c r="P18" s="222">
        <v>1355326.51</v>
      </c>
      <c r="Q18" s="323">
        <f>F18+I18+L18+O18</f>
        <v>668.6500000000001</v>
      </c>
      <c r="R18" s="222">
        <f t="shared" si="0"/>
        <v>3791776.3449999997</v>
      </c>
      <c r="S18" s="94"/>
      <c r="T18" s="100"/>
      <c r="U18" s="96"/>
      <c r="V18" s="95"/>
    </row>
    <row r="19" spans="1:22" s="97" customFormat="1" ht="30.75" customHeight="1">
      <c r="A19" s="99"/>
      <c r="B19" s="453" t="s">
        <v>131</v>
      </c>
      <c r="C19" s="416"/>
      <c r="D19" s="417"/>
      <c r="E19" s="98"/>
      <c r="F19" s="376">
        <v>171.97</v>
      </c>
      <c r="G19" s="305">
        <f>F19*F47</f>
        <v>970438.7479</v>
      </c>
      <c r="H19" s="93"/>
      <c r="I19" s="378">
        <v>59.55</v>
      </c>
      <c r="J19" s="305">
        <f>I19*F47</f>
        <v>336044.8185</v>
      </c>
      <c r="K19" s="93"/>
      <c r="L19" s="378">
        <v>10.18</v>
      </c>
      <c r="M19" s="305">
        <f>L19*G47</f>
        <v>58108.2544</v>
      </c>
      <c r="N19" s="93"/>
      <c r="O19" s="378">
        <v>149.57</v>
      </c>
      <c r="P19" s="305">
        <f>O19*G47</f>
        <v>853757.5255999999</v>
      </c>
      <c r="Q19" s="385">
        <f>F19+I19+L19+O19</f>
        <v>391.27</v>
      </c>
      <c r="R19" s="305">
        <f>G19+J19+M19+P19</f>
        <v>2218349.3463999997</v>
      </c>
      <c r="S19" s="94"/>
      <c r="T19" s="100"/>
      <c r="U19" s="96"/>
      <c r="V19" s="95"/>
    </row>
    <row r="20" spans="1:22" s="97" customFormat="1" ht="30.75" customHeight="1">
      <c r="A20" s="99"/>
      <c r="B20" s="453" t="s">
        <v>132</v>
      </c>
      <c r="C20" s="416"/>
      <c r="D20" s="417"/>
      <c r="E20" s="98"/>
      <c r="F20" s="376">
        <v>16.67</v>
      </c>
      <c r="G20" s="305">
        <f>F20*F47</f>
        <v>94069.97690000001</v>
      </c>
      <c r="H20" s="93"/>
      <c r="I20" s="378">
        <v>16.67</v>
      </c>
      <c r="J20" s="305">
        <f>I20*F47</f>
        <v>94069.97690000001</v>
      </c>
      <c r="K20" s="93"/>
      <c r="L20" s="378">
        <v>16.67</v>
      </c>
      <c r="M20" s="305">
        <f>L20*G47</f>
        <v>95153.69360000001</v>
      </c>
      <c r="N20" s="93"/>
      <c r="O20" s="378">
        <v>16.67</v>
      </c>
      <c r="P20" s="305">
        <f>O20*G47</f>
        <v>95153.69360000001</v>
      </c>
      <c r="Q20" s="385">
        <f>F20+I20+L20+O20</f>
        <v>66.68</v>
      </c>
      <c r="R20" s="305">
        <f>G20+J20+M20+P20</f>
        <v>378447.341</v>
      </c>
      <c r="S20" s="94"/>
      <c r="T20" s="100"/>
      <c r="U20" s="96"/>
      <c r="V20" s="95"/>
    </row>
    <row r="21" spans="1:22" s="97" customFormat="1" ht="30.75" customHeight="1">
      <c r="A21" s="99"/>
      <c r="B21" s="405" t="s">
        <v>136</v>
      </c>
      <c r="C21" s="416"/>
      <c r="D21" s="417"/>
      <c r="E21" s="276"/>
      <c r="F21" s="311">
        <v>17.02</v>
      </c>
      <c r="G21" s="316">
        <f>F21*F47</f>
        <v>96045.0514</v>
      </c>
      <c r="H21" s="262"/>
      <c r="I21" s="313">
        <v>17.02</v>
      </c>
      <c r="J21" s="316">
        <f>I21*F47</f>
        <v>96045.0514</v>
      </c>
      <c r="K21" s="262"/>
      <c r="L21" s="313">
        <v>17.02</v>
      </c>
      <c r="M21" s="316">
        <f>L21*G47</f>
        <v>97151.5216</v>
      </c>
      <c r="N21" s="262"/>
      <c r="O21" s="313">
        <v>17.02</v>
      </c>
      <c r="P21" s="316">
        <f>O21*G47</f>
        <v>97151.5216</v>
      </c>
      <c r="Q21" s="321">
        <f t="shared" si="0"/>
        <v>68.08</v>
      </c>
      <c r="R21" s="316">
        <v>386393.14</v>
      </c>
      <c r="S21" s="94"/>
      <c r="T21" s="100"/>
      <c r="U21" s="96"/>
      <c r="V21" s="95"/>
    </row>
    <row r="22" spans="1:22" s="97" customFormat="1" ht="23.25" customHeight="1">
      <c r="A22" s="99"/>
      <c r="B22" s="405" t="s">
        <v>137</v>
      </c>
      <c r="C22" s="416"/>
      <c r="D22" s="417"/>
      <c r="E22" s="276"/>
      <c r="F22" s="311">
        <v>62.61</v>
      </c>
      <c r="G22" s="316">
        <f>F22*F47</f>
        <v>353312.6127</v>
      </c>
      <c r="H22" s="262"/>
      <c r="I22" s="313">
        <v>21.99</v>
      </c>
      <c r="J22" s="316">
        <f>I22*F47</f>
        <v>124091.10929999998</v>
      </c>
      <c r="K22" s="262"/>
      <c r="L22" s="313">
        <v>3.84</v>
      </c>
      <c r="M22" s="316">
        <f>L22*G47</f>
        <v>21919.0272</v>
      </c>
      <c r="N22" s="262"/>
      <c r="O22" s="313">
        <v>54.18</v>
      </c>
      <c r="P22" s="316">
        <f>O22*G47</f>
        <v>309263.7744</v>
      </c>
      <c r="Q22" s="321">
        <f t="shared" si="0"/>
        <v>142.62</v>
      </c>
      <c r="R22" s="316">
        <f t="shared" si="0"/>
        <v>808586.5236</v>
      </c>
      <c r="S22" s="94"/>
      <c r="T22" s="100"/>
      <c r="U22" s="96"/>
      <c r="V22" s="95"/>
    </row>
    <row r="23" spans="1:22" s="97" customFormat="1" ht="39" customHeight="1">
      <c r="A23" s="99">
        <v>4</v>
      </c>
      <c r="B23" s="402" t="s">
        <v>43</v>
      </c>
      <c r="C23" s="561"/>
      <c r="D23" s="562"/>
      <c r="E23" s="98"/>
      <c r="F23" s="221">
        <f>SUM(F24:F27)</f>
        <v>776.3199999999999</v>
      </c>
      <c r="G23" s="222">
        <v>2052401</v>
      </c>
      <c r="H23" s="93">
        <f aca="true" t="shared" si="2" ref="H23:O23">SUM(H24:H27)</f>
        <v>0</v>
      </c>
      <c r="I23" s="223">
        <f t="shared" si="2"/>
        <v>750.42</v>
      </c>
      <c r="J23" s="222">
        <f t="shared" si="2"/>
        <v>1906245.477</v>
      </c>
      <c r="K23" s="93">
        <f t="shared" si="2"/>
        <v>0</v>
      </c>
      <c r="L23" s="223">
        <f t="shared" si="2"/>
        <v>741.8199999999999</v>
      </c>
      <c r="M23" s="222">
        <v>1931380.82</v>
      </c>
      <c r="N23" s="93">
        <f t="shared" si="2"/>
        <v>0</v>
      </c>
      <c r="O23" s="223">
        <f t="shared" si="2"/>
        <v>769.8199999999999</v>
      </c>
      <c r="P23" s="222">
        <v>2091207.06</v>
      </c>
      <c r="Q23" s="93">
        <f t="shared" si="0"/>
        <v>3038.379999999999</v>
      </c>
      <c r="R23" s="222">
        <f t="shared" si="0"/>
        <v>7981234.357000001</v>
      </c>
      <c r="S23" s="94"/>
      <c r="T23" s="96"/>
      <c r="U23" s="96"/>
      <c r="V23" s="95"/>
    </row>
    <row r="24" spans="1:22" ht="36" customHeight="1">
      <c r="A24" s="19"/>
      <c r="B24" s="399" t="s">
        <v>44</v>
      </c>
      <c r="C24" s="474"/>
      <c r="D24" s="475"/>
      <c r="E24" s="8"/>
      <c r="F24" s="224">
        <v>38.5</v>
      </c>
      <c r="G24" s="225">
        <f>F24*F47</f>
        <v>217258.19499999998</v>
      </c>
      <c r="H24" s="226"/>
      <c r="I24" s="227">
        <v>12.6</v>
      </c>
      <c r="J24" s="225">
        <f>I24*F47</f>
        <v>71102.682</v>
      </c>
      <c r="K24" s="226"/>
      <c r="L24" s="227">
        <v>4</v>
      </c>
      <c r="M24" s="225">
        <f>L24*G47</f>
        <v>22832.32</v>
      </c>
      <c r="N24" s="226"/>
      <c r="O24" s="227">
        <v>32</v>
      </c>
      <c r="P24" s="225">
        <f>O24*G47</f>
        <v>182658.56</v>
      </c>
      <c r="Q24" s="226">
        <f aca="true" t="shared" si="3" ref="Q24:R27">F24+I24+L24+O24</f>
        <v>87.1</v>
      </c>
      <c r="R24" s="225">
        <f t="shared" si="3"/>
        <v>493851.757</v>
      </c>
      <c r="S24" s="67" t="s">
        <v>79</v>
      </c>
      <c r="T24" s="11"/>
      <c r="U24" s="11"/>
      <c r="V24" s="12"/>
    </row>
    <row r="25" spans="1:22" ht="36" customHeight="1" hidden="1">
      <c r="A25" s="19"/>
      <c r="B25" s="399" t="s">
        <v>45</v>
      </c>
      <c r="C25" s="474"/>
      <c r="D25" s="475"/>
      <c r="E25" s="8"/>
      <c r="F25" s="224"/>
      <c r="G25" s="225">
        <f>F25*F47</f>
        <v>0</v>
      </c>
      <c r="H25" s="226"/>
      <c r="I25" s="227"/>
      <c r="J25" s="225">
        <f>I25*F47</f>
        <v>0</v>
      </c>
      <c r="K25" s="226"/>
      <c r="L25" s="227"/>
      <c r="M25" s="225">
        <f>L25*G47</f>
        <v>0</v>
      </c>
      <c r="N25" s="226"/>
      <c r="O25" s="227"/>
      <c r="P25" s="225">
        <f>O25*G47</f>
        <v>0</v>
      </c>
      <c r="Q25" s="226">
        <f t="shared" si="3"/>
        <v>0</v>
      </c>
      <c r="R25" s="225">
        <f t="shared" si="3"/>
        <v>0</v>
      </c>
      <c r="S25" s="67"/>
      <c r="T25" s="11"/>
      <c r="U25" s="11"/>
      <c r="V25" s="12"/>
    </row>
    <row r="26" spans="1:22" ht="36" customHeight="1">
      <c r="A26" s="19"/>
      <c r="B26" s="405" t="s">
        <v>133</v>
      </c>
      <c r="C26" s="400"/>
      <c r="D26" s="401"/>
      <c r="E26" s="8"/>
      <c r="F26" s="266">
        <v>43.68</v>
      </c>
      <c r="G26" s="225">
        <f>F26*I47</f>
        <v>108643.08</v>
      </c>
      <c r="H26" s="226"/>
      <c r="I26" s="269">
        <v>43.68</v>
      </c>
      <c r="J26" s="225">
        <f>I26*I47</f>
        <v>108643.08</v>
      </c>
      <c r="K26" s="226"/>
      <c r="L26" s="269">
        <v>43.68</v>
      </c>
      <c r="M26" s="225">
        <f>L26*J47</f>
        <v>112988.8032</v>
      </c>
      <c r="N26" s="226"/>
      <c r="O26" s="269">
        <v>43.68</v>
      </c>
      <c r="P26" s="225">
        <f>O26*J47</f>
        <v>112988.8032</v>
      </c>
      <c r="Q26" s="226">
        <f t="shared" si="3"/>
        <v>174.72</v>
      </c>
      <c r="R26" s="225">
        <v>443263.76</v>
      </c>
      <c r="S26" s="67"/>
      <c r="T26" s="11"/>
      <c r="U26" s="11"/>
      <c r="V26" s="12"/>
    </row>
    <row r="27" spans="1:22" ht="36" customHeight="1">
      <c r="A27" s="19"/>
      <c r="B27" s="405" t="s">
        <v>134</v>
      </c>
      <c r="C27" s="400"/>
      <c r="D27" s="401"/>
      <c r="E27" s="8"/>
      <c r="F27" s="266">
        <v>694.14</v>
      </c>
      <c r="G27" s="225">
        <f>F27*I47</f>
        <v>1726499.7149999999</v>
      </c>
      <c r="H27" s="226"/>
      <c r="I27" s="269">
        <v>694.14</v>
      </c>
      <c r="J27" s="225">
        <f>I27*I47</f>
        <v>1726499.7149999999</v>
      </c>
      <c r="K27" s="226"/>
      <c r="L27" s="269">
        <v>694.14</v>
      </c>
      <c r="M27" s="225">
        <f>L27*J47</f>
        <v>1795559.7036</v>
      </c>
      <c r="N27" s="226"/>
      <c r="O27" s="269">
        <v>694.14</v>
      </c>
      <c r="P27" s="225">
        <f>O27*J47</f>
        <v>1795559.7036</v>
      </c>
      <c r="Q27" s="226">
        <f t="shared" si="3"/>
        <v>2776.56</v>
      </c>
      <c r="R27" s="225">
        <f t="shared" si="3"/>
        <v>7044118.837199999</v>
      </c>
      <c r="S27" s="67"/>
      <c r="T27" s="11"/>
      <c r="U27" s="11"/>
      <c r="V27" s="12"/>
    </row>
    <row r="28" spans="1:22" s="97" customFormat="1" ht="41.25" customHeight="1">
      <c r="A28" s="99">
        <v>5</v>
      </c>
      <c r="B28" s="402" t="s">
        <v>47</v>
      </c>
      <c r="C28" s="561"/>
      <c r="D28" s="562"/>
      <c r="E28" s="98"/>
      <c r="F28" s="221">
        <f>F29+F30+F31+F32</f>
        <v>587.9200000000001</v>
      </c>
      <c r="G28" s="222">
        <f>F28*F47</f>
        <v>3317673.7144000004</v>
      </c>
      <c r="H28" s="93"/>
      <c r="I28" s="223">
        <f>I29+I30+I31+I32</f>
        <v>259.69</v>
      </c>
      <c r="J28" s="222">
        <f>J29+J30+J31+J32</f>
        <v>1465448.8483000002</v>
      </c>
      <c r="K28" s="93"/>
      <c r="L28" s="223">
        <f>L29+L30+L31+L32</f>
        <v>134.26</v>
      </c>
      <c r="M28" s="222">
        <f>M29+M30+M31+M32</f>
        <v>766366.8208</v>
      </c>
      <c r="N28" s="93"/>
      <c r="O28" s="223">
        <f>O29+O30+O31+O32</f>
        <v>440.49</v>
      </c>
      <c r="P28" s="222">
        <f>P29+P30+P31+P32</f>
        <v>2514352.1591999996</v>
      </c>
      <c r="Q28" s="93">
        <f>Q29+Q30+Q31+Q32</f>
        <v>1422.3600000000001</v>
      </c>
      <c r="R28" s="222">
        <f>R29+R30+R31+R32</f>
        <v>8063841.542699999</v>
      </c>
      <c r="S28" s="94"/>
      <c r="T28" s="96"/>
      <c r="U28" s="96"/>
      <c r="V28" s="95"/>
    </row>
    <row r="29" spans="1:22" ht="31.5" customHeight="1">
      <c r="A29" s="19"/>
      <c r="B29" s="399" t="s">
        <v>48</v>
      </c>
      <c r="C29" s="474"/>
      <c r="D29" s="475"/>
      <c r="E29" s="8"/>
      <c r="F29" s="224">
        <v>12.43</v>
      </c>
      <c r="G29" s="225">
        <f>F29*F47</f>
        <v>70143.36009999999</v>
      </c>
      <c r="H29" s="226"/>
      <c r="I29" s="227">
        <v>12.43</v>
      </c>
      <c r="J29" s="225">
        <f>I29*F47</f>
        <v>70143.36009999999</v>
      </c>
      <c r="K29" s="226"/>
      <c r="L29" s="227">
        <v>12.43</v>
      </c>
      <c r="M29" s="225">
        <f>L29*G47</f>
        <v>70951.4344</v>
      </c>
      <c r="N29" s="226"/>
      <c r="O29" s="227">
        <v>12.43</v>
      </c>
      <c r="P29" s="225">
        <f>O29*G47</f>
        <v>70951.4344</v>
      </c>
      <c r="Q29" s="226">
        <f aca="true" t="shared" si="4" ref="Q29:R31">F29+I29+L29+O29</f>
        <v>49.72</v>
      </c>
      <c r="R29" s="225">
        <f t="shared" si="4"/>
        <v>282189.589</v>
      </c>
      <c r="S29" s="67"/>
      <c r="T29" s="11"/>
      <c r="U29" s="11"/>
      <c r="V29" s="12"/>
    </row>
    <row r="30" spans="1:22" ht="33" customHeight="1">
      <c r="A30" s="19"/>
      <c r="B30" s="399" t="s">
        <v>49</v>
      </c>
      <c r="C30" s="474"/>
      <c r="D30" s="475"/>
      <c r="E30" s="8"/>
      <c r="F30" s="224">
        <v>380.5</v>
      </c>
      <c r="G30" s="225">
        <f>F30*F47</f>
        <v>2147188.135</v>
      </c>
      <c r="H30" s="226"/>
      <c r="I30" s="227">
        <v>126.2</v>
      </c>
      <c r="J30" s="225">
        <f>I30*F47</f>
        <v>712155.434</v>
      </c>
      <c r="K30" s="226"/>
      <c r="L30" s="227">
        <v>26.22</v>
      </c>
      <c r="M30" s="225">
        <f>L30*G47</f>
        <v>149665.8576</v>
      </c>
      <c r="N30" s="226"/>
      <c r="O30" s="227">
        <v>256.07</v>
      </c>
      <c r="P30" s="225">
        <f>O30*G47</f>
        <v>1461668.0455999998</v>
      </c>
      <c r="Q30" s="226">
        <f t="shared" si="4"/>
        <v>788.99</v>
      </c>
      <c r="R30" s="225">
        <f t="shared" si="4"/>
        <v>4470677.4722</v>
      </c>
      <c r="S30" s="67"/>
      <c r="T30" s="11"/>
      <c r="U30" s="11"/>
      <c r="V30" s="12"/>
    </row>
    <row r="31" spans="1:22" ht="39.75" customHeight="1">
      <c r="A31" s="19"/>
      <c r="B31" s="399" t="s">
        <v>50</v>
      </c>
      <c r="C31" s="474"/>
      <c r="D31" s="475"/>
      <c r="E31" s="8"/>
      <c r="F31" s="224">
        <v>91.99</v>
      </c>
      <c r="G31" s="225">
        <f>F31*F47</f>
        <v>519106.0092999999</v>
      </c>
      <c r="H31" s="226"/>
      <c r="I31" s="227">
        <v>91.99</v>
      </c>
      <c r="J31" s="225">
        <f>I31*F47</f>
        <v>519106.0092999999</v>
      </c>
      <c r="K31" s="226"/>
      <c r="L31" s="227">
        <v>91.99</v>
      </c>
      <c r="M31" s="225">
        <f>L31*G47</f>
        <v>525086.2792</v>
      </c>
      <c r="N31" s="226"/>
      <c r="O31" s="227">
        <v>91.99</v>
      </c>
      <c r="P31" s="225">
        <f>O31*G47</f>
        <v>525086.2792</v>
      </c>
      <c r="Q31" s="226">
        <f t="shared" si="4"/>
        <v>367.96</v>
      </c>
      <c r="R31" s="225">
        <f t="shared" si="4"/>
        <v>2088384.5769999998</v>
      </c>
      <c r="S31" s="67"/>
      <c r="T31" s="11"/>
      <c r="U31" s="11"/>
      <c r="V31" s="12"/>
    </row>
    <row r="32" spans="1:22" ht="34.5" customHeight="1">
      <c r="A32" s="19"/>
      <c r="B32" s="399" t="s">
        <v>40</v>
      </c>
      <c r="C32" s="474"/>
      <c r="D32" s="475"/>
      <c r="E32" s="8">
        <v>112.1</v>
      </c>
      <c r="F32" s="224">
        <v>103</v>
      </c>
      <c r="G32" s="225">
        <f>F32*F47</f>
        <v>581236.21</v>
      </c>
      <c r="H32" s="226"/>
      <c r="I32" s="227">
        <v>29.07</v>
      </c>
      <c r="J32" s="225">
        <f>I32*F47</f>
        <v>164044.04489999998</v>
      </c>
      <c r="K32" s="226"/>
      <c r="L32" s="227">
        <v>3.62</v>
      </c>
      <c r="M32" s="225">
        <f>L32*G47</f>
        <v>20663.2496</v>
      </c>
      <c r="N32" s="226"/>
      <c r="O32" s="227">
        <v>80</v>
      </c>
      <c r="P32" s="225">
        <f>O32*G47</f>
        <v>456646.4</v>
      </c>
      <c r="Q32" s="226">
        <f>F32+I32+L32+O32</f>
        <v>215.69</v>
      </c>
      <c r="R32" s="225">
        <f>G32+J32+M32+P32</f>
        <v>1222589.9045</v>
      </c>
      <c r="S32" s="67"/>
      <c r="T32" s="11"/>
      <c r="U32" s="11"/>
      <c r="V32" s="12"/>
    </row>
    <row r="33" spans="1:22" s="97" customFormat="1" ht="28.5" customHeight="1">
      <c r="A33" s="99">
        <v>6</v>
      </c>
      <c r="B33" s="402" t="s">
        <v>53</v>
      </c>
      <c r="C33" s="561"/>
      <c r="D33" s="562"/>
      <c r="E33" s="98"/>
      <c r="F33" s="221">
        <f>F34+F35+F36</f>
        <v>950.4</v>
      </c>
      <c r="G33" s="222">
        <f>SUM(G34:G36)</f>
        <v>5363173.727999999</v>
      </c>
      <c r="H33" s="93"/>
      <c r="I33" s="223">
        <f>I34+I35+I36</f>
        <v>315.2</v>
      </c>
      <c r="J33" s="222">
        <f>J34+J35+J36</f>
        <v>1778695.6639999999</v>
      </c>
      <c r="K33" s="93"/>
      <c r="L33" s="223">
        <f>L34+L35+L36</f>
        <v>96.6</v>
      </c>
      <c r="M33" s="222">
        <f>M34+M35+M36</f>
        <v>551400.5279999999</v>
      </c>
      <c r="N33" s="93"/>
      <c r="O33" s="223">
        <f>O34+O35+O36</f>
        <v>805.8</v>
      </c>
      <c r="P33" s="222">
        <f>P34+P35+P36</f>
        <v>4599570.864</v>
      </c>
      <c r="Q33" s="93">
        <f>Q34+Q35+Q36</f>
        <v>2168</v>
      </c>
      <c r="R33" s="222">
        <f>R34+R35+R36</f>
        <v>12292840.784</v>
      </c>
      <c r="S33" s="94"/>
      <c r="T33" s="96"/>
      <c r="U33" s="96"/>
      <c r="V33" s="95"/>
    </row>
    <row r="34" spans="1:22" ht="42" customHeight="1">
      <c r="A34" s="19"/>
      <c r="B34" s="422" t="s">
        <v>140</v>
      </c>
      <c r="C34" s="423"/>
      <c r="D34" s="424"/>
      <c r="E34" s="8"/>
      <c r="F34" s="224">
        <v>15</v>
      </c>
      <c r="G34" s="225">
        <f>F34*F47</f>
        <v>84646.04999999999</v>
      </c>
      <c r="H34" s="226"/>
      <c r="I34" s="227">
        <v>6</v>
      </c>
      <c r="J34" s="225">
        <f>I34*F47</f>
        <v>33858.42</v>
      </c>
      <c r="K34" s="226"/>
      <c r="L34" s="227">
        <v>1</v>
      </c>
      <c r="M34" s="225">
        <f>L34*G47</f>
        <v>5708.08</v>
      </c>
      <c r="N34" s="226"/>
      <c r="O34" s="227">
        <v>28</v>
      </c>
      <c r="P34" s="225">
        <f>O34*G47</f>
        <v>159826.24</v>
      </c>
      <c r="Q34" s="226">
        <f aca="true" t="shared" si="5" ref="Q34:R43">F34+I34+L34+O34</f>
        <v>50</v>
      </c>
      <c r="R34" s="225">
        <f t="shared" si="5"/>
        <v>284038.79</v>
      </c>
      <c r="S34" s="67"/>
      <c r="T34" s="11"/>
      <c r="U34" s="11"/>
      <c r="V34" s="12"/>
    </row>
    <row r="35" spans="1:22" ht="34.5" customHeight="1">
      <c r="A35" s="19"/>
      <c r="B35" s="399" t="s">
        <v>55</v>
      </c>
      <c r="C35" s="474"/>
      <c r="D35" s="475"/>
      <c r="E35" s="8"/>
      <c r="F35" s="224">
        <v>144</v>
      </c>
      <c r="G35" s="225">
        <f>F35*F47</f>
        <v>812602.08</v>
      </c>
      <c r="H35" s="226"/>
      <c r="I35" s="227">
        <v>65</v>
      </c>
      <c r="J35" s="225">
        <f>I35*F47</f>
        <v>366799.55</v>
      </c>
      <c r="K35" s="226"/>
      <c r="L35" s="227">
        <v>13</v>
      </c>
      <c r="M35" s="225">
        <f>L35*G47</f>
        <v>74205.04</v>
      </c>
      <c r="N35" s="226"/>
      <c r="O35" s="227">
        <v>97</v>
      </c>
      <c r="P35" s="225">
        <f>O35*G47</f>
        <v>553683.76</v>
      </c>
      <c r="Q35" s="226">
        <f t="shared" si="5"/>
        <v>319</v>
      </c>
      <c r="R35" s="225">
        <f t="shared" si="5"/>
        <v>1807290.43</v>
      </c>
      <c r="S35" s="67"/>
      <c r="T35" s="11"/>
      <c r="U35" s="11"/>
      <c r="V35" s="12"/>
    </row>
    <row r="36" spans="1:22" ht="33" customHeight="1">
      <c r="A36" s="19"/>
      <c r="B36" s="399" t="s">
        <v>84</v>
      </c>
      <c r="C36" s="474"/>
      <c r="D36" s="475"/>
      <c r="E36" s="8"/>
      <c r="F36" s="224">
        <v>791.4</v>
      </c>
      <c r="G36" s="225">
        <f>SUM(F36)*F47</f>
        <v>4465925.597999999</v>
      </c>
      <c r="H36" s="226"/>
      <c r="I36" s="227">
        <v>244.2</v>
      </c>
      <c r="J36" s="225">
        <f>SUM(I36)*F47</f>
        <v>1378037.694</v>
      </c>
      <c r="K36" s="226"/>
      <c r="L36" s="227">
        <v>82.6</v>
      </c>
      <c r="M36" s="225">
        <f>SUM(L36)*G47</f>
        <v>471487.40799999994</v>
      </c>
      <c r="N36" s="226"/>
      <c r="O36" s="227">
        <v>680.8</v>
      </c>
      <c r="P36" s="225">
        <f>SUM(O36)*G47</f>
        <v>3886060.8639999996</v>
      </c>
      <c r="Q36" s="226">
        <f t="shared" si="5"/>
        <v>1798.9999999999998</v>
      </c>
      <c r="R36" s="225">
        <f>SUM(G36)+J36+M36+P36</f>
        <v>10201511.564</v>
      </c>
      <c r="S36" s="67"/>
      <c r="T36" s="11"/>
      <c r="U36" s="11"/>
      <c r="V36" s="12"/>
    </row>
    <row r="37" spans="1:22" s="97" customFormat="1" ht="31.5" customHeight="1">
      <c r="A37" s="99">
        <v>7</v>
      </c>
      <c r="B37" s="402" t="s">
        <v>56</v>
      </c>
      <c r="C37" s="561"/>
      <c r="D37" s="562"/>
      <c r="E37" s="98"/>
      <c r="F37" s="325">
        <f>SUM(F38:F39)</f>
        <v>178.585</v>
      </c>
      <c r="G37" s="222">
        <f aca="true" t="shared" si="6" ref="G37:P37">SUM(G38:G39)</f>
        <v>1007767.6559499999</v>
      </c>
      <c r="H37" s="93">
        <f t="shared" si="6"/>
        <v>0</v>
      </c>
      <c r="I37" s="327">
        <f t="shared" si="6"/>
        <v>111.495</v>
      </c>
      <c r="J37" s="222">
        <f t="shared" si="6"/>
        <v>629174.08965</v>
      </c>
      <c r="K37" s="93">
        <f t="shared" si="6"/>
        <v>0</v>
      </c>
      <c r="L37" s="327">
        <f t="shared" si="6"/>
        <v>84.745</v>
      </c>
      <c r="M37" s="222">
        <f t="shared" si="6"/>
        <v>483731.2396</v>
      </c>
      <c r="N37" s="93">
        <f t="shared" si="6"/>
        <v>0</v>
      </c>
      <c r="O37" s="327">
        <f t="shared" si="6"/>
        <v>162.385</v>
      </c>
      <c r="P37" s="222">
        <f t="shared" si="6"/>
        <v>926906.5708</v>
      </c>
      <c r="Q37" s="93">
        <v>537.23</v>
      </c>
      <c r="R37" s="222">
        <f t="shared" si="5"/>
        <v>3047579.556</v>
      </c>
      <c r="S37" s="94"/>
      <c r="T37" s="96"/>
      <c r="U37" s="96"/>
      <c r="V37" s="95"/>
    </row>
    <row r="38" spans="1:22" s="97" customFormat="1" ht="31.5" customHeight="1">
      <c r="A38" s="19"/>
      <c r="B38" s="399" t="s">
        <v>89</v>
      </c>
      <c r="C38" s="400"/>
      <c r="D38" s="401"/>
      <c r="E38" s="8"/>
      <c r="F38" s="326">
        <v>172.9</v>
      </c>
      <c r="G38" s="225">
        <f>SUM(F38)*F47</f>
        <v>975686.803</v>
      </c>
      <c r="H38" s="226"/>
      <c r="I38" s="248">
        <v>105.81</v>
      </c>
      <c r="J38" s="225">
        <f>SUM(I38)*F47</f>
        <v>597093.2367</v>
      </c>
      <c r="K38" s="226"/>
      <c r="L38" s="317">
        <v>79.06</v>
      </c>
      <c r="M38" s="225">
        <f>SUM(L38)*G47</f>
        <v>451280.8048</v>
      </c>
      <c r="N38" s="226"/>
      <c r="O38" s="317">
        <v>156.7</v>
      </c>
      <c r="P38" s="225">
        <f>SUM(O38)*G47</f>
        <v>894456.1359999999</v>
      </c>
      <c r="Q38" s="226">
        <f t="shared" si="5"/>
        <v>514.47</v>
      </c>
      <c r="R38" s="225">
        <f t="shared" si="5"/>
        <v>2918516.9805</v>
      </c>
      <c r="S38" s="94"/>
      <c r="T38" s="96"/>
      <c r="U38" s="96"/>
      <c r="V38" s="95"/>
    </row>
    <row r="39" spans="1:22" s="97" customFormat="1" ht="31.5" customHeight="1">
      <c r="A39" s="19"/>
      <c r="B39" s="399" t="s">
        <v>88</v>
      </c>
      <c r="C39" s="400"/>
      <c r="D39" s="401"/>
      <c r="E39" s="8"/>
      <c r="F39" s="326">
        <v>5.685</v>
      </c>
      <c r="G39" s="225">
        <f>SUM(F39)*F47</f>
        <v>32080.852949999997</v>
      </c>
      <c r="H39" s="226"/>
      <c r="I39" s="317">
        <v>5.685</v>
      </c>
      <c r="J39" s="225">
        <f>SUM(I39)*F47</f>
        <v>32080.852949999997</v>
      </c>
      <c r="K39" s="226"/>
      <c r="L39" s="317">
        <v>5.685</v>
      </c>
      <c r="M39" s="225">
        <f>SUM(L39)*G47</f>
        <v>32450.4348</v>
      </c>
      <c r="N39" s="226"/>
      <c r="O39" s="317">
        <v>5.685</v>
      </c>
      <c r="P39" s="225">
        <f>SUM(O39)*G47</f>
        <v>32450.4348</v>
      </c>
      <c r="Q39" s="226">
        <v>22.76</v>
      </c>
      <c r="R39" s="225">
        <f t="shared" si="5"/>
        <v>129062.57549999999</v>
      </c>
      <c r="S39" s="94"/>
      <c r="T39" s="96"/>
      <c r="U39" s="96"/>
      <c r="V39" s="95"/>
    </row>
    <row r="40" spans="1:22" s="97" customFormat="1" ht="31.5" customHeight="1">
      <c r="A40" s="99">
        <v>8</v>
      </c>
      <c r="B40" s="410" t="s">
        <v>85</v>
      </c>
      <c r="C40" s="411"/>
      <c r="D40" s="412"/>
      <c r="E40" s="98"/>
      <c r="F40" s="325">
        <f>SUM(F41:F43)</f>
        <v>102.347</v>
      </c>
      <c r="G40" s="222">
        <f aca="true" t="shared" si="7" ref="G40:P40">SUM(G41:G43)</f>
        <v>577551.2852899999</v>
      </c>
      <c r="H40" s="93">
        <f t="shared" si="7"/>
        <v>0</v>
      </c>
      <c r="I40" s="327">
        <f t="shared" si="7"/>
        <v>90.681</v>
      </c>
      <c r="J40" s="222">
        <f t="shared" si="7"/>
        <v>511719.23066999996</v>
      </c>
      <c r="K40" s="93">
        <f t="shared" si="7"/>
        <v>0</v>
      </c>
      <c r="L40" s="327">
        <f t="shared" si="7"/>
        <v>8.949</v>
      </c>
      <c r="M40" s="222">
        <f t="shared" si="7"/>
        <v>51081.607919999995</v>
      </c>
      <c r="N40" s="93">
        <f t="shared" si="7"/>
        <v>0</v>
      </c>
      <c r="O40" s="327">
        <f t="shared" si="7"/>
        <v>116.56</v>
      </c>
      <c r="P40" s="222">
        <f t="shared" si="7"/>
        <v>665333.8048</v>
      </c>
      <c r="Q40" s="93">
        <f>F40+I40+L40+O40</f>
        <v>318.53700000000003</v>
      </c>
      <c r="R40" s="222">
        <f>G40+J40+M40+P40</f>
        <v>1805685.9286800001</v>
      </c>
      <c r="S40" s="94"/>
      <c r="T40" s="96"/>
      <c r="U40" s="96"/>
      <c r="V40" s="95"/>
    </row>
    <row r="41" spans="1:22" s="97" customFormat="1" ht="31.5" customHeight="1">
      <c r="A41" s="99"/>
      <c r="B41" s="399" t="s">
        <v>86</v>
      </c>
      <c r="C41" s="474"/>
      <c r="D41" s="475"/>
      <c r="E41" s="98"/>
      <c r="F41" s="326">
        <v>4.25</v>
      </c>
      <c r="G41" s="225">
        <f>SUM(F41)*F47</f>
        <v>23983.0475</v>
      </c>
      <c r="H41" s="226"/>
      <c r="I41" s="317">
        <v>4.5</v>
      </c>
      <c r="J41" s="225">
        <f>SUM(I41)*F47</f>
        <v>25393.815</v>
      </c>
      <c r="K41" s="226"/>
      <c r="L41" s="317">
        <v>0.28</v>
      </c>
      <c r="M41" s="225">
        <f>SUM(L41)*G47</f>
        <v>1598.2624</v>
      </c>
      <c r="N41" s="226"/>
      <c r="O41" s="317">
        <v>4.5</v>
      </c>
      <c r="P41" s="225">
        <f>SUM(O41)*G47</f>
        <v>25686.36</v>
      </c>
      <c r="Q41" s="226">
        <f t="shared" si="5"/>
        <v>13.53</v>
      </c>
      <c r="R41" s="225">
        <f>SUM(G41)+J41+M41+P41</f>
        <v>76661.48490000001</v>
      </c>
      <c r="S41" s="94"/>
      <c r="T41" s="96"/>
      <c r="U41" s="96"/>
      <c r="V41" s="95"/>
    </row>
    <row r="42" spans="1:22" s="97" customFormat="1" ht="31.5" customHeight="1">
      <c r="A42" s="99"/>
      <c r="B42" s="399" t="s">
        <v>87</v>
      </c>
      <c r="C42" s="474"/>
      <c r="D42" s="475"/>
      <c r="E42" s="98"/>
      <c r="F42" s="326">
        <v>73.74</v>
      </c>
      <c r="G42" s="225">
        <f>SUM(F42)*F47</f>
        <v>416119.98179999995</v>
      </c>
      <c r="H42" s="226"/>
      <c r="I42" s="317">
        <v>73.74</v>
      </c>
      <c r="J42" s="225">
        <f>SUM(I42)*F47</f>
        <v>416119.98179999995</v>
      </c>
      <c r="K42" s="226"/>
      <c r="L42" s="317">
        <v>4.83</v>
      </c>
      <c r="M42" s="225">
        <f>SUM(L42)*G47</f>
        <v>27570.0264</v>
      </c>
      <c r="N42" s="226"/>
      <c r="O42" s="317">
        <v>91.97</v>
      </c>
      <c r="P42" s="225">
        <f>SUM(O42)*G47</f>
        <v>524972.1176</v>
      </c>
      <c r="Q42" s="226">
        <f t="shared" si="5"/>
        <v>244.28</v>
      </c>
      <c r="R42" s="225">
        <f>SUM(G42)+J42+M42+P42</f>
        <v>1384782.1075999998</v>
      </c>
      <c r="S42" s="94"/>
      <c r="T42" s="96"/>
      <c r="U42" s="96"/>
      <c r="V42" s="95"/>
    </row>
    <row r="43" spans="1:22" s="97" customFormat="1" ht="31.5" customHeight="1">
      <c r="A43" s="99"/>
      <c r="B43" s="405" t="s">
        <v>100</v>
      </c>
      <c r="C43" s="400"/>
      <c r="D43" s="401"/>
      <c r="E43" s="276"/>
      <c r="F43" s="311">
        <v>24.357</v>
      </c>
      <c r="G43" s="267">
        <f>SUM(F43)*F47</f>
        <v>137448.25598999998</v>
      </c>
      <c r="H43" s="268"/>
      <c r="I43" s="315">
        <v>12.441</v>
      </c>
      <c r="J43" s="267">
        <f>SUM(I43)*F47</f>
        <v>70205.43387</v>
      </c>
      <c r="K43" s="268"/>
      <c r="L43" s="315">
        <v>3.839</v>
      </c>
      <c r="M43" s="267">
        <f>SUM(L43)*G47</f>
        <v>21913.31912</v>
      </c>
      <c r="N43" s="268"/>
      <c r="O43" s="315">
        <v>20.09</v>
      </c>
      <c r="P43" s="267">
        <f>SUM(O43)*G47</f>
        <v>114675.3272</v>
      </c>
      <c r="Q43" s="268">
        <f t="shared" si="5"/>
        <v>60.727000000000004</v>
      </c>
      <c r="R43" s="267">
        <f t="shared" si="5"/>
        <v>344242.33618</v>
      </c>
      <c r="S43" s="94"/>
      <c r="T43" s="96"/>
      <c r="U43" s="96"/>
      <c r="V43" s="95"/>
    </row>
    <row r="44" spans="1:22" ht="27.75" customHeight="1">
      <c r="A44" s="19"/>
      <c r="B44" s="563" t="s">
        <v>19</v>
      </c>
      <c r="C44" s="564"/>
      <c r="D44" s="565"/>
      <c r="E44" s="15" t="e">
        <f>E10+#REF!+#REF!+E12+E13+E14+E15+E16+E17+E32+#REF!+#REF!+#REF!</f>
        <v>#REF!</v>
      </c>
      <c r="F44" s="233">
        <v>5432.31</v>
      </c>
      <c r="G44" s="234">
        <f aca="true" t="shared" si="8" ref="G44:Q44">G10+G11+G18+G23+G28+G33+G37+G40</f>
        <v>28326433.35254</v>
      </c>
      <c r="H44" s="60">
        <f t="shared" si="8"/>
        <v>7.9</v>
      </c>
      <c r="I44" s="233">
        <f t="shared" si="8"/>
        <v>2683.786</v>
      </c>
      <c r="J44" s="234">
        <f t="shared" si="8"/>
        <v>12816365.16572</v>
      </c>
      <c r="K44" s="60">
        <f t="shared" si="8"/>
        <v>2.9</v>
      </c>
      <c r="L44" s="233">
        <f t="shared" si="8"/>
        <v>1399.058</v>
      </c>
      <c r="M44" s="234">
        <f t="shared" si="8"/>
        <v>5682947.89624</v>
      </c>
      <c r="N44" s="60">
        <f t="shared" si="8"/>
        <v>20.6</v>
      </c>
      <c r="O44" s="233">
        <f t="shared" si="8"/>
        <v>4743.186000000001</v>
      </c>
      <c r="P44" s="234">
        <f t="shared" si="8"/>
        <v>24771498.0588</v>
      </c>
      <c r="Q44" s="60">
        <f t="shared" si="8"/>
        <v>14258.347</v>
      </c>
      <c r="R44" s="234">
        <v>71597244.48</v>
      </c>
      <c r="S44" s="69"/>
      <c r="T44" s="20"/>
      <c r="U44" s="12"/>
      <c r="V44" s="12"/>
    </row>
    <row r="45" spans="1:22" ht="25.5" customHeight="1">
      <c r="A45" s="21"/>
      <c r="B45" s="558" t="s">
        <v>8</v>
      </c>
      <c r="C45" s="559"/>
      <c r="D45" s="560"/>
      <c r="E45" s="427" t="s">
        <v>105</v>
      </c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9"/>
      <c r="T45" s="12"/>
      <c r="U45" s="12"/>
      <c r="V45" s="12"/>
    </row>
    <row r="46" spans="1:18" s="12" customFormat="1" ht="15.75" customHeight="1">
      <c r="A46" s="162"/>
      <c r="B46" s="163"/>
      <c r="C46" s="163"/>
      <c r="D46" s="163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</row>
    <row r="47" spans="1:18" s="12" customFormat="1" ht="16.5" customHeight="1">
      <c r="A47" s="164"/>
      <c r="B47" s="4"/>
      <c r="C47" s="4"/>
      <c r="D47" s="164"/>
      <c r="E47" s="4" t="s">
        <v>11</v>
      </c>
      <c r="F47" s="3">
        <v>5643.07</v>
      </c>
      <c r="G47" s="4">
        <v>5708.08</v>
      </c>
      <c r="H47" s="4"/>
      <c r="I47" s="4">
        <v>2487.25</v>
      </c>
      <c r="J47" s="4">
        <v>2586.74</v>
      </c>
      <c r="K47" s="4"/>
      <c r="L47" s="4"/>
      <c r="M47" s="4"/>
      <c r="N47" s="4"/>
      <c r="O47" s="4"/>
      <c r="P47" s="4"/>
      <c r="Q47" s="4"/>
      <c r="R47" s="4"/>
    </row>
    <row r="48" spans="1:22" ht="31.5" customHeight="1">
      <c r="A48" s="433" t="s">
        <v>109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T48" s="12"/>
      <c r="U48" s="12"/>
      <c r="V48" s="12"/>
    </row>
    <row r="49" spans="1:22" ht="27.75" customHeight="1">
      <c r="A49" s="484" t="s">
        <v>15</v>
      </c>
      <c r="B49" s="485" t="s">
        <v>0</v>
      </c>
      <c r="C49" s="486"/>
      <c r="D49" s="487"/>
      <c r="E49" s="409" t="s">
        <v>1</v>
      </c>
      <c r="F49" s="409"/>
      <c r="G49" s="409"/>
      <c r="H49" s="409" t="s">
        <v>3</v>
      </c>
      <c r="I49" s="409"/>
      <c r="J49" s="409"/>
      <c r="K49" s="409" t="s">
        <v>4</v>
      </c>
      <c r="L49" s="409"/>
      <c r="M49" s="409"/>
      <c r="N49" s="409" t="s">
        <v>6</v>
      </c>
      <c r="O49" s="409"/>
      <c r="P49" s="409"/>
      <c r="Q49" s="409" t="s">
        <v>7</v>
      </c>
      <c r="R49" s="409"/>
      <c r="T49" s="12"/>
      <c r="U49" s="12"/>
      <c r="V49" s="12"/>
    </row>
    <row r="50" spans="1:22" ht="30" customHeight="1">
      <c r="A50" s="484"/>
      <c r="B50" s="488"/>
      <c r="C50" s="489"/>
      <c r="D50" s="490"/>
      <c r="E50" s="147"/>
      <c r="F50" s="147" t="s">
        <v>9</v>
      </c>
      <c r="G50" s="108" t="s">
        <v>5</v>
      </c>
      <c r="H50" s="147" t="s">
        <v>9</v>
      </c>
      <c r="I50" s="147" t="s">
        <v>9</v>
      </c>
      <c r="J50" s="108" t="s">
        <v>5</v>
      </c>
      <c r="K50" s="147" t="s">
        <v>9</v>
      </c>
      <c r="L50" s="147" t="s">
        <v>9</v>
      </c>
      <c r="M50" s="108" t="s">
        <v>5</v>
      </c>
      <c r="N50" s="147" t="s">
        <v>9</v>
      </c>
      <c r="O50" s="147" t="s">
        <v>9</v>
      </c>
      <c r="P50" s="108" t="s">
        <v>5</v>
      </c>
      <c r="Q50" s="147" t="s">
        <v>9</v>
      </c>
      <c r="R50" s="108" t="s">
        <v>5</v>
      </c>
      <c r="T50" s="12"/>
      <c r="U50" s="12"/>
      <c r="V50" s="12"/>
    </row>
    <row r="51" spans="1:22" s="97" customFormat="1" ht="33" customHeight="1">
      <c r="A51" s="101">
        <v>1</v>
      </c>
      <c r="B51" s="413" t="s">
        <v>33</v>
      </c>
      <c r="C51" s="414"/>
      <c r="D51" s="415"/>
      <c r="E51" s="102">
        <v>1800</v>
      </c>
      <c r="F51" s="235">
        <v>1750</v>
      </c>
      <c r="G51" s="222">
        <f>F51*F85</f>
        <v>10500</v>
      </c>
      <c r="H51" s="222">
        <v>1200</v>
      </c>
      <c r="I51" s="235">
        <v>1750</v>
      </c>
      <c r="J51" s="222">
        <f>I51*F85</f>
        <v>10500</v>
      </c>
      <c r="K51" s="222">
        <v>1500</v>
      </c>
      <c r="L51" s="235">
        <v>1750</v>
      </c>
      <c r="M51" s="222">
        <f>L51*G85</f>
        <v>10920</v>
      </c>
      <c r="N51" s="222">
        <v>1500</v>
      </c>
      <c r="O51" s="235">
        <v>1751.1</v>
      </c>
      <c r="P51" s="222">
        <f>O51*G85</f>
        <v>10926.864</v>
      </c>
      <c r="Q51" s="222">
        <f>F51+I51+L51+O51</f>
        <v>7001.1</v>
      </c>
      <c r="R51" s="222">
        <f>G51+J51+M51+P51</f>
        <v>42846.864</v>
      </c>
      <c r="S51" s="94"/>
      <c r="T51" s="95"/>
      <c r="U51" s="96"/>
      <c r="V51" s="95"/>
    </row>
    <row r="52" spans="1:22" s="97" customFormat="1" ht="30" customHeight="1">
      <c r="A52" s="103">
        <v>2</v>
      </c>
      <c r="B52" s="410" t="s">
        <v>41</v>
      </c>
      <c r="C52" s="411"/>
      <c r="D52" s="412"/>
      <c r="E52" s="102"/>
      <c r="F52" s="235">
        <f>F53+F54+F55+F56+F57+F58</f>
        <v>133250</v>
      </c>
      <c r="G52" s="222">
        <f>G53+G54+G55+G56+G57+G58</f>
        <v>799500</v>
      </c>
      <c r="H52" s="222"/>
      <c r="I52" s="235">
        <f>I53+I54+I55+I56+I57+I58</f>
        <v>113820</v>
      </c>
      <c r="J52" s="222">
        <f>J53+J54+J55+J56+J57+J58</f>
        <v>682920</v>
      </c>
      <c r="K52" s="222"/>
      <c r="L52" s="235">
        <f>L53+L54+L55+L56+L57+L58</f>
        <v>113149</v>
      </c>
      <c r="M52" s="222">
        <f>M53+M54+M55+M56+M57+M58</f>
        <v>706049.76</v>
      </c>
      <c r="N52" s="222"/>
      <c r="O52" s="235">
        <f>O53+O54+O55+O56+O57+O58</f>
        <v>198010</v>
      </c>
      <c r="P52" s="222">
        <f>P53+P54+P55+P56+P57+P58</f>
        <v>1235582.4</v>
      </c>
      <c r="Q52" s="222">
        <f>Q53+Q54+Q55+Q56+Q57+Q58</f>
        <v>558229</v>
      </c>
      <c r="R52" s="222">
        <f>R53+R54+R55+R56+R57+R58</f>
        <v>3424052.16</v>
      </c>
      <c r="S52" s="94"/>
      <c r="T52" s="95"/>
      <c r="U52" s="96"/>
      <c r="V52" s="95"/>
    </row>
    <row r="53" spans="1:21" s="18" customFormat="1" ht="54" customHeight="1">
      <c r="A53" s="33"/>
      <c r="B53" s="393" t="s">
        <v>34</v>
      </c>
      <c r="C53" s="394"/>
      <c r="D53" s="395"/>
      <c r="E53" s="15">
        <v>53000</v>
      </c>
      <c r="F53" s="227">
        <v>40000</v>
      </c>
      <c r="G53" s="225">
        <f>F53*F85</f>
        <v>240000</v>
      </c>
      <c r="H53" s="226">
        <v>36000</v>
      </c>
      <c r="I53" s="227">
        <v>30000</v>
      </c>
      <c r="J53" s="225">
        <f>I53*F85</f>
        <v>180000</v>
      </c>
      <c r="K53" s="226">
        <v>24000</v>
      </c>
      <c r="L53" s="227">
        <v>26600</v>
      </c>
      <c r="M53" s="225">
        <f>L53*G85</f>
        <v>165984</v>
      </c>
      <c r="N53" s="226">
        <v>50000</v>
      </c>
      <c r="O53" s="227">
        <v>64000</v>
      </c>
      <c r="P53" s="225">
        <f>O53*G85</f>
        <v>399360</v>
      </c>
      <c r="Q53" s="226">
        <f aca="true" t="shared" si="9" ref="Q53:R58">F53+I53+L53+O53</f>
        <v>160600</v>
      </c>
      <c r="R53" s="225">
        <f t="shared" si="9"/>
        <v>985344</v>
      </c>
      <c r="S53" s="67" t="s">
        <v>78</v>
      </c>
      <c r="U53" s="17"/>
    </row>
    <row r="54" spans="1:22" ht="45.75" customHeight="1">
      <c r="A54" s="30"/>
      <c r="B54" s="419" t="s">
        <v>35</v>
      </c>
      <c r="C54" s="420"/>
      <c r="D54" s="421"/>
      <c r="E54" s="31">
        <v>27000</v>
      </c>
      <c r="F54" s="236">
        <v>23250</v>
      </c>
      <c r="G54" s="225">
        <f>F54*F85</f>
        <v>139500</v>
      </c>
      <c r="H54" s="225">
        <v>17000</v>
      </c>
      <c r="I54" s="236">
        <v>17820</v>
      </c>
      <c r="J54" s="225">
        <f>I54*F85</f>
        <v>106920</v>
      </c>
      <c r="K54" s="225">
        <v>19000</v>
      </c>
      <c r="L54" s="236">
        <v>18549</v>
      </c>
      <c r="M54" s="225">
        <f>L54*G85</f>
        <v>115745.76000000001</v>
      </c>
      <c r="N54" s="225">
        <v>41000</v>
      </c>
      <c r="O54" s="236">
        <v>35010</v>
      </c>
      <c r="P54" s="225">
        <f>O54*G85</f>
        <v>218462.4</v>
      </c>
      <c r="Q54" s="225">
        <f t="shared" si="9"/>
        <v>94629</v>
      </c>
      <c r="R54" s="225">
        <f t="shared" si="9"/>
        <v>580628.16</v>
      </c>
      <c r="S54" s="67"/>
      <c r="T54" s="12"/>
      <c r="U54" s="11"/>
      <c r="V54" s="12"/>
    </row>
    <row r="55" spans="1:22" ht="35.25" customHeight="1">
      <c r="A55" s="33"/>
      <c r="B55" s="393" t="s">
        <v>36</v>
      </c>
      <c r="C55" s="394"/>
      <c r="D55" s="395"/>
      <c r="E55" s="15">
        <v>70000</v>
      </c>
      <c r="F55" s="227">
        <v>20000</v>
      </c>
      <c r="G55" s="225">
        <f>F55*F85</f>
        <v>120000</v>
      </c>
      <c r="H55" s="226">
        <v>55000</v>
      </c>
      <c r="I55" s="227">
        <v>20000</v>
      </c>
      <c r="J55" s="225">
        <f>I55*F85</f>
        <v>120000</v>
      </c>
      <c r="K55" s="226">
        <v>45000</v>
      </c>
      <c r="L55" s="227">
        <v>20000</v>
      </c>
      <c r="M55" s="225">
        <f>L55*G85</f>
        <v>124800</v>
      </c>
      <c r="N55" s="226">
        <v>70000</v>
      </c>
      <c r="O55" s="227">
        <v>30000</v>
      </c>
      <c r="P55" s="225">
        <f>O55*G85</f>
        <v>187200</v>
      </c>
      <c r="Q55" s="226">
        <f t="shared" si="9"/>
        <v>90000</v>
      </c>
      <c r="R55" s="225">
        <f t="shared" si="9"/>
        <v>552000</v>
      </c>
      <c r="S55" s="67" t="s">
        <v>78</v>
      </c>
      <c r="T55" s="12"/>
      <c r="U55" s="11"/>
      <c r="V55" s="12"/>
    </row>
    <row r="56" spans="1:22" ht="33.75" customHeight="1">
      <c r="A56" s="35"/>
      <c r="B56" s="408" t="s">
        <v>37</v>
      </c>
      <c r="C56" s="408"/>
      <c r="D56" s="408"/>
      <c r="E56" s="8">
        <v>17000</v>
      </c>
      <c r="F56" s="227">
        <v>20000</v>
      </c>
      <c r="G56" s="225">
        <f>F56*F85</f>
        <v>120000</v>
      </c>
      <c r="H56" s="226">
        <v>14000</v>
      </c>
      <c r="I56" s="227">
        <v>17000</v>
      </c>
      <c r="J56" s="225">
        <f>I56*F85</f>
        <v>102000</v>
      </c>
      <c r="K56" s="226">
        <v>13000</v>
      </c>
      <c r="L56" s="227">
        <v>16000</v>
      </c>
      <c r="M56" s="225">
        <f>L56*G85</f>
        <v>99840</v>
      </c>
      <c r="N56" s="226">
        <v>24000</v>
      </c>
      <c r="O56" s="227">
        <v>26000</v>
      </c>
      <c r="P56" s="225">
        <f>O56*G85</f>
        <v>162240</v>
      </c>
      <c r="Q56" s="226">
        <f t="shared" si="9"/>
        <v>79000</v>
      </c>
      <c r="R56" s="225">
        <f t="shared" si="9"/>
        <v>484080</v>
      </c>
      <c r="S56" s="67" t="s">
        <v>78</v>
      </c>
      <c r="T56" s="12"/>
      <c r="U56" s="11"/>
      <c r="V56" s="12"/>
    </row>
    <row r="57" spans="1:22" ht="33.75" customHeight="1">
      <c r="A57" s="35"/>
      <c r="B57" s="408" t="s">
        <v>38</v>
      </c>
      <c r="C57" s="408"/>
      <c r="D57" s="408"/>
      <c r="E57" s="8">
        <v>31000</v>
      </c>
      <c r="F57" s="227">
        <v>24000</v>
      </c>
      <c r="G57" s="225">
        <f>F57*F85</f>
        <v>144000</v>
      </c>
      <c r="H57" s="226">
        <v>27000</v>
      </c>
      <c r="I57" s="227">
        <v>23000</v>
      </c>
      <c r="J57" s="225">
        <f>I57*F85</f>
        <v>138000</v>
      </c>
      <c r="K57" s="226">
        <v>58000</v>
      </c>
      <c r="L57" s="227">
        <v>26000</v>
      </c>
      <c r="M57" s="225">
        <f>L57*G85</f>
        <v>162240</v>
      </c>
      <c r="N57" s="226">
        <v>44000</v>
      </c>
      <c r="O57" s="227">
        <v>37000</v>
      </c>
      <c r="P57" s="225">
        <f>O57*G85</f>
        <v>230880</v>
      </c>
      <c r="Q57" s="226">
        <f t="shared" si="9"/>
        <v>110000</v>
      </c>
      <c r="R57" s="225">
        <f t="shared" si="9"/>
        <v>675120</v>
      </c>
      <c r="S57" s="67" t="s">
        <v>78</v>
      </c>
      <c r="T57" s="12"/>
      <c r="U57" s="11"/>
      <c r="V57" s="12"/>
    </row>
    <row r="58" spans="1:22" ht="59.25" customHeight="1">
      <c r="A58" s="35"/>
      <c r="B58" s="408" t="s">
        <v>39</v>
      </c>
      <c r="C58" s="408"/>
      <c r="D58" s="408"/>
      <c r="E58" s="8">
        <v>8000</v>
      </c>
      <c r="F58" s="227">
        <v>6000</v>
      </c>
      <c r="G58" s="225">
        <f>F58*F85</f>
        <v>36000</v>
      </c>
      <c r="H58" s="226">
        <v>12000</v>
      </c>
      <c r="I58" s="227">
        <v>6000</v>
      </c>
      <c r="J58" s="225">
        <f>I58*F85</f>
        <v>36000</v>
      </c>
      <c r="K58" s="226">
        <v>9000</v>
      </c>
      <c r="L58" s="227">
        <v>6000</v>
      </c>
      <c r="M58" s="225">
        <f>L58*G85</f>
        <v>37440</v>
      </c>
      <c r="N58" s="226">
        <v>15000</v>
      </c>
      <c r="O58" s="227">
        <v>6000</v>
      </c>
      <c r="P58" s="225">
        <f>O58*G85</f>
        <v>37440</v>
      </c>
      <c r="Q58" s="226">
        <f t="shared" si="9"/>
        <v>24000</v>
      </c>
      <c r="R58" s="225">
        <f t="shared" si="9"/>
        <v>146880</v>
      </c>
      <c r="S58" s="67" t="s">
        <v>78</v>
      </c>
      <c r="T58" s="12"/>
      <c r="U58" s="11"/>
      <c r="V58" s="12"/>
    </row>
    <row r="59" spans="1:22" s="97" customFormat="1" ht="34.5" customHeight="1">
      <c r="A59" s="103">
        <v>3</v>
      </c>
      <c r="B59" s="410" t="s">
        <v>42</v>
      </c>
      <c r="C59" s="411"/>
      <c r="D59" s="412"/>
      <c r="E59" s="91">
        <v>9000</v>
      </c>
      <c r="F59" s="223">
        <f>SUM(F60:F63)</f>
        <v>27560</v>
      </c>
      <c r="G59" s="222">
        <f>SUM(G60:G63)</f>
        <v>165360</v>
      </c>
      <c r="H59" s="93">
        <f aca="true" t="shared" si="10" ref="H59:N59">SUM(H60:H61)</f>
        <v>0</v>
      </c>
      <c r="I59" s="223">
        <f>SUM(I60:I63)</f>
        <v>27560</v>
      </c>
      <c r="J59" s="222">
        <f>SUM(J60:J63)</f>
        <v>165360</v>
      </c>
      <c r="K59" s="93">
        <f t="shared" si="10"/>
        <v>0</v>
      </c>
      <c r="L59" s="223">
        <f>SUM(L60:L63)</f>
        <v>27560</v>
      </c>
      <c r="M59" s="222">
        <f>SUM(M60:M63)</f>
        <v>171974.4</v>
      </c>
      <c r="N59" s="93">
        <f t="shared" si="10"/>
        <v>0</v>
      </c>
      <c r="O59" s="223">
        <f>SUM(O60:O63)</f>
        <v>27560</v>
      </c>
      <c r="P59" s="222">
        <f>SUM(P60:P63)</f>
        <v>171974.4</v>
      </c>
      <c r="Q59" s="93">
        <f aca="true" t="shared" si="11" ref="Q59:R63">F59+I59+L59+O59</f>
        <v>110240</v>
      </c>
      <c r="R59" s="222">
        <f t="shared" si="11"/>
        <v>674668.8</v>
      </c>
      <c r="S59" s="94"/>
      <c r="T59" s="95"/>
      <c r="U59" s="96"/>
      <c r="V59" s="95"/>
    </row>
    <row r="60" spans="1:22" s="97" customFormat="1" ht="34.5" customHeight="1">
      <c r="A60" s="103"/>
      <c r="B60" s="418" t="s">
        <v>135</v>
      </c>
      <c r="C60" s="416"/>
      <c r="D60" s="417"/>
      <c r="E60" s="91"/>
      <c r="F60" s="379">
        <v>21860</v>
      </c>
      <c r="G60" s="305">
        <f>F60*F85</f>
        <v>131160</v>
      </c>
      <c r="H60" s="93"/>
      <c r="I60" s="379">
        <v>21860</v>
      </c>
      <c r="J60" s="305">
        <f>I60*F85</f>
        <v>131160</v>
      </c>
      <c r="K60" s="93"/>
      <c r="L60" s="379">
        <v>21860</v>
      </c>
      <c r="M60" s="305">
        <f>L60*G85</f>
        <v>136406.4</v>
      </c>
      <c r="N60" s="93"/>
      <c r="O60" s="379">
        <v>21860</v>
      </c>
      <c r="P60" s="305">
        <f>O60*G85</f>
        <v>136406.4</v>
      </c>
      <c r="Q60" s="306">
        <f t="shared" si="11"/>
        <v>87440</v>
      </c>
      <c r="R60" s="305">
        <f t="shared" si="11"/>
        <v>535132.8</v>
      </c>
      <c r="S60" s="94"/>
      <c r="T60" s="95"/>
      <c r="U60" s="96"/>
      <c r="V60" s="95"/>
    </row>
    <row r="61" spans="1:22" s="97" customFormat="1" ht="34.5" customHeight="1">
      <c r="A61" s="103"/>
      <c r="B61" s="418" t="s">
        <v>132</v>
      </c>
      <c r="C61" s="416"/>
      <c r="D61" s="417"/>
      <c r="E61" s="91"/>
      <c r="F61" s="379">
        <v>2400</v>
      </c>
      <c r="G61" s="305">
        <f>F61*F85</f>
        <v>14400</v>
      </c>
      <c r="H61" s="93"/>
      <c r="I61" s="379">
        <v>2400</v>
      </c>
      <c r="J61" s="305">
        <f>I61*F85</f>
        <v>14400</v>
      </c>
      <c r="K61" s="93"/>
      <c r="L61" s="379">
        <v>2400</v>
      </c>
      <c r="M61" s="305">
        <f>L61*G85</f>
        <v>14976</v>
      </c>
      <c r="N61" s="93"/>
      <c r="O61" s="379">
        <v>2400</v>
      </c>
      <c r="P61" s="305">
        <f>O61*G85</f>
        <v>14976</v>
      </c>
      <c r="Q61" s="306">
        <f t="shared" si="11"/>
        <v>9600</v>
      </c>
      <c r="R61" s="305">
        <f t="shared" si="11"/>
        <v>58752</v>
      </c>
      <c r="S61" s="94"/>
      <c r="T61" s="95"/>
      <c r="U61" s="96"/>
      <c r="V61" s="95"/>
    </row>
    <row r="62" spans="1:22" s="97" customFormat="1" ht="34.5" customHeight="1">
      <c r="A62" s="103"/>
      <c r="B62" s="405" t="s">
        <v>136</v>
      </c>
      <c r="C62" s="416"/>
      <c r="D62" s="417"/>
      <c r="E62" s="91"/>
      <c r="F62" s="227">
        <v>1800</v>
      </c>
      <c r="G62" s="305">
        <f>F62*F85</f>
        <v>10800</v>
      </c>
      <c r="H62" s="93"/>
      <c r="I62" s="227">
        <v>1800</v>
      </c>
      <c r="J62" s="305">
        <f>I62*F85</f>
        <v>10800</v>
      </c>
      <c r="K62" s="93"/>
      <c r="L62" s="227">
        <v>1800</v>
      </c>
      <c r="M62" s="305">
        <f>L62*G85</f>
        <v>11232</v>
      </c>
      <c r="N62" s="93"/>
      <c r="O62" s="227">
        <v>1800</v>
      </c>
      <c r="P62" s="305">
        <f>O62*G85</f>
        <v>11232</v>
      </c>
      <c r="Q62" s="306">
        <f t="shared" si="11"/>
        <v>7200</v>
      </c>
      <c r="R62" s="305">
        <f t="shared" si="11"/>
        <v>44064</v>
      </c>
      <c r="S62" s="94"/>
      <c r="T62" s="95"/>
      <c r="U62" s="96"/>
      <c r="V62" s="95"/>
    </row>
    <row r="63" spans="1:22" s="97" customFormat="1" ht="34.5" customHeight="1">
      <c r="A63" s="103"/>
      <c r="B63" s="405" t="s">
        <v>137</v>
      </c>
      <c r="C63" s="416"/>
      <c r="D63" s="417"/>
      <c r="E63" s="91"/>
      <c r="F63" s="227">
        <v>1500</v>
      </c>
      <c r="G63" s="305">
        <f>F63*F85</f>
        <v>9000</v>
      </c>
      <c r="H63" s="93"/>
      <c r="I63" s="227">
        <v>1500</v>
      </c>
      <c r="J63" s="305">
        <f>I63*F85</f>
        <v>9000</v>
      </c>
      <c r="K63" s="93"/>
      <c r="L63" s="227">
        <v>1500</v>
      </c>
      <c r="M63" s="305">
        <f>L63*G85</f>
        <v>9360</v>
      </c>
      <c r="N63" s="93"/>
      <c r="O63" s="227">
        <v>1500</v>
      </c>
      <c r="P63" s="305">
        <f>O63*G85</f>
        <v>9360</v>
      </c>
      <c r="Q63" s="306">
        <f t="shared" si="11"/>
        <v>6000</v>
      </c>
      <c r="R63" s="305">
        <f t="shared" si="11"/>
        <v>36720</v>
      </c>
      <c r="S63" s="94"/>
      <c r="T63" s="95"/>
      <c r="U63" s="96"/>
      <c r="V63" s="95"/>
    </row>
    <row r="64" spans="1:22" s="97" customFormat="1" ht="34.5" customHeight="1">
      <c r="A64" s="103">
        <v>4</v>
      </c>
      <c r="B64" s="410" t="s">
        <v>43</v>
      </c>
      <c r="C64" s="411"/>
      <c r="D64" s="412"/>
      <c r="E64" s="91">
        <v>20000</v>
      </c>
      <c r="F64" s="223">
        <f>F65+F66+F67</f>
        <v>54055.8</v>
      </c>
      <c r="G64" s="222">
        <f>G65+G66+G67</f>
        <v>324334.8</v>
      </c>
      <c r="H64" s="93"/>
      <c r="I64" s="223">
        <f>I65+I66+I67</f>
        <v>21293.3</v>
      </c>
      <c r="J64" s="222">
        <f>J65+J66+J67</f>
        <v>127759.8</v>
      </c>
      <c r="K64" s="93"/>
      <c r="L64" s="223">
        <f>L65+L66+L67</f>
        <v>14436.5</v>
      </c>
      <c r="M64" s="222">
        <f>M65+M66+M67</f>
        <v>90083.76000000001</v>
      </c>
      <c r="N64" s="93"/>
      <c r="O64" s="223">
        <f>O65+O66+O67</f>
        <v>68819.1</v>
      </c>
      <c r="P64" s="222">
        <f>P65+P66+P67</f>
        <v>429431.18400000007</v>
      </c>
      <c r="Q64" s="93">
        <f>Q65+Q66+Q67</f>
        <v>158604.7</v>
      </c>
      <c r="R64" s="222">
        <f>R65+R66+R67</f>
        <v>971609.544</v>
      </c>
      <c r="S64" s="94"/>
      <c r="T64" s="95"/>
      <c r="U64" s="96"/>
      <c r="V64" s="95"/>
    </row>
    <row r="65" spans="1:22" ht="33" customHeight="1">
      <c r="A65" s="35"/>
      <c r="B65" s="393" t="s">
        <v>44</v>
      </c>
      <c r="C65" s="394"/>
      <c r="D65" s="395"/>
      <c r="E65" s="8"/>
      <c r="F65" s="227">
        <v>5377.8</v>
      </c>
      <c r="G65" s="225">
        <f>F65*F85</f>
        <v>32266.800000000003</v>
      </c>
      <c r="H65" s="226"/>
      <c r="I65" s="227">
        <v>4645.3</v>
      </c>
      <c r="J65" s="225">
        <f>I65*F85</f>
        <v>27871.800000000003</v>
      </c>
      <c r="K65" s="226"/>
      <c r="L65" s="227">
        <v>4901.5</v>
      </c>
      <c r="M65" s="225">
        <f>L65*G85</f>
        <v>30585.36</v>
      </c>
      <c r="N65" s="226"/>
      <c r="O65" s="227">
        <v>5942.1</v>
      </c>
      <c r="P65" s="225">
        <f>O65*G85</f>
        <v>37078.704000000005</v>
      </c>
      <c r="Q65" s="226">
        <f aca="true" t="shared" si="12" ref="Q65:R67">F65+I65+L65+O65</f>
        <v>20866.7</v>
      </c>
      <c r="R65" s="225">
        <f t="shared" si="12"/>
        <v>127802.66400000002</v>
      </c>
      <c r="S65" s="67" t="s">
        <v>79</v>
      </c>
      <c r="T65" s="12"/>
      <c r="U65" s="11"/>
      <c r="V65" s="12"/>
    </row>
    <row r="66" spans="1:22" ht="34.5" customHeight="1">
      <c r="A66" s="35"/>
      <c r="B66" s="393" t="s">
        <v>58</v>
      </c>
      <c r="C66" s="394"/>
      <c r="D66" s="395"/>
      <c r="E66" s="8">
        <v>29400</v>
      </c>
      <c r="F66" s="227">
        <v>42474</v>
      </c>
      <c r="G66" s="225">
        <f>F66*F85</f>
        <v>254844</v>
      </c>
      <c r="H66" s="226"/>
      <c r="I66" s="227">
        <v>14312</v>
      </c>
      <c r="J66" s="225">
        <f>I66*F85</f>
        <v>85872</v>
      </c>
      <c r="K66" s="226"/>
      <c r="L66" s="227">
        <v>6138</v>
      </c>
      <c r="M66" s="225">
        <f>L66*G85</f>
        <v>38301.12</v>
      </c>
      <c r="N66" s="226"/>
      <c r="O66" s="227">
        <v>56542</v>
      </c>
      <c r="P66" s="225">
        <f>O66*G85</f>
        <v>352822.08</v>
      </c>
      <c r="Q66" s="226">
        <f t="shared" si="12"/>
        <v>119466</v>
      </c>
      <c r="R66" s="225">
        <f t="shared" si="12"/>
        <v>731839.2</v>
      </c>
      <c r="S66" s="67"/>
      <c r="T66" s="12"/>
      <c r="U66" s="11"/>
      <c r="V66" s="12"/>
    </row>
    <row r="67" spans="1:22" ht="33" customHeight="1">
      <c r="A67" s="35"/>
      <c r="B67" s="393" t="s">
        <v>59</v>
      </c>
      <c r="C67" s="394"/>
      <c r="D67" s="395"/>
      <c r="E67" s="8"/>
      <c r="F67" s="227">
        <v>6204</v>
      </c>
      <c r="G67" s="225">
        <f>F67*F85</f>
        <v>37224</v>
      </c>
      <c r="H67" s="226"/>
      <c r="I67" s="227">
        <v>2336</v>
      </c>
      <c r="J67" s="225">
        <f>I67*F85</f>
        <v>14016</v>
      </c>
      <c r="K67" s="226"/>
      <c r="L67" s="227">
        <v>3397</v>
      </c>
      <c r="M67" s="225">
        <f>L67*G85</f>
        <v>21197.280000000002</v>
      </c>
      <c r="N67" s="226"/>
      <c r="O67" s="227">
        <v>6335</v>
      </c>
      <c r="P67" s="225">
        <f>O67*G85</f>
        <v>39530.4</v>
      </c>
      <c r="Q67" s="226">
        <f t="shared" si="12"/>
        <v>18272</v>
      </c>
      <c r="R67" s="225">
        <f t="shared" si="12"/>
        <v>111967.68</v>
      </c>
      <c r="S67" s="67"/>
      <c r="T67" s="12"/>
      <c r="U67" s="11"/>
      <c r="V67" s="12"/>
    </row>
    <row r="68" spans="1:22" s="97" customFormat="1" ht="45" customHeight="1">
      <c r="A68" s="103">
        <v>5</v>
      </c>
      <c r="B68" s="410" t="s">
        <v>47</v>
      </c>
      <c r="C68" s="411"/>
      <c r="D68" s="412"/>
      <c r="E68" s="98"/>
      <c r="F68" s="223">
        <f>F69+F70+F71+F72</f>
        <v>27639</v>
      </c>
      <c r="G68" s="222">
        <f>G69+G70+G71+G72</f>
        <v>165834</v>
      </c>
      <c r="H68" s="93"/>
      <c r="I68" s="223">
        <f>I69+I70+I71+I72</f>
        <v>24645</v>
      </c>
      <c r="J68" s="222">
        <f>J69+J70+J71+J72</f>
        <v>147870</v>
      </c>
      <c r="K68" s="93"/>
      <c r="L68" s="223">
        <f>L69+L70+L71+L72</f>
        <v>26938</v>
      </c>
      <c r="M68" s="222">
        <f>M69+M70+M71+M72</f>
        <v>168093.12</v>
      </c>
      <c r="N68" s="93"/>
      <c r="O68" s="223">
        <f>O69+O70+O71+O72</f>
        <v>29247</v>
      </c>
      <c r="P68" s="222">
        <f>P69+P70+P71+P72</f>
        <v>182501.28</v>
      </c>
      <c r="Q68" s="93">
        <f>Q69+Q70+Q71+Q72</f>
        <v>108469</v>
      </c>
      <c r="R68" s="222">
        <f>R69+R70+R71++R72</f>
        <v>664298.3999999999</v>
      </c>
      <c r="S68" s="94"/>
      <c r="T68" s="95"/>
      <c r="U68" s="96"/>
      <c r="V68" s="95"/>
    </row>
    <row r="69" spans="1:22" ht="31.5" customHeight="1">
      <c r="A69" s="35"/>
      <c r="B69" s="393" t="s">
        <v>48</v>
      </c>
      <c r="C69" s="394"/>
      <c r="D69" s="395"/>
      <c r="E69" s="8"/>
      <c r="F69" s="227">
        <v>3193</v>
      </c>
      <c r="G69" s="237">
        <f>F69*F85</f>
        <v>19158</v>
      </c>
      <c r="H69" s="226"/>
      <c r="I69" s="227">
        <v>2815</v>
      </c>
      <c r="J69" s="225">
        <f>I69*F85</f>
        <v>16890</v>
      </c>
      <c r="K69" s="226"/>
      <c r="L69" s="227">
        <v>2814</v>
      </c>
      <c r="M69" s="225">
        <f>L69*G85</f>
        <v>17559.36</v>
      </c>
      <c r="N69" s="226"/>
      <c r="O69" s="227">
        <v>2588</v>
      </c>
      <c r="P69" s="225">
        <f>O69*G85</f>
        <v>16149.12</v>
      </c>
      <c r="Q69" s="226">
        <f aca="true" t="shared" si="13" ref="Q69:R72">F69+I69+L69+O69</f>
        <v>11410</v>
      </c>
      <c r="R69" s="225">
        <f t="shared" si="13"/>
        <v>69756.48</v>
      </c>
      <c r="S69" s="67"/>
      <c r="T69" s="12"/>
      <c r="U69" s="11"/>
      <c r="V69" s="12"/>
    </row>
    <row r="70" spans="1:22" ht="31.5" customHeight="1">
      <c r="A70" s="35"/>
      <c r="B70" s="393" t="s">
        <v>49</v>
      </c>
      <c r="C70" s="394"/>
      <c r="D70" s="395"/>
      <c r="E70" s="8"/>
      <c r="F70" s="227">
        <v>13050</v>
      </c>
      <c r="G70" s="225">
        <f>F70*F85</f>
        <v>78300</v>
      </c>
      <c r="H70" s="226"/>
      <c r="I70" s="227">
        <v>13050</v>
      </c>
      <c r="J70" s="225">
        <f>I70*F85</f>
        <v>78300</v>
      </c>
      <c r="K70" s="226"/>
      <c r="L70" s="227">
        <v>12950</v>
      </c>
      <c r="M70" s="225">
        <f>L70*G85</f>
        <v>80808</v>
      </c>
      <c r="N70" s="226"/>
      <c r="O70" s="227">
        <v>13682.38</v>
      </c>
      <c r="P70" s="225">
        <f>O70*G85</f>
        <v>85378.0512</v>
      </c>
      <c r="Q70" s="226">
        <f t="shared" si="13"/>
        <v>52732.38</v>
      </c>
      <c r="R70" s="225">
        <f t="shared" si="13"/>
        <v>322786.0512</v>
      </c>
      <c r="S70" s="67"/>
      <c r="T70" s="12"/>
      <c r="U70" s="11"/>
      <c r="V70" s="12"/>
    </row>
    <row r="71" spans="1:22" ht="34.5" customHeight="1">
      <c r="A71" s="35"/>
      <c r="B71" s="393" t="s">
        <v>50</v>
      </c>
      <c r="C71" s="394"/>
      <c r="D71" s="395"/>
      <c r="E71" s="8"/>
      <c r="F71" s="227">
        <v>8118</v>
      </c>
      <c r="G71" s="225">
        <f>F71*F85</f>
        <v>48708</v>
      </c>
      <c r="H71" s="226"/>
      <c r="I71" s="227">
        <v>7069</v>
      </c>
      <c r="J71" s="225">
        <f>I71*F85</f>
        <v>42414</v>
      </c>
      <c r="K71" s="226"/>
      <c r="L71" s="227">
        <v>8715</v>
      </c>
      <c r="M71" s="225">
        <f>L71*G85</f>
        <v>54381.6</v>
      </c>
      <c r="N71" s="226"/>
      <c r="O71" s="227">
        <v>9280.62</v>
      </c>
      <c r="P71" s="225">
        <f>O71*G85</f>
        <v>57911.06880000001</v>
      </c>
      <c r="Q71" s="226">
        <f t="shared" si="13"/>
        <v>33182.62</v>
      </c>
      <c r="R71" s="225">
        <f t="shared" si="13"/>
        <v>203414.6688</v>
      </c>
      <c r="S71" s="67"/>
      <c r="T71" s="12"/>
      <c r="U71" s="11"/>
      <c r="V71" s="12"/>
    </row>
    <row r="72" spans="1:22" ht="33" customHeight="1">
      <c r="A72" s="35"/>
      <c r="B72" s="408" t="s">
        <v>40</v>
      </c>
      <c r="C72" s="408"/>
      <c r="D72" s="408"/>
      <c r="E72" s="8"/>
      <c r="F72" s="227">
        <v>3278</v>
      </c>
      <c r="G72" s="225">
        <f>F72*F85</f>
        <v>19668</v>
      </c>
      <c r="H72" s="226"/>
      <c r="I72" s="227">
        <v>1711</v>
      </c>
      <c r="J72" s="225">
        <f>I72*F85</f>
        <v>10266</v>
      </c>
      <c r="K72" s="226"/>
      <c r="L72" s="227">
        <v>2459</v>
      </c>
      <c r="M72" s="225">
        <f>L72*G85</f>
        <v>15344.16</v>
      </c>
      <c r="N72" s="226"/>
      <c r="O72" s="227">
        <v>3696</v>
      </c>
      <c r="P72" s="225">
        <f>O72*G85</f>
        <v>23063.04</v>
      </c>
      <c r="Q72" s="226">
        <f t="shared" si="13"/>
        <v>11144</v>
      </c>
      <c r="R72" s="225">
        <f t="shared" si="13"/>
        <v>68341.20000000001</v>
      </c>
      <c r="S72" s="67"/>
      <c r="T72" s="12"/>
      <c r="U72" s="11"/>
      <c r="V72" s="12"/>
    </row>
    <row r="73" spans="1:22" s="97" customFormat="1" ht="27" customHeight="1">
      <c r="A73" s="103">
        <v>6</v>
      </c>
      <c r="B73" s="410" t="s">
        <v>53</v>
      </c>
      <c r="C73" s="411"/>
      <c r="D73" s="412"/>
      <c r="E73" s="98"/>
      <c r="F73" s="223">
        <f>F74+F75+F76</f>
        <v>216845.17</v>
      </c>
      <c r="G73" s="222">
        <f>G74+G75+G76</f>
        <v>1301071.02</v>
      </c>
      <c r="H73" s="93"/>
      <c r="I73" s="223">
        <f>I74+I75+I76</f>
        <v>195445.17</v>
      </c>
      <c r="J73" s="222">
        <f>J74+J75+J76</f>
        <v>1172671.02</v>
      </c>
      <c r="K73" s="93"/>
      <c r="L73" s="223">
        <f>L74+L75+L76</f>
        <v>189645.17</v>
      </c>
      <c r="M73" s="222">
        <f>M74+M75+M76</f>
        <v>1183385.8608000001</v>
      </c>
      <c r="N73" s="93"/>
      <c r="O73" s="223">
        <f>O74+O75+O76</f>
        <v>204645.17</v>
      </c>
      <c r="P73" s="222">
        <f>P74+P75+P76</f>
        <v>1276985.8608000001</v>
      </c>
      <c r="Q73" s="93">
        <f>Q74+Q75+Q76</f>
        <v>806580.68</v>
      </c>
      <c r="R73" s="222">
        <f>R74+R75+R76</f>
        <v>4934113.7616</v>
      </c>
      <c r="S73" s="94"/>
      <c r="T73" s="95"/>
      <c r="U73" s="96"/>
      <c r="V73" s="95"/>
    </row>
    <row r="74" spans="1:22" ht="33" customHeight="1">
      <c r="A74" s="35"/>
      <c r="B74" s="422" t="s">
        <v>140</v>
      </c>
      <c r="C74" s="423"/>
      <c r="D74" s="424"/>
      <c r="E74" s="8"/>
      <c r="F74" s="227">
        <v>5200</v>
      </c>
      <c r="G74" s="225">
        <f>F74*F85</f>
        <v>31200</v>
      </c>
      <c r="H74" s="226"/>
      <c r="I74" s="227">
        <v>4800</v>
      </c>
      <c r="J74" s="225">
        <f>I74*F85</f>
        <v>28800</v>
      </c>
      <c r="K74" s="226"/>
      <c r="L74" s="227">
        <v>4000</v>
      </c>
      <c r="M74" s="225">
        <f>L74*G85</f>
        <v>24960</v>
      </c>
      <c r="N74" s="226"/>
      <c r="O74" s="227">
        <v>6000</v>
      </c>
      <c r="P74" s="225">
        <f>O74*G85</f>
        <v>37440</v>
      </c>
      <c r="Q74" s="226">
        <f>F74+I74+L74+O74</f>
        <v>20000</v>
      </c>
      <c r="R74" s="225">
        <f>G74+J74+M74+P74</f>
        <v>122400</v>
      </c>
      <c r="S74" s="67" t="s">
        <v>78</v>
      </c>
      <c r="T74" s="12"/>
      <c r="U74" s="11"/>
      <c r="V74" s="12"/>
    </row>
    <row r="75" spans="1:22" ht="36" customHeight="1">
      <c r="A75" s="35"/>
      <c r="B75" s="393" t="s">
        <v>55</v>
      </c>
      <c r="C75" s="394"/>
      <c r="D75" s="395"/>
      <c r="E75" s="8"/>
      <c r="F75" s="227">
        <v>30000</v>
      </c>
      <c r="G75" s="225">
        <f>F75*F85</f>
        <v>180000</v>
      </c>
      <c r="H75" s="226"/>
      <c r="I75" s="227">
        <v>9000</v>
      </c>
      <c r="J75" s="225">
        <f>I75*F85</f>
        <v>54000</v>
      </c>
      <c r="K75" s="226"/>
      <c r="L75" s="227">
        <v>4000</v>
      </c>
      <c r="M75" s="225">
        <f>L75*G85</f>
        <v>24960</v>
      </c>
      <c r="N75" s="226"/>
      <c r="O75" s="227">
        <v>17000</v>
      </c>
      <c r="P75" s="225">
        <f>O75*G85</f>
        <v>106080</v>
      </c>
      <c r="Q75" s="226">
        <f>F75+I75+L75+O75</f>
        <v>60000</v>
      </c>
      <c r="R75" s="225">
        <f>G75+J75+M75+P75</f>
        <v>365040</v>
      </c>
      <c r="S75" s="67" t="s">
        <v>78</v>
      </c>
      <c r="T75" s="12"/>
      <c r="U75" s="11"/>
      <c r="V75" s="12"/>
    </row>
    <row r="76" spans="1:22" ht="31.5" customHeight="1">
      <c r="A76" s="35"/>
      <c r="B76" s="393" t="s">
        <v>84</v>
      </c>
      <c r="C76" s="394"/>
      <c r="D76" s="395"/>
      <c r="E76" s="8"/>
      <c r="F76" s="227">
        <v>181645.17</v>
      </c>
      <c r="G76" s="225">
        <f>SUM(F76)*F85</f>
        <v>1089871.02</v>
      </c>
      <c r="H76" s="226"/>
      <c r="I76" s="227">
        <v>181645.17</v>
      </c>
      <c r="J76" s="225">
        <f>SUM(I76)*F85</f>
        <v>1089871.02</v>
      </c>
      <c r="K76" s="226"/>
      <c r="L76" s="227">
        <v>181645.17</v>
      </c>
      <c r="M76" s="225">
        <f>SUM(L76)*G85</f>
        <v>1133465.8608000001</v>
      </c>
      <c r="N76" s="226"/>
      <c r="O76" s="227">
        <v>181645.17</v>
      </c>
      <c r="P76" s="225">
        <f>SUM(O76)*G85</f>
        <v>1133465.8608000001</v>
      </c>
      <c r="Q76" s="226">
        <f>F76+I76+L76+O76</f>
        <v>726580.68</v>
      </c>
      <c r="R76" s="225">
        <f>SUM(G76+J76+M76+P76)</f>
        <v>4446673.7616</v>
      </c>
      <c r="S76" s="67"/>
      <c r="T76" s="12"/>
      <c r="U76" s="11"/>
      <c r="V76" s="12"/>
    </row>
    <row r="77" spans="1:22" ht="31.5" customHeight="1">
      <c r="A77" s="99">
        <v>7</v>
      </c>
      <c r="B77" s="410" t="s">
        <v>85</v>
      </c>
      <c r="C77" s="411"/>
      <c r="D77" s="412"/>
      <c r="E77" s="8"/>
      <c r="F77" s="282">
        <f>SUM(F78:F79)</f>
        <v>5703</v>
      </c>
      <c r="G77" s="285">
        <f aca="true" t="shared" si="14" ref="G77:R77">SUM(G78:G79)</f>
        <v>34218</v>
      </c>
      <c r="H77" s="281">
        <f t="shared" si="14"/>
        <v>0</v>
      </c>
      <c r="I77" s="282">
        <f>SUM(I78:I79)</f>
        <v>5447</v>
      </c>
      <c r="J77" s="285">
        <f t="shared" si="14"/>
        <v>32682</v>
      </c>
      <c r="K77" s="281">
        <f t="shared" si="14"/>
        <v>0</v>
      </c>
      <c r="L77" s="282">
        <f>SUM(L78:L79)</f>
        <v>6414</v>
      </c>
      <c r="M77" s="285">
        <f t="shared" si="14"/>
        <v>40023.36</v>
      </c>
      <c r="N77" s="281">
        <f t="shared" si="14"/>
        <v>0</v>
      </c>
      <c r="O77" s="282">
        <f>SUM(O78:O79)</f>
        <v>5543</v>
      </c>
      <c r="P77" s="285">
        <f t="shared" si="14"/>
        <v>34588.32</v>
      </c>
      <c r="Q77" s="281">
        <f t="shared" si="14"/>
        <v>23107</v>
      </c>
      <c r="R77" s="285">
        <f t="shared" si="14"/>
        <v>141511.68</v>
      </c>
      <c r="S77" s="67"/>
      <c r="T77" s="12"/>
      <c r="U77" s="11"/>
      <c r="V77" s="12"/>
    </row>
    <row r="78" spans="1:22" ht="31.5" customHeight="1">
      <c r="A78" s="99"/>
      <c r="B78" s="399" t="s">
        <v>86</v>
      </c>
      <c r="C78" s="474"/>
      <c r="D78" s="475"/>
      <c r="E78" s="8"/>
      <c r="F78" s="227">
        <v>0</v>
      </c>
      <c r="G78" s="225">
        <f>SUM(F78)*F85</f>
        <v>0</v>
      </c>
      <c r="H78" s="226"/>
      <c r="I78" s="227">
        <v>0</v>
      </c>
      <c r="J78" s="225">
        <f>SUM(I78)*F85</f>
        <v>0</v>
      </c>
      <c r="K78" s="226"/>
      <c r="L78" s="227">
        <v>0</v>
      </c>
      <c r="M78" s="225">
        <f>SUM(L78)*G85</f>
        <v>0</v>
      </c>
      <c r="N78" s="226"/>
      <c r="O78" s="227">
        <v>0</v>
      </c>
      <c r="P78" s="225">
        <f>SUM(O78)*G85</f>
        <v>0</v>
      </c>
      <c r="Q78" s="226">
        <f aca="true" t="shared" si="15" ref="Q78:R82">F78+I78+L78+O78</f>
        <v>0</v>
      </c>
      <c r="R78" s="225">
        <f t="shared" si="15"/>
        <v>0</v>
      </c>
      <c r="S78" s="67"/>
      <c r="T78" s="12"/>
      <c r="U78" s="11"/>
      <c r="V78" s="12"/>
    </row>
    <row r="79" spans="1:22" ht="31.5" customHeight="1">
      <c r="A79" s="99"/>
      <c r="B79" s="399" t="s">
        <v>87</v>
      </c>
      <c r="C79" s="474"/>
      <c r="D79" s="475"/>
      <c r="E79" s="8"/>
      <c r="F79" s="227">
        <v>5703</v>
      </c>
      <c r="G79" s="225">
        <f>SUM(F79)*F85</f>
        <v>34218</v>
      </c>
      <c r="H79" s="226"/>
      <c r="I79" s="227">
        <v>5447</v>
      </c>
      <c r="J79" s="225">
        <f>SUM(I79)*F85</f>
        <v>32682</v>
      </c>
      <c r="K79" s="226"/>
      <c r="L79" s="227">
        <v>6414</v>
      </c>
      <c r="M79" s="225">
        <f>SUM(L79)*G85</f>
        <v>40023.36</v>
      </c>
      <c r="N79" s="226"/>
      <c r="O79" s="227">
        <v>5543</v>
      </c>
      <c r="P79" s="225">
        <f>SUM(O79)*G85</f>
        <v>34588.32</v>
      </c>
      <c r="Q79" s="226">
        <f t="shared" si="15"/>
        <v>23107</v>
      </c>
      <c r="R79" s="225">
        <f t="shared" si="15"/>
        <v>141511.68</v>
      </c>
      <c r="S79" s="67"/>
      <c r="T79" s="12"/>
      <c r="U79" s="11"/>
      <c r="V79" s="12"/>
    </row>
    <row r="80" spans="1:22" ht="31.5" customHeight="1">
      <c r="A80" s="99">
        <v>8</v>
      </c>
      <c r="B80" s="402" t="s">
        <v>56</v>
      </c>
      <c r="C80" s="403"/>
      <c r="D80" s="404"/>
      <c r="E80" s="98"/>
      <c r="F80" s="223">
        <f>SUM(F81:F82)</f>
        <v>89160</v>
      </c>
      <c r="G80" s="222">
        <f aca="true" t="shared" si="16" ref="G80:P80">SUM(G81:G82)</f>
        <v>534960</v>
      </c>
      <c r="H80" s="93">
        <f t="shared" si="16"/>
        <v>0</v>
      </c>
      <c r="I80" s="223">
        <f t="shared" si="16"/>
        <v>61792</v>
      </c>
      <c r="J80" s="222">
        <f t="shared" si="16"/>
        <v>370752</v>
      </c>
      <c r="K80" s="93">
        <f t="shared" si="16"/>
        <v>0</v>
      </c>
      <c r="L80" s="223">
        <f t="shared" si="16"/>
        <v>43368</v>
      </c>
      <c r="M80" s="222">
        <f t="shared" si="16"/>
        <v>270616.32</v>
      </c>
      <c r="N80" s="93">
        <f t="shared" si="16"/>
        <v>0</v>
      </c>
      <c r="O80" s="223">
        <f t="shared" si="16"/>
        <v>91168</v>
      </c>
      <c r="P80" s="222">
        <f t="shared" si="16"/>
        <v>568888.3200000001</v>
      </c>
      <c r="Q80" s="93">
        <f t="shared" si="15"/>
        <v>285488</v>
      </c>
      <c r="R80" s="222">
        <f t="shared" si="15"/>
        <v>1745216.6400000001</v>
      </c>
      <c r="S80" s="67"/>
      <c r="T80" s="12"/>
      <c r="U80" s="11"/>
      <c r="V80" s="12"/>
    </row>
    <row r="81" spans="1:22" ht="31.5" customHeight="1">
      <c r="A81" s="99"/>
      <c r="B81" s="399" t="s">
        <v>90</v>
      </c>
      <c r="C81" s="400"/>
      <c r="D81" s="401"/>
      <c r="E81" s="8"/>
      <c r="F81" s="227">
        <v>600</v>
      </c>
      <c r="G81" s="225">
        <f>SUM(F81)*F85</f>
        <v>3600</v>
      </c>
      <c r="H81" s="226"/>
      <c r="I81" s="227">
        <v>600</v>
      </c>
      <c r="J81" s="225">
        <f>SUM(I81)*F85</f>
        <v>3600</v>
      </c>
      <c r="K81" s="226"/>
      <c r="L81" s="227">
        <v>600</v>
      </c>
      <c r="M81" s="225">
        <f>SUM(L81)*G85</f>
        <v>3744</v>
      </c>
      <c r="N81" s="226"/>
      <c r="O81" s="227">
        <v>600</v>
      </c>
      <c r="P81" s="225">
        <f>SUM(O81)*G85</f>
        <v>3744</v>
      </c>
      <c r="Q81" s="226">
        <f t="shared" si="15"/>
        <v>2400</v>
      </c>
      <c r="R81" s="225">
        <f t="shared" si="15"/>
        <v>14688</v>
      </c>
      <c r="S81" s="67"/>
      <c r="T81" s="12"/>
      <c r="U81" s="11"/>
      <c r="V81" s="12"/>
    </row>
    <row r="82" spans="1:22" ht="31.5" customHeight="1">
      <c r="A82" s="99"/>
      <c r="B82" s="399" t="s">
        <v>101</v>
      </c>
      <c r="C82" s="400"/>
      <c r="D82" s="401"/>
      <c r="E82" s="8"/>
      <c r="F82" s="227">
        <v>88560</v>
      </c>
      <c r="G82" s="225">
        <f>SUM(F82)*F85</f>
        <v>531360</v>
      </c>
      <c r="H82" s="226"/>
      <c r="I82" s="227">
        <v>61192</v>
      </c>
      <c r="J82" s="225">
        <f>SUM(I82)*F85</f>
        <v>367152</v>
      </c>
      <c r="K82" s="226"/>
      <c r="L82" s="227">
        <v>42768</v>
      </c>
      <c r="M82" s="225">
        <f>SUM(L82)*G85</f>
        <v>266872.32</v>
      </c>
      <c r="N82" s="226"/>
      <c r="O82" s="227">
        <v>90568</v>
      </c>
      <c r="P82" s="225">
        <f>SUM(O82)*G85</f>
        <v>565144.3200000001</v>
      </c>
      <c r="Q82" s="226">
        <f t="shared" si="15"/>
        <v>283088</v>
      </c>
      <c r="R82" s="225">
        <f t="shared" si="15"/>
        <v>1730528.6400000001</v>
      </c>
      <c r="S82" s="67"/>
      <c r="T82" s="12"/>
      <c r="U82" s="11"/>
      <c r="V82" s="12"/>
    </row>
    <row r="83" spans="1:22" ht="39" customHeight="1">
      <c r="A83" s="35"/>
      <c r="B83" s="466" t="s">
        <v>19</v>
      </c>
      <c r="C83" s="466"/>
      <c r="D83" s="466"/>
      <c r="E83" s="15">
        <f>SUM(E51:E66)</f>
        <v>266200</v>
      </c>
      <c r="F83" s="233">
        <f>F51+F52+F59+F64+F68+F73+F77+F80</f>
        <v>555962.97</v>
      </c>
      <c r="G83" s="234">
        <f aca="true" t="shared" si="17" ref="G83:Q83">G51+G52+G59+G64+G68+G73+G77+G80</f>
        <v>3335777.8200000003</v>
      </c>
      <c r="H83" s="60">
        <f t="shared" si="17"/>
        <v>1200</v>
      </c>
      <c r="I83" s="233">
        <f t="shared" si="17"/>
        <v>451752.47</v>
      </c>
      <c r="J83" s="234">
        <f t="shared" si="17"/>
        <v>2710514.8200000003</v>
      </c>
      <c r="K83" s="60">
        <f t="shared" si="17"/>
        <v>1500</v>
      </c>
      <c r="L83" s="233">
        <f t="shared" si="17"/>
        <v>423260.67000000004</v>
      </c>
      <c r="M83" s="234">
        <f t="shared" si="17"/>
        <v>2641146.5807999996</v>
      </c>
      <c r="N83" s="60">
        <f t="shared" si="17"/>
        <v>1500</v>
      </c>
      <c r="O83" s="233">
        <f t="shared" si="17"/>
        <v>626743.37</v>
      </c>
      <c r="P83" s="234">
        <v>3910879.62</v>
      </c>
      <c r="Q83" s="60">
        <f t="shared" si="17"/>
        <v>2057719.48</v>
      </c>
      <c r="R83" s="234">
        <v>12598317.84</v>
      </c>
      <c r="S83" s="69"/>
      <c r="T83" s="37"/>
      <c r="U83" s="12"/>
      <c r="V83" s="12"/>
    </row>
    <row r="84" spans="1:22" ht="50.25" customHeight="1">
      <c r="A84" s="38"/>
      <c r="B84" s="467" t="s">
        <v>8</v>
      </c>
      <c r="C84" s="467"/>
      <c r="D84" s="467"/>
      <c r="E84" s="427" t="s">
        <v>120</v>
      </c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9"/>
      <c r="T84" s="12"/>
      <c r="U84" s="12"/>
      <c r="V84" s="12"/>
    </row>
    <row r="85" spans="1:18" s="12" customFormat="1" ht="32.25" customHeight="1">
      <c r="A85" s="5"/>
      <c r="B85" s="5"/>
      <c r="C85" s="176"/>
      <c r="D85" s="176"/>
      <c r="E85" s="176"/>
      <c r="F85" s="176">
        <v>6</v>
      </c>
      <c r="G85" s="176">
        <v>6.24</v>
      </c>
      <c r="H85" s="176"/>
      <c r="I85" s="176"/>
      <c r="J85" s="176"/>
      <c r="K85" s="5"/>
      <c r="L85" s="5"/>
      <c r="M85" s="5"/>
      <c r="N85" s="5"/>
      <c r="O85" s="5"/>
      <c r="P85" s="39"/>
      <c r="Q85" s="39"/>
      <c r="R85" s="5"/>
    </row>
    <row r="86" spans="1:18" s="12" customFormat="1" ht="21" customHeight="1">
      <c r="A86" s="152"/>
      <c r="B86" s="150"/>
      <c r="C86" s="186"/>
      <c r="D86" s="186"/>
      <c r="E86" s="176" t="s">
        <v>13</v>
      </c>
      <c r="F86" s="176"/>
      <c r="G86" s="179"/>
      <c r="H86" s="179"/>
      <c r="I86" s="179"/>
      <c r="J86" s="188"/>
      <c r="K86" s="40"/>
      <c r="L86" s="40"/>
      <c r="M86" s="40"/>
      <c r="N86" s="40"/>
      <c r="O86" s="40"/>
      <c r="P86" s="40"/>
      <c r="Q86" s="40"/>
      <c r="R86" s="40"/>
    </row>
    <row r="87" spans="1:18" s="12" customFormat="1" ht="2.25" customHeight="1">
      <c r="A87" s="152"/>
      <c r="B87" s="150"/>
      <c r="C87" s="186"/>
      <c r="D87" s="186"/>
      <c r="E87" s="176"/>
      <c r="F87" s="176"/>
      <c r="G87" s="176"/>
      <c r="H87" s="176"/>
      <c r="I87" s="176"/>
      <c r="J87" s="188"/>
      <c r="K87" s="40"/>
      <c r="L87" s="40"/>
      <c r="M87" s="40"/>
      <c r="N87" s="40"/>
      <c r="O87" s="40"/>
      <c r="P87" s="39"/>
      <c r="Q87" s="39"/>
      <c r="R87" s="160"/>
    </row>
    <row r="88" spans="1:18" s="12" customFormat="1" ht="14.25" customHeight="1">
      <c r="A88" s="152"/>
      <c r="B88" s="150"/>
      <c r="C88" s="186"/>
      <c r="D88" s="186"/>
      <c r="E88" s="176"/>
      <c r="F88" s="176"/>
      <c r="G88" s="176"/>
      <c r="H88" s="176"/>
      <c r="I88" s="176"/>
      <c r="J88" s="188"/>
      <c r="K88" s="40"/>
      <c r="L88" s="40"/>
      <c r="M88" s="40"/>
      <c r="N88" s="40"/>
      <c r="O88" s="40"/>
      <c r="P88" s="557"/>
      <c r="Q88" s="557"/>
      <c r="R88" s="557"/>
    </row>
    <row r="89" spans="1:22" ht="9.75" customHeight="1">
      <c r="A89" s="41"/>
      <c r="B89" s="46"/>
      <c r="C89" s="46"/>
      <c r="D89" s="46"/>
      <c r="E89" s="47"/>
      <c r="F89" s="5"/>
      <c r="G89" s="104"/>
      <c r="H89" s="5"/>
      <c r="I89" s="5"/>
      <c r="J89" s="109"/>
      <c r="K89" s="48"/>
      <c r="L89" s="48"/>
      <c r="M89" s="109"/>
      <c r="N89" s="49"/>
      <c r="O89" s="49"/>
      <c r="P89" s="434"/>
      <c r="Q89" s="434"/>
      <c r="R89" s="434"/>
      <c r="T89" s="12"/>
      <c r="U89" s="12"/>
      <c r="V89" s="12"/>
    </row>
    <row r="90" spans="1:22" ht="13.5" customHeight="1" hidden="1">
      <c r="A90" s="41"/>
      <c r="B90" s="46"/>
      <c r="C90" s="46"/>
      <c r="D90" s="46"/>
      <c r="E90" s="47"/>
      <c r="F90" s="5"/>
      <c r="G90" s="104"/>
      <c r="H90" s="5"/>
      <c r="I90" s="5"/>
      <c r="J90" s="109"/>
      <c r="K90" s="48"/>
      <c r="L90" s="48"/>
      <c r="M90" s="109"/>
      <c r="N90" s="49"/>
      <c r="O90" s="49"/>
      <c r="P90" s="434"/>
      <c r="Q90" s="434"/>
      <c r="R90" s="434"/>
      <c r="T90" s="12"/>
      <c r="U90" s="12"/>
      <c r="V90" s="12"/>
    </row>
    <row r="91" spans="1:22" ht="15.75" customHeight="1" hidden="1">
      <c r="A91" s="41"/>
      <c r="B91" s="46"/>
      <c r="C91" s="46"/>
      <c r="D91" s="46"/>
      <c r="E91" s="47"/>
      <c r="F91" s="5"/>
      <c r="G91" s="104"/>
      <c r="H91" s="5"/>
      <c r="I91" s="5"/>
      <c r="J91" s="109"/>
      <c r="K91" s="48"/>
      <c r="L91" s="48"/>
      <c r="M91" s="109"/>
      <c r="N91" s="49"/>
      <c r="O91" s="49"/>
      <c r="P91" s="109"/>
      <c r="Q91" s="49"/>
      <c r="R91" s="109"/>
      <c r="T91" s="12"/>
      <c r="U91" s="12"/>
      <c r="V91" s="12"/>
    </row>
    <row r="92" spans="1:22" ht="26.25" customHeight="1">
      <c r="A92" s="468" t="s">
        <v>108</v>
      </c>
      <c r="B92" s="468"/>
      <c r="C92" s="468"/>
      <c r="D92" s="468"/>
      <c r="E92" s="468"/>
      <c r="F92" s="468"/>
      <c r="G92" s="468"/>
      <c r="H92" s="468"/>
      <c r="I92" s="468"/>
      <c r="J92" s="468"/>
      <c r="K92" s="468"/>
      <c r="L92" s="468"/>
      <c r="M92" s="468"/>
      <c r="N92" s="468"/>
      <c r="O92" s="468"/>
      <c r="P92" s="468"/>
      <c r="Q92" s="468"/>
      <c r="R92" s="468"/>
      <c r="T92" s="12"/>
      <c r="U92" s="12"/>
      <c r="V92" s="12"/>
    </row>
    <row r="93" spans="1:18" ht="25.5">
      <c r="A93" s="469" t="s">
        <v>15</v>
      </c>
      <c r="B93" s="478" t="s">
        <v>0</v>
      </c>
      <c r="C93" s="479"/>
      <c r="D93" s="480"/>
      <c r="E93" s="409" t="s">
        <v>1</v>
      </c>
      <c r="F93" s="409"/>
      <c r="G93" s="409"/>
      <c r="H93" s="409" t="s">
        <v>3</v>
      </c>
      <c r="I93" s="409"/>
      <c r="J93" s="409"/>
      <c r="K93" s="409" t="s">
        <v>4</v>
      </c>
      <c r="L93" s="409"/>
      <c r="M93" s="409"/>
      <c r="N93" s="409" t="s">
        <v>6</v>
      </c>
      <c r="O93" s="409"/>
      <c r="P93" s="409"/>
      <c r="Q93" s="409" t="s">
        <v>7</v>
      </c>
      <c r="R93" s="409"/>
    </row>
    <row r="94" spans="1:18" ht="25.5">
      <c r="A94" s="469"/>
      <c r="B94" s="481"/>
      <c r="C94" s="482"/>
      <c r="D94" s="483"/>
      <c r="F94" s="147" t="s">
        <v>10</v>
      </c>
      <c r="G94" s="108" t="s">
        <v>5</v>
      </c>
      <c r="H94" s="147" t="s">
        <v>10</v>
      </c>
      <c r="I94" s="147" t="s">
        <v>10</v>
      </c>
      <c r="J94" s="108" t="s">
        <v>5</v>
      </c>
      <c r="K94" s="147" t="s">
        <v>10</v>
      </c>
      <c r="L94" s="147" t="s">
        <v>10</v>
      </c>
      <c r="M94" s="108" t="s">
        <v>5</v>
      </c>
      <c r="N94" s="147" t="s">
        <v>10</v>
      </c>
      <c r="O94" s="147" t="s">
        <v>10</v>
      </c>
      <c r="P94" s="108" t="s">
        <v>5</v>
      </c>
      <c r="Q94" s="147" t="s">
        <v>10</v>
      </c>
      <c r="R94" s="108" t="s">
        <v>5</v>
      </c>
    </row>
    <row r="95" spans="1:21" s="97" customFormat="1" ht="32.25" customHeight="1">
      <c r="A95" s="103">
        <v>1</v>
      </c>
      <c r="B95" s="410" t="s">
        <v>33</v>
      </c>
      <c r="C95" s="411"/>
      <c r="D95" s="412"/>
      <c r="E95" s="91">
        <v>14.8</v>
      </c>
      <c r="F95" s="223">
        <v>3.3</v>
      </c>
      <c r="G95" s="222">
        <f>F95*F124</f>
        <v>132.297</v>
      </c>
      <c r="H95" s="93">
        <v>14.8</v>
      </c>
      <c r="I95" s="223">
        <v>3.3</v>
      </c>
      <c r="J95" s="222">
        <f>I95*F124</f>
        <v>132.297</v>
      </c>
      <c r="K95" s="93">
        <v>15</v>
      </c>
      <c r="L95" s="223">
        <v>3.4</v>
      </c>
      <c r="M95" s="222">
        <f>L95*G124</f>
        <v>141.74599999999998</v>
      </c>
      <c r="N95" s="93">
        <v>15</v>
      </c>
      <c r="O95" s="223">
        <v>3.3</v>
      </c>
      <c r="P95" s="238">
        <f>O95*G124</f>
        <v>137.577</v>
      </c>
      <c r="Q95" s="239">
        <f>F95+I95+L95+O95</f>
        <v>13.3</v>
      </c>
      <c r="R95" s="238">
        <v>543.93</v>
      </c>
      <c r="S95" s="94"/>
      <c r="T95" s="100"/>
      <c r="U95" s="100"/>
    </row>
    <row r="96" spans="1:21" s="97" customFormat="1" ht="32.25" customHeight="1">
      <c r="A96" s="103">
        <v>2</v>
      </c>
      <c r="B96" s="410" t="s">
        <v>41</v>
      </c>
      <c r="C96" s="411"/>
      <c r="D96" s="412"/>
      <c r="E96" s="98"/>
      <c r="F96" s="223">
        <f>F97+F98+F99+F100+F101+F102</f>
        <v>1459</v>
      </c>
      <c r="G96" s="222">
        <f>G97+G98+G99+G100+G101+G102</f>
        <v>63916.310000000005</v>
      </c>
      <c r="H96" s="93"/>
      <c r="I96" s="223">
        <f>I97+I98+I99+I100+I101+I102</f>
        <v>1766.4</v>
      </c>
      <c r="J96" s="222">
        <f>J97+J98+J99+J100+J101+J102</f>
        <v>78843.97600000001</v>
      </c>
      <c r="K96" s="93"/>
      <c r="L96" s="223">
        <f>L97+L98+L99+L100+L101+L102</f>
        <v>1840.8</v>
      </c>
      <c r="M96" s="222">
        <f>M97+M98+M99+M100+M101+M102</f>
        <v>87242.652</v>
      </c>
      <c r="N96" s="93"/>
      <c r="O96" s="223">
        <f>O97+O98+O99+O100+O101+O102</f>
        <v>1893.8</v>
      </c>
      <c r="P96" s="238">
        <f>P97+P98+P99+P100+P101+P102</f>
        <v>88323.222</v>
      </c>
      <c r="Q96" s="239">
        <f>Q97+Q98+Q99+Q100+Q101+Q102</f>
        <v>6960</v>
      </c>
      <c r="R96" s="238">
        <f>R97+R98+R99+R100+R101+R102</f>
        <v>318326.16</v>
      </c>
      <c r="S96" s="94"/>
      <c r="T96" s="100"/>
      <c r="U96" s="100"/>
    </row>
    <row r="97" spans="1:21" s="18" customFormat="1" ht="52.5" customHeight="1">
      <c r="A97" s="33"/>
      <c r="B97" s="393" t="s">
        <v>34</v>
      </c>
      <c r="C97" s="394"/>
      <c r="D97" s="395"/>
      <c r="E97" s="8">
        <v>3068.8</v>
      </c>
      <c r="F97" s="227">
        <v>350</v>
      </c>
      <c r="G97" s="225">
        <f>F97*F124</f>
        <v>14031.500000000002</v>
      </c>
      <c r="H97" s="226">
        <v>2511</v>
      </c>
      <c r="I97" s="227">
        <v>300</v>
      </c>
      <c r="J97" s="225">
        <f>I97*F124</f>
        <v>12027.000000000002</v>
      </c>
      <c r="K97" s="226">
        <v>2511</v>
      </c>
      <c r="L97" s="227">
        <v>308</v>
      </c>
      <c r="M97" s="225">
        <f>L97*G124</f>
        <v>12840.519999999999</v>
      </c>
      <c r="N97" s="226">
        <v>2511</v>
      </c>
      <c r="O97" s="227">
        <v>342</v>
      </c>
      <c r="P97" s="240">
        <f>O97*G124</f>
        <v>14257.98</v>
      </c>
      <c r="Q97" s="241">
        <f aca="true" t="shared" si="18" ref="Q97:R104">F97+I97+L97+O97</f>
        <v>1300</v>
      </c>
      <c r="R97" s="240">
        <f t="shared" si="18"/>
        <v>53157</v>
      </c>
      <c r="S97" s="67"/>
      <c r="T97" s="17"/>
      <c r="U97" s="17"/>
    </row>
    <row r="98" spans="1:21" ht="48.75" customHeight="1">
      <c r="A98" s="30"/>
      <c r="B98" s="393" t="s">
        <v>35</v>
      </c>
      <c r="C98" s="394"/>
      <c r="D98" s="395"/>
      <c r="E98" s="50">
        <v>609</v>
      </c>
      <c r="F98" s="227">
        <v>170</v>
      </c>
      <c r="G98" s="225">
        <f>F98*F124</f>
        <v>6815.3</v>
      </c>
      <c r="H98" s="226">
        <v>609</v>
      </c>
      <c r="I98" s="227">
        <v>150</v>
      </c>
      <c r="J98" s="225">
        <f>I98*F124</f>
        <v>6013.500000000001</v>
      </c>
      <c r="K98" s="226">
        <v>609</v>
      </c>
      <c r="L98" s="227">
        <v>170</v>
      </c>
      <c r="M98" s="225">
        <f>L98*G124</f>
        <v>7087.299999999999</v>
      </c>
      <c r="N98" s="226">
        <v>609</v>
      </c>
      <c r="O98" s="227">
        <v>150</v>
      </c>
      <c r="P98" s="240">
        <f>O98*G124</f>
        <v>6253.5</v>
      </c>
      <c r="Q98" s="241">
        <f t="shared" si="18"/>
        <v>640</v>
      </c>
      <c r="R98" s="240">
        <f t="shared" si="18"/>
        <v>26169.6</v>
      </c>
      <c r="S98" s="67"/>
      <c r="T98" s="13"/>
      <c r="U98" s="13"/>
    </row>
    <row r="99" spans="1:21" ht="26.25" customHeight="1">
      <c r="A99" s="33"/>
      <c r="B99" s="393" t="s">
        <v>36</v>
      </c>
      <c r="C99" s="394"/>
      <c r="D99" s="395"/>
      <c r="E99" s="8">
        <v>725.1</v>
      </c>
      <c r="F99" s="227">
        <v>350</v>
      </c>
      <c r="G99" s="225">
        <f>F99*F125</f>
        <v>17829</v>
      </c>
      <c r="H99" s="226">
        <v>885.2</v>
      </c>
      <c r="I99" s="227">
        <v>300</v>
      </c>
      <c r="J99" s="225">
        <f>I99*F125</f>
        <v>15282</v>
      </c>
      <c r="K99" s="226">
        <v>727.3</v>
      </c>
      <c r="L99" s="227">
        <v>200</v>
      </c>
      <c r="M99" s="225">
        <f>L99*G125</f>
        <v>10596</v>
      </c>
      <c r="N99" s="226">
        <v>892.61</v>
      </c>
      <c r="O99" s="227">
        <v>350</v>
      </c>
      <c r="P99" s="240">
        <f>O99*G125</f>
        <v>18543</v>
      </c>
      <c r="Q99" s="241">
        <f t="shared" si="18"/>
        <v>1200</v>
      </c>
      <c r="R99" s="240">
        <f t="shared" si="18"/>
        <v>62250</v>
      </c>
      <c r="S99" s="67"/>
      <c r="T99" s="13"/>
      <c r="U99" s="13"/>
    </row>
    <row r="100" spans="1:21" ht="30.75" customHeight="1">
      <c r="A100" s="33"/>
      <c r="B100" s="408" t="s">
        <v>37</v>
      </c>
      <c r="C100" s="408"/>
      <c r="D100" s="408"/>
      <c r="E100" s="8">
        <v>1639</v>
      </c>
      <c r="F100" s="227">
        <v>150</v>
      </c>
      <c r="G100" s="225">
        <f>F100*F125</f>
        <v>7641</v>
      </c>
      <c r="H100" s="226">
        <v>1584</v>
      </c>
      <c r="I100" s="227">
        <v>440</v>
      </c>
      <c r="J100" s="225">
        <f>I100*F125</f>
        <v>22413.6</v>
      </c>
      <c r="K100" s="226">
        <v>1344</v>
      </c>
      <c r="L100" s="227">
        <v>730</v>
      </c>
      <c r="M100" s="225">
        <f>L100*G125</f>
        <v>38675.399999999994</v>
      </c>
      <c r="N100" s="226">
        <v>1639</v>
      </c>
      <c r="O100" s="227">
        <v>480</v>
      </c>
      <c r="P100" s="240">
        <f>O100*G125</f>
        <v>25430.399999999998</v>
      </c>
      <c r="Q100" s="241">
        <f t="shared" si="18"/>
        <v>1800</v>
      </c>
      <c r="R100" s="240">
        <f t="shared" si="18"/>
        <v>94160.4</v>
      </c>
      <c r="S100" s="67"/>
      <c r="T100" s="13"/>
      <c r="U100" s="13"/>
    </row>
    <row r="101" spans="1:21" s="120" customFormat="1" ht="33" customHeight="1">
      <c r="A101" s="121"/>
      <c r="B101" s="470" t="s">
        <v>38</v>
      </c>
      <c r="C101" s="470"/>
      <c r="D101" s="470"/>
      <c r="E101" s="116">
        <v>53.7</v>
      </c>
      <c r="F101" s="242">
        <v>400</v>
      </c>
      <c r="G101" s="243">
        <f>F101*F124</f>
        <v>16036.000000000002</v>
      </c>
      <c r="H101" s="244">
        <v>43.6</v>
      </c>
      <c r="I101" s="242">
        <v>550</v>
      </c>
      <c r="J101" s="243">
        <f>I101*F124</f>
        <v>22049.500000000004</v>
      </c>
      <c r="K101" s="244">
        <v>43.8</v>
      </c>
      <c r="L101" s="242">
        <v>350</v>
      </c>
      <c r="M101" s="243">
        <f>L101*G124</f>
        <v>14591.5</v>
      </c>
      <c r="N101" s="244">
        <v>43.8</v>
      </c>
      <c r="O101" s="242">
        <v>550</v>
      </c>
      <c r="P101" s="245">
        <f>O101*G124</f>
        <v>22929.5</v>
      </c>
      <c r="Q101" s="246">
        <f t="shared" si="18"/>
        <v>1850</v>
      </c>
      <c r="R101" s="245">
        <f t="shared" si="18"/>
        <v>75606.5</v>
      </c>
      <c r="S101" s="117"/>
      <c r="T101" s="122"/>
      <c r="U101" s="122"/>
    </row>
    <row r="102" spans="1:21" s="120" customFormat="1" ht="54.75" customHeight="1">
      <c r="A102" s="121"/>
      <c r="B102" s="470" t="s">
        <v>39</v>
      </c>
      <c r="C102" s="470"/>
      <c r="D102" s="470"/>
      <c r="E102" s="116">
        <v>51</v>
      </c>
      <c r="F102" s="242">
        <v>39</v>
      </c>
      <c r="G102" s="243">
        <f>F102*F124</f>
        <v>1563.5100000000002</v>
      </c>
      <c r="H102" s="244">
        <v>48</v>
      </c>
      <c r="I102" s="242">
        <v>26.4</v>
      </c>
      <c r="J102" s="243">
        <f>I102*F124</f>
        <v>1058.376</v>
      </c>
      <c r="K102" s="244">
        <v>48</v>
      </c>
      <c r="L102" s="242">
        <v>82.8</v>
      </c>
      <c r="M102" s="243">
        <f>L102*G124</f>
        <v>3451.932</v>
      </c>
      <c r="N102" s="244">
        <v>51</v>
      </c>
      <c r="O102" s="242">
        <v>21.8</v>
      </c>
      <c r="P102" s="245">
        <f>O102*G124</f>
        <v>908.842</v>
      </c>
      <c r="Q102" s="246">
        <f t="shared" si="18"/>
        <v>170</v>
      </c>
      <c r="R102" s="245">
        <f t="shared" si="18"/>
        <v>6982.66</v>
      </c>
      <c r="S102" s="117"/>
      <c r="T102" s="122"/>
      <c r="U102" s="122"/>
    </row>
    <row r="103" spans="1:21" s="97" customFormat="1" ht="55.5" customHeight="1">
      <c r="A103" s="103">
        <v>3</v>
      </c>
      <c r="B103" s="410" t="s">
        <v>42</v>
      </c>
      <c r="C103" s="411"/>
      <c r="D103" s="412"/>
      <c r="E103" s="98">
        <v>76.86</v>
      </c>
      <c r="F103" s="232">
        <f>SUM(F104:F107)</f>
        <v>94.53</v>
      </c>
      <c r="G103" s="222">
        <f aca="true" t="shared" si="19" ref="G103:P103">SUM(G104:G107)</f>
        <v>3854.8077000000003</v>
      </c>
      <c r="H103" s="93">
        <f t="shared" si="19"/>
        <v>0</v>
      </c>
      <c r="I103" s="232">
        <f t="shared" si="19"/>
        <v>94.53</v>
      </c>
      <c r="J103" s="222">
        <f t="shared" si="19"/>
        <v>3854.8077000000003</v>
      </c>
      <c r="K103" s="93">
        <f t="shared" si="19"/>
        <v>0</v>
      </c>
      <c r="L103" s="232">
        <f t="shared" si="19"/>
        <v>94.53</v>
      </c>
      <c r="M103" s="222">
        <f t="shared" si="19"/>
        <v>4008.6957</v>
      </c>
      <c r="N103" s="93">
        <f t="shared" si="19"/>
        <v>0</v>
      </c>
      <c r="O103" s="232">
        <f t="shared" si="19"/>
        <v>94.53</v>
      </c>
      <c r="P103" s="238">
        <f t="shared" si="19"/>
        <v>4008.6957</v>
      </c>
      <c r="Q103" s="247">
        <f t="shared" si="18"/>
        <v>378.12</v>
      </c>
      <c r="R103" s="238">
        <v>15727.02</v>
      </c>
      <c r="S103" s="94"/>
      <c r="T103" s="100"/>
      <c r="U103" s="100"/>
    </row>
    <row r="104" spans="1:21" ht="33" customHeight="1">
      <c r="A104" s="33"/>
      <c r="B104" s="418" t="s">
        <v>131</v>
      </c>
      <c r="C104" s="416"/>
      <c r="D104" s="417"/>
      <c r="E104" s="8"/>
      <c r="F104" s="382">
        <v>58.53</v>
      </c>
      <c r="G104" s="225">
        <f>F104*F124</f>
        <v>2346.4677</v>
      </c>
      <c r="H104" s="226"/>
      <c r="I104" s="382">
        <v>58.53</v>
      </c>
      <c r="J104" s="225">
        <f>I104*F124</f>
        <v>2346.4677</v>
      </c>
      <c r="K104" s="226"/>
      <c r="L104" s="382">
        <v>58.53</v>
      </c>
      <c r="M104" s="225">
        <f>L104*G124</f>
        <v>2440.1157</v>
      </c>
      <c r="N104" s="226"/>
      <c r="O104" s="382">
        <v>58.53</v>
      </c>
      <c r="P104" s="240">
        <f>O104*G124</f>
        <v>2440.1157</v>
      </c>
      <c r="Q104" s="241">
        <f t="shared" si="18"/>
        <v>234.12</v>
      </c>
      <c r="R104" s="240">
        <v>9573.18</v>
      </c>
      <c r="S104" s="67"/>
      <c r="T104" s="13"/>
      <c r="U104" s="13"/>
    </row>
    <row r="105" spans="1:21" ht="38.25" customHeight="1">
      <c r="A105" s="33"/>
      <c r="B105" s="418" t="s">
        <v>132</v>
      </c>
      <c r="C105" s="416"/>
      <c r="D105" s="417"/>
      <c r="E105" s="8"/>
      <c r="F105" s="382">
        <v>6</v>
      </c>
      <c r="G105" s="225">
        <f>F105*F125</f>
        <v>305.64</v>
      </c>
      <c r="H105" s="60"/>
      <c r="I105" s="382">
        <v>6</v>
      </c>
      <c r="J105" s="225">
        <f>I105*F125</f>
        <v>305.64</v>
      </c>
      <c r="K105" s="60"/>
      <c r="L105" s="382">
        <v>6</v>
      </c>
      <c r="M105" s="225">
        <f>L105*G125</f>
        <v>317.88</v>
      </c>
      <c r="N105" s="60"/>
      <c r="O105" s="382">
        <v>6</v>
      </c>
      <c r="P105" s="240">
        <f>O105*G125</f>
        <v>317.88</v>
      </c>
      <c r="Q105" s="241">
        <f aca="true" t="shared" si="20" ref="Q105:R107">F105+I105+L105+O105</f>
        <v>24</v>
      </c>
      <c r="R105" s="240">
        <f t="shared" si="20"/>
        <v>1247.04</v>
      </c>
      <c r="S105" s="67"/>
      <c r="T105" s="13"/>
      <c r="U105" s="13"/>
    </row>
    <row r="106" spans="1:21" ht="38.25" customHeight="1">
      <c r="A106" s="33"/>
      <c r="B106" s="393" t="s">
        <v>136</v>
      </c>
      <c r="C106" s="394"/>
      <c r="D106" s="395"/>
      <c r="E106" s="8"/>
      <c r="F106" s="227">
        <v>9</v>
      </c>
      <c r="G106" s="225">
        <f>F106*F124</f>
        <v>360.81000000000006</v>
      </c>
      <c r="H106" s="60"/>
      <c r="I106" s="227">
        <v>9</v>
      </c>
      <c r="J106" s="225">
        <f>I106*F124</f>
        <v>360.81000000000006</v>
      </c>
      <c r="K106" s="60"/>
      <c r="L106" s="227">
        <v>9</v>
      </c>
      <c r="M106" s="225">
        <f>L106*G124</f>
        <v>375.21</v>
      </c>
      <c r="N106" s="60"/>
      <c r="O106" s="227">
        <v>9</v>
      </c>
      <c r="P106" s="240">
        <f>O106*G124</f>
        <v>375.21</v>
      </c>
      <c r="Q106" s="241">
        <f t="shared" si="20"/>
        <v>36</v>
      </c>
      <c r="R106" s="240">
        <f t="shared" si="20"/>
        <v>1472.0400000000002</v>
      </c>
      <c r="S106" s="67"/>
      <c r="T106" s="13"/>
      <c r="U106" s="13"/>
    </row>
    <row r="107" spans="1:21" ht="38.25" customHeight="1">
      <c r="A107" s="33"/>
      <c r="B107" s="393" t="s">
        <v>137</v>
      </c>
      <c r="C107" s="394"/>
      <c r="D107" s="395"/>
      <c r="E107" s="8"/>
      <c r="F107" s="248">
        <v>21</v>
      </c>
      <c r="G107" s="225">
        <f>F107*F124</f>
        <v>841.8900000000001</v>
      </c>
      <c r="H107" s="60"/>
      <c r="I107" s="248">
        <v>21</v>
      </c>
      <c r="J107" s="225">
        <f>I107*F124</f>
        <v>841.8900000000001</v>
      </c>
      <c r="K107" s="60"/>
      <c r="L107" s="248">
        <v>21</v>
      </c>
      <c r="M107" s="225">
        <f>L107*G124</f>
        <v>875.49</v>
      </c>
      <c r="N107" s="60"/>
      <c r="O107" s="248">
        <v>21</v>
      </c>
      <c r="P107" s="240">
        <f>O107*G124</f>
        <v>875.49</v>
      </c>
      <c r="Q107" s="241">
        <f t="shared" si="20"/>
        <v>84</v>
      </c>
      <c r="R107" s="240">
        <f t="shared" si="20"/>
        <v>3434.76</v>
      </c>
      <c r="S107" s="67"/>
      <c r="T107" s="13"/>
      <c r="U107" s="13"/>
    </row>
    <row r="108" spans="1:21" s="97" customFormat="1" ht="30.75" customHeight="1">
      <c r="A108" s="103">
        <v>4</v>
      </c>
      <c r="B108" s="410" t="s">
        <v>43</v>
      </c>
      <c r="C108" s="411"/>
      <c r="D108" s="412"/>
      <c r="E108" s="98">
        <v>172</v>
      </c>
      <c r="F108" s="223">
        <f>F109</f>
        <v>23.4</v>
      </c>
      <c r="G108" s="222">
        <f>G109</f>
        <v>938.106</v>
      </c>
      <c r="H108" s="93"/>
      <c r="I108" s="223">
        <f>I109</f>
        <v>23.4</v>
      </c>
      <c r="J108" s="222">
        <f>J109</f>
        <v>938.106</v>
      </c>
      <c r="K108" s="93"/>
      <c r="L108" s="223">
        <f>L109</f>
        <v>23.7</v>
      </c>
      <c r="M108" s="222">
        <f>M109</f>
        <v>988.0529999999999</v>
      </c>
      <c r="N108" s="93"/>
      <c r="O108" s="223">
        <f>O109</f>
        <v>23.1</v>
      </c>
      <c r="P108" s="238">
        <f>P109</f>
        <v>963.039</v>
      </c>
      <c r="Q108" s="239">
        <f>Q109</f>
        <v>93.6</v>
      </c>
      <c r="R108" s="238">
        <f>R109</f>
        <v>3827.31</v>
      </c>
      <c r="S108" s="94"/>
      <c r="T108" s="100"/>
      <c r="U108" s="100"/>
    </row>
    <row r="109" spans="1:21" ht="30.75" customHeight="1">
      <c r="A109" s="33"/>
      <c r="B109" s="393" t="s">
        <v>44</v>
      </c>
      <c r="C109" s="394"/>
      <c r="D109" s="395"/>
      <c r="E109" s="8"/>
      <c r="F109" s="227">
        <v>23.4</v>
      </c>
      <c r="G109" s="225">
        <f>F109*F124</f>
        <v>938.106</v>
      </c>
      <c r="H109" s="226"/>
      <c r="I109" s="227">
        <v>23.4</v>
      </c>
      <c r="J109" s="225">
        <f>I109*F124</f>
        <v>938.106</v>
      </c>
      <c r="K109" s="226"/>
      <c r="L109" s="227">
        <v>23.7</v>
      </c>
      <c r="M109" s="225">
        <f>L109*G124</f>
        <v>988.0529999999999</v>
      </c>
      <c r="N109" s="226"/>
      <c r="O109" s="227">
        <v>23.1</v>
      </c>
      <c r="P109" s="240">
        <f>O109*G124</f>
        <v>963.039</v>
      </c>
      <c r="Q109" s="241">
        <f>F109+I109+L109+O109</f>
        <v>93.6</v>
      </c>
      <c r="R109" s="240">
        <v>3827.31</v>
      </c>
      <c r="S109" s="67"/>
      <c r="T109" s="13"/>
      <c r="U109" s="13"/>
    </row>
    <row r="110" spans="1:21" s="97" customFormat="1" ht="53.25" customHeight="1">
      <c r="A110" s="103">
        <v>5</v>
      </c>
      <c r="B110" s="410" t="s">
        <v>47</v>
      </c>
      <c r="C110" s="411"/>
      <c r="D110" s="412"/>
      <c r="E110" s="98"/>
      <c r="F110" s="223">
        <f>F111+F112+F113+F114</f>
        <v>139.38</v>
      </c>
      <c r="G110" s="222">
        <v>5763.52</v>
      </c>
      <c r="H110" s="93"/>
      <c r="I110" s="223">
        <f>I111+I112+I113+I114</f>
        <v>136.18</v>
      </c>
      <c r="J110" s="222">
        <f>J111+J112+J113+J114</f>
        <v>5835.3002</v>
      </c>
      <c r="K110" s="93"/>
      <c r="L110" s="223">
        <f>L111+L112+L113+L114</f>
        <v>129.14</v>
      </c>
      <c r="M110" s="222">
        <f>M111+M112+M113+M114</f>
        <v>5723.6756</v>
      </c>
      <c r="N110" s="93"/>
      <c r="O110" s="223">
        <f>O111+O112+O113+O114</f>
        <v>245.81</v>
      </c>
      <c r="P110" s="238">
        <v>10526.69</v>
      </c>
      <c r="Q110" s="239">
        <f>Q111+Q112+Q113+Q114</f>
        <v>650.51</v>
      </c>
      <c r="R110" s="238">
        <f>R111+R112+R113+R114</f>
        <v>27849.1883</v>
      </c>
      <c r="S110" s="94"/>
      <c r="T110" s="100"/>
      <c r="U110" s="100"/>
    </row>
    <row r="111" spans="1:21" ht="30.75" customHeight="1">
      <c r="A111" s="33"/>
      <c r="B111" s="393" t="s">
        <v>48</v>
      </c>
      <c r="C111" s="394"/>
      <c r="D111" s="395"/>
      <c r="E111" s="8"/>
      <c r="F111" s="227">
        <v>14.18</v>
      </c>
      <c r="G111" s="225">
        <f>F111*F124</f>
        <v>568.4762000000001</v>
      </c>
      <c r="H111" s="226"/>
      <c r="I111" s="227">
        <v>13.14</v>
      </c>
      <c r="J111" s="225">
        <f>I111*F124</f>
        <v>526.7826000000001</v>
      </c>
      <c r="K111" s="226"/>
      <c r="L111" s="227">
        <v>13.29</v>
      </c>
      <c r="M111" s="225">
        <f>L111*G124</f>
        <v>554.0600999999999</v>
      </c>
      <c r="N111" s="226"/>
      <c r="O111" s="227">
        <v>32.91</v>
      </c>
      <c r="P111" s="240">
        <f>O111*G124</f>
        <v>1372.0178999999998</v>
      </c>
      <c r="Q111" s="241">
        <f aca="true" t="shared" si="21" ref="Q111:R114">F111+I111+L111+O111</f>
        <v>73.52</v>
      </c>
      <c r="R111" s="240">
        <f t="shared" si="21"/>
        <v>3021.3368</v>
      </c>
      <c r="S111" s="67"/>
      <c r="T111" s="13"/>
      <c r="U111" s="13"/>
    </row>
    <row r="112" spans="1:21" ht="30.75" customHeight="1">
      <c r="A112" s="33"/>
      <c r="B112" s="393" t="s">
        <v>49</v>
      </c>
      <c r="C112" s="394"/>
      <c r="D112" s="395"/>
      <c r="E112" s="8"/>
      <c r="F112" s="227">
        <v>48</v>
      </c>
      <c r="G112" s="225">
        <f>36*F124+12*F125</f>
        <v>2054.5200000000004</v>
      </c>
      <c r="H112" s="226"/>
      <c r="I112" s="227">
        <v>48</v>
      </c>
      <c r="J112" s="225">
        <f>36*F124+12*F125</f>
        <v>2054.5200000000004</v>
      </c>
      <c r="K112" s="226"/>
      <c r="L112" s="227">
        <v>72.35</v>
      </c>
      <c r="M112" s="225">
        <f>52.35*G124+20*G125</f>
        <v>3242.0715</v>
      </c>
      <c r="N112" s="226"/>
      <c r="O112" s="227">
        <v>48</v>
      </c>
      <c r="P112" s="240">
        <f>36*G124+12*G125</f>
        <v>2136.6</v>
      </c>
      <c r="Q112" s="241">
        <f t="shared" si="21"/>
        <v>216.35</v>
      </c>
      <c r="R112" s="240">
        <f t="shared" si="21"/>
        <v>9487.711500000001</v>
      </c>
      <c r="S112" s="67"/>
      <c r="T112" s="13"/>
      <c r="U112" s="13"/>
    </row>
    <row r="113" spans="1:21" ht="30.75" customHeight="1">
      <c r="A113" s="33"/>
      <c r="B113" s="393" t="s">
        <v>50</v>
      </c>
      <c r="C113" s="394"/>
      <c r="D113" s="395"/>
      <c r="E113" s="8"/>
      <c r="F113" s="227">
        <v>32.2</v>
      </c>
      <c r="G113" s="225">
        <f>28*F124+4.2*F125</f>
        <v>1336.468</v>
      </c>
      <c r="H113" s="226"/>
      <c r="I113" s="227">
        <v>50.64</v>
      </c>
      <c r="J113" s="225">
        <f>28*F124+22.64*F125</f>
        <v>2275.8016</v>
      </c>
      <c r="K113" s="226"/>
      <c r="L113" s="227">
        <v>29.1</v>
      </c>
      <c r="M113" s="225">
        <f>19*G124+10.1*G125</f>
        <v>1327.2079999999999</v>
      </c>
      <c r="N113" s="226"/>
      <c r="O113" s="227">
        <v>31.7</v>
      </c>
      <c r="P113" s="240">
        <f>19*G124+12.7*G125</f>
        <v>1464.9559999999997</v>
      </c>
      <c r="Q113" s="241">
        <f t="shared" si="21"/>
        <v>143.64</v>
      </c>
      <c r="R113" s="240">
        <v>6404.44</v>
      </c>
      <c r="S113" s="67"/>
      <c r="T113" s="13"/>
      <c r="U113" s="13"/>
    </row>
    <row r="114" spans="1:21" ht="30.75" customHeight="1">
      <c r="A114" s="33"/>
      <c r="B114" s="408" t="s">
        <v>40</v>
      </c>
      <c r="C114" s="408"/>
      <c r="D114" s="408"/>
      <c r="E114" s="8"/>
      <c r="F114" s="227">
        <v>45</v>
      </c>
      <c r="G114" s="225">
        <f>F114*F124</f>
        <v>1804.0500000000002</v>
      </c>
      <c r="H114" s="226"/>
      <c r="I114" s="227">
        <v>24.4</v>
      </c>
      <c r="J114" s="225">
        <f>I114*F124</f>
        <v>978.196</v>
      </c>
      <c r="K114" s="226"/>
      <c r="L114" s="227">
        <v>14.4</v>
      </c>
      <c r="M114" s="225">
        <f>L114*G124</f>
        <v>600.336</v>
      </c>
      <c r="N114" s="226"/>
      <c r="O114" s="227">
        <v>133.2</v>
      </c>
      <c r="P114" s="240">
        <f>O114*G124</f>
        <v>5553.107999999999</v>
      </c>
      <c r="Q114" s="241">
        <f t="shared" si="21"/>
        <v>217</v>
      </c>
      <c r="R114" s="240">
        <v>8935.7</v>
      </c>
      <c r="S114" s="67"/>
      <c r="T114" s="13"/>
      <c r="U114" s="13"/>
    </row>
    <row r="115" spans="1:21" s="97" customFormat="1" ht="30.75" customHeight="1">
      <c r="A115" s="103">
        <v>6</v>
      </c>
      <c r="B115" s="410" t="s">
        <v>53</v>
      </c>
      <c r="C115" s="411"/>
      <c r="D115" s="412"/>
      <c r="E115" s="98"/>
      <c r="F115" s="223">
        <f>F116+F117+F118</f>
        <v>2682</v>
      </c>
      <c r="G115" s="222">
        <f>G116+G117+G118</f>
        <v>107521.38</v>
      </c>
      <c r="H115" s="93"/>
      <c r="I115" s="223">
        <f>I116+I117+I118</f>
        <v>2575</v>
      </c>
      <c r="J115" s="222">
        <f>J116+J117+J118</f>
        <v>103231.75</v>
      </c>
      <c r="K115" s="93"/>
      <c r="L115" s="223">
        <f>L116+L117+L118</f>
        <v>2376</v>
      </c>
      <c r="M115" s="222">
        <f>M116+M117+M118</f>
        <v>99055.43999999999</v>
      </c>
      <c r="N115" s="93"/>
      <c r="O115" s="223">
        <f>O116+O117+O118</f>
        <v>2710</v>
      </c>
      <c r="P115" s="238">
        <f>P116+P117+P118</f>
        <v>112979.9</v>
      </c>
      <c r="Q115" s="239">
        <f>Q116+Q117+Q118</f>
        <v>10343</v>
      </c>
      <c r="R115" s="238">
        <f>R116+R117+R118</f>
        <v>422788.47</v>
      </c>
      <c r="S115" s="94"/>
      <c r="T115" s="100"/>
      <c r="U115" s="100"/>
    </row>
    <row r="116" spans="1:21" ht="30.75" customHeight="1">
      <c r="A116" s="35"/>
      <c r="B116" s="422" t="s">
        <v>140</v>
      </c>
      <c r="C116" s="423"/>
      <c r="D116" s="424"/>
      <c r="E116" s="8"/>
      <c r="F116" s="227">
        <v>192</v>
      </c>
      <c r="G116" s="225">
        <f>F116*F124</f>
        <v>7697.280000000001</v>
      </c>
      <c r="H116" s="226"/>
      <c r="I116" s="227">
        <v>185</v>
      </c>
      <c r="J116" s="225">
        <f>I116*F124</f>
        <v>7416.650000000001</v>
      </c>
      <c r="K116" s="226"/>
      <c r="L116" s="227">
        <v>86</v>
      </c>
      <c r="M116" s="225">
        <f>L116*G124</f>
        <v>3585.3399999999997</v>
      </c>
      <c r="N116" s="226"/>
      <c r="O116" s="227">
        <v>220</v>
      </c>
      <c r="P116" s="240">
        <f>O116*G124</f>
        <v>9171.8</v>
      </c>
      <c r="Q116" s="241">
        <f>F116+I116+L116+O116</f>
        <v>683</v>
      </c>
      <c r="R116" s="240">
        <f>G116+J116+M116+P116</f>
        <v>27871.07</v>
      </c>
      <c r="S116" s="67"/>
      <c r="T116" s="13"/>
      <c r="U116" s="13"/>
    </row>
    <row r="117" spans="1:21" ht="30.75" customHeight="1">
      <c r="A117" s="35"/>
      <c r="B117" s="393" t="s">
        <v>55</v>
      </c>
      <c r="C117" s="394"/>
      <c r="D117" s="395"/>
      <c r="E117" s="8"/>
      <c r="F117" s="227">
        <v>300</v>
      </c>
      <c r="G117" s="225">
        <f>F117*F124</f>
        <v>12027.000000000002</v>
      </c>
      <c r="H117" s="226"/>
      <c r="I117" s="227">
        <v>200</v>
      </c>
      <c r="J117" s="225">
        <f>I117*F124</f>
        <v>8018.000000000001</v>
      </c>
      <c r="K117" s="226"/>
      <c r="L117" s="227">
        <v>100</v>
      </c>
      <c r="M117" s="225">
        <f>L117*G124</f>
        <v>4169</v>
      </c>
      <c r="N117" s="226"/>
      <c r="O117" s="227">
        <v>300</v>
      </c>
      <c r="P117" s="240">
        <f>O117*G124</f>
        <v>12507</v>
      </c>
      <c r="Q117" s="241">
        <f>F117+I117+L117+O117</f>
        <v>900</v>
      </c>
      <c r="R117" s="240">
        <f>G117+J117+M117+P117</f>
        <v>36721</v>
      </c>
      <c r="S117" s="67"/>
      <c r="T117" s="13"/>
      <c r="U117" s="13"/>
    </row>
    <row r="118" spans="1:21" ht="30.75" customHeight="1">
      <c r="A118" s="35"/>
      <c r="B118" s="399" t="s">
        <v>84</v>
      </c>
      <c r="C118" s="474"/>
      <c r="D118" s="475"/>
      <c r="E118" s="8"/>
      <c r="F118" s="227">
        <v>2190</v>
      </c>
      <c r="G118" s="225">
        <f>SUM(F118)*F124</f>
        <v>87797.1</v>
      </c>
      <c r="H118" s="226"/>
      <c r="I118" s="227">
        <v>2190</v>
      </c>
      <c r="J118" s="225">
        <f>SUM(I118)*F124</f>
        <v>87797.1</v>
      </c>
      <c r="K118" s="226"/>
      <c r="L118" s="227">
        <v>2190</v>
      </c>
      <c r="M118" s="225">
        <f>SUM(L118)*G124</f>
        <v>91301.09999999999</v>
      </c>
      <c r="N118" s="226"/>
      <c r="O118" s="227">
        <v>2190</v>
      </c>
      <c r="P118" s="240">
        <f>SUM(O118)*G124</f>
        <v>91301.09999999999</v>
      </c>
      <c r="Q118" s="241">
        <f>F118+I118+L118+O118</f>
        <v>8760</v>
      </c>
      <c r="R118" s="240">
        <f>SUM(G118)+J118+M118+P118</f>
        <v>358196.39999999997</v>
      </c>
      <c r="S118" s="67"/>
      <c r="T118" s="13"/>
      <c r="U118" s="13"/>
    </row>
    <row r="119" spans="1:21" ht="30.75" customHeight="1">
      <c r="A119" s="99">
        <v>8</v>
      </c>
      <c r="B119" s="410" t="s">
        <v>85</v>
      </c>
      <c r="C119" s="411"/>
      <c r="D119" s="412"/>
      <c r="E119" s="8"/>
      <c r="F119" s="282">
        <f>SUM(F120:F121)</f>
        <v>30</v>
      </c>
      <c r="G119" s="285">
        <f aca="true" t="shared" si="22" ref="G119:R119">SUM(G120:G121)</f>
        <v>1202.7</v>
      </c>
      <c r="H119" s="281">
        <f t="shared" si="22"/>
        <v>0</v>
      </c>
      <c r="I119" s="282">
        <f>SUM(I120:I121)</f>
        <v>30</v>
      </c>
      <c r="J119" s="285">
        <f t="shared" si="22"/>
        <v>1202.7</v>
      </c>
      <c r="K119" s="281">
        <f t="shared" si="22"/>
        <v>0</v>
      </c>
      <c r="L119" s="282">
        <f>SUM(L120:L121)</f>
        <v>30</v>
      </c>
      <c r="M119" s="285">
        <f t="shared" si="22"/>
        <v>1250.6999999999998</v>
      </c>
      <c r="N119" s="281">
        <f t="shared" si="22"/>
        <v>0</v>
      </c>
      <c r="O119" s="282">
        <f>SUM(O120:O121)</f>
        <v>30</v>
      </c>
      <c r="P119" s="283">
        <f t="shared" si="22"/>
        <v>1250.6999999999998</v>
      </c>
      <c r="Q119" s="286">
        <f t="shared" si="22"/>
        <v>120</v>
      </c>
      <c r="R119" s="283">
        <f t="shared" si="22"/>
        <v>4906.799999999999</v>
      </c>
      <c r="S119" s="67"/>
      <c r="T119" s="13"/>
      <c r="U119" s="13"/>
    </row>
    <row r="120" spans="1:21" ht="30.75" customHeight="1">
      <c r="A120" s="99"/>
      <c r="B120" s="399" t="s">
        <v>86</v>
      </c>
      <c r="C120" s="474"/>
      <c r="D120" s="475"/>
      <c r="E120" s="8"/>
      <c r="F120" s="227">
        <v>0</v>
      </c>
      <c r="G120" s="225">
        <f>SUM(F120)*F124</f>
        <v>0</v>
      </c>
      <c r="H120" s="226"/>
      <c r="I120" s="227">
        <v>0</v>
      </c>
      <c r="J120" s="225">
        <f>SUM(I120)*F124</f>
        <v>0</v>
      </c>
      <c r="K120" s="226"/>
      <c r="L120" s="227">
        <v>0</v>
      </c>
      <c r="M120" s="225">
        <f>SUM(L120)*G124</f>
        <v>0</v>
      </c>
      <c r="N120" s="226"/>
      <c r="O120" s="227">
        <v>0</v>
      </c>
      <c r="P120" s="240">
        <f>SUM(O120)*G124</f>
        <v>0</v>
      </c>
      <c r="Q120" s="241">
        <f>F120+I120+L120+O120</f>
        <v>0</v>
      </c>
      <c r="R120" s="240">
        <f>SUM(G120)+J120+M120+P120</f>
        <v>0</v>
      </c>
      <c r="S120" s="67"/>
      <c r="T120" s="13"/>
      <c r="U120" s="13"/>
    </row>
    <row r="121" spans="1:21" ht="30.75" customHeight="1">
      <c r="A121" s="99"/>
      <c r="B121" s="399" t="s">
        <v>87</v>
      </c>
      <c r="C121" s="474"/>
      <c r="D121" s="475"/>
      <c r="E121" s="8"/>
      <c r="F121" s="227">
        <v>30</v>
      </c>
      <c r="G121" s="225">
        <f>SUM(F121)*F124</f>
        <v>1202.7</v>
      </c>
      <c r="H121" s="226"/>
      <c r="I121" s="227">
        <v>30</v>
      </c>
      <c r="J121" s="225">
        <f>SUM(I121)*F124</f>
        <v>1202.7</v>
      </c>
      <c r="K121" s="226"/>
      <c r="L121" s="227">
        <v>30</v>
      </c>
      <c r="M121" s="225">
        <f>SUM(L121)*G124</f>
        <v>1250.6999999999998</v>
      </c>
      <c r="N121" s="226"/>
      <c r="O121" s="227">
        <v>30</v>
      </c>
      <c r="P121" s="240">
        <f>SUM(O121)*G124</f>
        <v>1250.6999999999998</v>
      </c>
      <c r="Q121" s="241">
        <f>F121+I121+L121+O121</f>
        <v>120</v>
      </c>
      <c r="R121" s="240">
        <f>SUM(G121)+J121+M121+P121</f>
        <v>4906.799999999999</v>
      </c>
      <c r="S121" s="67"/>
      <c r="T121" s="13"/>
      <c r="U121" s="13"/>
    </row>
    <row r="122" spans="1:22" ht="27">
      <c r="A122" s="38"/>
      <c r="B122" s="491" t="s">
        <v>19</v>
      </c>
      <c r="C122" s="492"/>
      <c r="D122" s="493"/>
      <c r="E122" s="15" t="e">
        <f>E95+#REF!+#REF!+E97+E98+E99+#REF!+E100+E101+E102+E103+E108+#REF!</f>
        <v>#REF!</v>
      </c>
      <c r="F122" s="233">
        <f>F95+F96+F103+F108+F110+F115+F119</f>
        <v>4431.610000000001</v>
      </c>
      <c r="G122" s="234">
        <v>183329.13</v>
      </c>
      <c r="H122" s="60">
        <f aca="true" t="shared" si="23" ref="H122:O122">H95+H96+H103+H108+H110+H115+H119</f>
        <v>14.8</v>
      </c>
      <c r="I122" s="60">
        <f t="shared" si="23"/>
        <v>4628.81</v>
      </c>
      <c r="J122" s="234">
        <v>194038.95</v>
      </c>
      <c r="K122" s="60">
        <f t="shared" si="23"/>
        <v>15</v>
      </c>
      <c r="L122" s="233">
        <f t="shared" si="23"/>
        <v>4497.57</v>
      </c>
      <c r="M122" s="234">
        <v>198410.97</v>
      </c>
      <c r="N122" s="60">
        <f t="shared" si="23"/>
        <v>15</v>
      </c>
      <c r="O122" s="233">
        <f t="shared" si="23"/>
        <v>5000.54</v>
      </c>
      <c r="P122" s="249">
        <v>218189.83</v>
      </c>
      <c r="Q122" s="250">
        <f>Q95+Q96+Q103+Q108+Q110+Q115+Q119</f>
        <v>18558.53</v>
      </c>
      <c r="R122" s="249">
        <f>R95+R96+R103+R108+R110+R115+R119</f>
        <v>793968.8783</v>
      </c>
      <c r="T122" s="12"/>
      <c r="U122" s="12"/>
      <c r="V122" s="12"/>
    </row>
    <row r="123" spans="1:22" ht="26.25" customHeight="1">
      <c r="A123" s="38"/>
      <c r="B123" s="467" t="s">
        <v>17</v>
      </c>
      <c r="C123" s="467"/>
      <c r="D123" s="467"/>
      <c r="E123" s="409" t="s">
        <v>121</v>
      </c>
      <c r="F123" s="409"/>
      <c r="G123" s="409"/>
      <c r="H123" s="409"/>
      <c r="I123" s="409"/>
      <c r="J123" s="409"/>
      <c r="K123" s="409"/>
      <c r="L123" s="409"/>
      <c r="M123" s="409"/>
      <c r="N123" s="409"/>
      <c r="O123" s="409"/>
      <c r="P123" s="409"/>
      <c r="Q123" s="409"/>
      <c r="R123" s="409"/>
      <c r="T123" s="12"/>
      <c r="U123" s="12"/>
      <c r="V123" s="12"/>
    </row>
    <row r="124" spans="1:18" s="12" customFormat="1" ht="25.5" customHeight="1">
      <c r="A124" s="5"/>
      <c r="B124" s="5"/>
      <c r="C124" s="5"/>
      <c r="D124" s="176"/>
      <c r="E124" s="176"/>
      <c r="F124" s="176">
        <v>40.09</v>
      </c>
      <c r="G124" s="179">
        <v>41.69</v>
      </c>
      <c r="H124" s="179"/>
      <c r="I124" s="179"/>
      <c r="J124" s="2"/>
      <c r="K124" s="5"/>
      <c r="L124" s="5"/>
      <c r="M124" s="5"/>
      <c r="N124" s="5"/>
      <c r="O124" s="5"/>
      <c r="P124" s="5"/>
      <c r="Q124" s="5"/>
      <c r="R124" s="5"/>
    </row>
    <row r="125" spans="1:18" s="12" customFormat="1" ht="33" customHeight="1">
      <c r="A125" s="5"/>
      <c r="B125" s="5"/>
      <c r="C125" s="5"/>
      <c r="D125" s="176"/>
      <c r="E125" s="176"/>
      <c r="F125" s="183">
        <v>50.94</v>
      </c>
      <c r="G125" s="179">
        <v>52.98</v>
      </c>
      <c r="H125" s="179"/>
      <c r="I125" s="179"/>
      <c r="J125" s="2"/>
      <c r="K125" s="5"/>
      <c r="L125" s="5"/>
      <c r="M125" s="5"/>
      <c r="N125" s="5"/>
      <c r="O125" s="5"/>
      <c r="P125" s="39"/>
      <c r="Q125" s="39"/>
      <c r="R125" s="5"/>
    </row>
    <row r="126" spans="1:22" ht="34.5" customHeight="1">
      <c r="A126" s="468" t="s">
        <v>107</v>
      </c>
      <c r="B126" s="468"/>
      <c r="C126" s="468"/>
      <c r="D126" s="468"/>
      <c r="E126" s="468"/>
      <c r="F126" s="468"/>
      <c r="G126" s="468"/>
      <c r="H126" s="468"/>
      <c r="I126" s="468"/>
      <c r="J126" s="468"/>
      <c r="K126" s="468"/>
      <c r="L126" s="468"/>
      <c r="M126" s="468"/>
      <c r="N126" s="468"/>
      <c r="O126" s="468"/>
      <c r="P126" s="468"/>
      <c r="Q126" s="468"/>
      <c r="R126" s="468"/>
      <c r="T126" s="12"/>
      <c r="U126" s="12"/>
      <c r="V126" s="12"/>
    </row>
    <row r="127" spans="1:22" ht="25.5">
      <c r="A127" s="469" t="s">
        <v>15</v>
      </c>
      <c r="B127" s="478" t="s">
        <v>0</v>
      </c>
      <c r="C127" s="479"/>
      <c r="D127" s="480"/>
      <c r="E127" s="409" t="s">
        <v>1</v>
      </c>
      <c r="F127" s="409"/>
      <c r="G127" s="409"/>
      <c r="H127" s="409" t="s">
        <v>3</v>
      </c>
      <c r="I127" s="409"/>
      <c r="J127" s="409"/>
      <c r="K127" s="409" t="s">
        <v>4</v>
      </c>
      <c r="L127" s="409"/>
      <c r="M127" s="409"/>
      <c r="N127" s="409" t="s">
        <v>6</v>
      </c>
      <c r="O127" s="409"/>
      <c r="P127" s="409"/>
      <c r="Q127" s="409" t="s">
        <v>7</v>
      </c>
      <c r="R127" s="409"/>
      <c r="T127" s="12"/>
      <c r="U127" s="12"/>
      <c r="V127" s="12"/>
    </row>
    <row r="128" spans="1:22" ht="25.5">
      <c r="A128" s="469"/>
      <c r="B128" s="481"/>
      <c r="C128" s="482"/>
      <c r="D128" s="483"/>
      <c r="E128" s="147" t="s">
        <v>10</v>
      </c>
      <c r="F128" s="147" t="s">
        <v>10</v>
      </c>
      <c r="G128" s="108" t="s">
        <v>5</v>
      </c>
      <c r="H128" s="147" t="s">
        <v>10</v>
      </c>
      <c r="I128" s="147" t="s">
        <v>10</v>
      </c>
      <c r="J128" s="108" t="s">
        <v>5</v>
      </c>
      <c r="K128" s="147" t="s">
        <v>10</v>
      </c>
      <c r="L128" s="147" t="s">
        <v>10</v>
      </c>
      <c r="M128" s="108" t="s">
        <v>5</v>
      </c>
      <c r="N128" s="147" t="s">
        <v>10</v>
      </c>
      <c r="O128" s="147" t="s">
        <v>10</v>
      </c>
      <c r="P128" s="108" t="s">
        <v>5</v>
      </c>
      <c r="Q128" s="147" t="s">
        <v>10</v>
      </c>
      <c r="R128" s="108" t="s">
        <v>5</v>
      </c>
      <c r="T128" s="12"/>
      <c r="U128" s="12"/>
      <c r="V128" s="12"/>
    </row>
    <row r="129" spans="1:22" s="97" customFormat="1" ht="25.5" customHeight="1">
      <c r="A129" s="103">
        <v>1</v>
      </c>
      <c r="B129" s="410" t="s">
        <v>33</v>
      </c>
      <c r="C129" s="411"/>
      <c r="D129" s="412"/>
      <c r="E129" s="98">
        <v>17.5</v>
      </c>
      <c r="F129" s="223">
        <v>12.3</v>
      </c>
      <c r="G129" s="238">
        <f>F129*F158</f>
        <v>515.37</v>
      </c>
      <c r="H129" s="93">
        <v>17.5</v>
      </c>
      <c r="I129" s="223">
        <v>8.3</v>
      </c>
      <c r="J129" s="238">
        <f>I129*F158</f>
        <v>347.77000000000004</v>
      </c>
      <c r="K129" s="93">
        <v>17.5</v>
      </c>
      <c r="L129" s="223">
        <v>5.4</v>
      </c>
      <c r="M129" s="238">
        <f>L129*G158</f>
        <v>235.332</v>
      </c>
      <c r="N129" s="93">
        <v>17.5</v>
      </c>
      <c r="O129" s="223">
        <v>11.3</v>
      </c>
      <c r="P129" s="238">
        <f>O129*G158</f>
        <v>492.454</v>
      </c>
      <c r="Q129" s="93">
        <f>F129+I129+L129+O129</f>
        <v>37.3</v>
      </c>
      <c r="R129" s="222">
        <v>1590.92</v>
      </c>
      <c r="S129" s="94"/>
      <c r="T129" s="96"/>
      <c r="U129" s="96"/>
      <c r="V129" s="95"/>
    </row>
    <row r="130" spans="1:22" s="97" customFormat="1" ht="33" customHeight="1">
      <c r="A130" s="103">
        <v>2</v>
      </c>
      <c r="B130" s="410" t="s">
        <v>41</v>
      </c>
      <c r="C130" s="411"/>
      <c r="D130" s="412"/>
      <c r="E130" s="98"/>
      <c r="F130" s="223">
        <f>F131+F132+F133+F134+F135+F136</f>
        <v>2337.2799999999997</v>
      </c>
      <c r="G130" s="238">
        <f>G131+G132+G133+G134+G136+G135</f>
        <v>81889.032</v>
      </c>
      <c r="H130" s="93"/>
      <c r="I130" s="223">
        <f>I131+I132+I133+I134+I135+I136</f>
        <v>2346.05</v>
      </c>
      <c r="J130" s="238">
        <f>J131+J132+J133+J134+J135+J136</f>
        <v>73051.49499999998</v>
      </c>
      <c r="K130" s="93"/>
      <c r="L130" s="223">
        <f>L131+L132+L133+L134+L135+L136</f>
        <v>2354.71</v>
      </c>
      <c r="M130" s="238">
        <f>M131+M132+M133+M134+M135+M136</f>
        <v>75805.46179999999</v>
      </c>
      <c r="N130" s="93"/>
      <c r="O130" s="223">
        <f>O131+O132+O133+O134+O135+O136</f>
        <v>2390.2300000000005</v>
      </c>
      <c r="P130" s="238">
        <f>P131+P132+P133+P134+P135+P136</f>
        <v>78174.22339999999</v>
      </c>
      <c r="Q130" s="93">
        <f>Q131+Q132+Q134+Q135+Q136+Q133</f>
        <v>9428.27</v>
      </c>
      <c r="R130" s="222">
        <f>R131+R132+R133+R134+R135+R136</f>
        <v>308920.21</v>
      </c>
      <c r="S130" s="94"/>
      <c r="T130" s="96"/>
      <c r="U130" s="96"/>
      <c r="V130" s="95"/>
    </row>
    <row r="131" spans="1:21" ht="48.75" customHeight="1">
      <c r="A131" s="35"/>
      <c r="B131" s="393" t="s">
        <v>34</v>
      </c>
      <c r="C131" s="394"/>
      <c r="D131" s="395"/>
      <c r="E131" s="8">
        <v>2715</v>
      </c>
      <c r="F131" s="227">
        <v>748.28</v>
      </c>
      <c r="G131" s="240">
        <f>F131*F158</f>
        <v>31352.931999999997</v>
      </c>
      <c r="H131" s="226">
        <v>2715</v>
      </c>
      <c r="I131" s="227">
        <v>409.15</v>
      </c>
      <c r="J131" s="240">
        <f>I131*F158</f>
        <v>17143.385</v>
      </c>
      <c r="K131" s="226">
        <v>2715</v>
      </c>
      <c r="L131" s="227">
        <v>662.91</v>
      </c>
      <c r="M131" s="240">
        <f>L131*G158</f>
        <v>28889.617799999996</v>
      </c>
      <c r="N131" s="226">
        <v>2715</v>
      </c>
      <c r="O131" s="227">
        <v>464.93</v>
      </c>
      <c r="P131" s="240">
        <f>O131*G158</f>
        <v>20261.6494</v>
      </c>
      <c r="Q131" s="226">
        <f aca="true" t="shared" si="24" ref="Q131:R139">F131+I131+L131+O131</f>
        <v>2285.2699999999995</v>
      </c>
      <c r="R131" s="225">
        <v>97647.59</v>
      </c>
      <c r="S131" s="67"/>
      <c r="T131" s="13"/>
      <c r="U131" s="13"/>
    </row>
    <row r="132" spans="1:22" ht="47.25" customHeight="1">
      <c r="A132" s="35"/>
      <c r="B132" s="419" t="s">
        <v>35</v>
      </c>
      <c r="C132" s="420"/>
      <c r="D132" s="421"/>
      <c r="E132" s="8">
        <v>816</v>
      </c>
      <c r="F132" s="227">
        <v>250</v>
      </c>
      <c r="G132" s="240">
        <f>F132*F158</f>
        <v>10475</v>
      </c>
      <c r="H132" s="226">
        <v>816</v>
      </c>
      <c r="I132" s="227">
        <v>230</v>
      </c>
      <c r="J132" s="240">
        <f>I132*F158</f>
        <v>9637</v>
      </c>
      <c r="K132" s="226">
        <v>816</v>
      </c>
      <c r="L132" s="227">
        <v>230</v>
      </c>
      <c r="M132" s="240">
        <f>L132*G158</f>
        <v>10023.4</v>
      </c>
      <c r="N132" s="226">
        <v>816</v>
      </c>
      <c r="O132" s="227">
        <v>250</v>
      </c>
      <c r="P132" s="240">
        <f>O132*G158</f>
        <v>10895</v>
      </c>
      <c r="Q132" s="226">
        <f t="shared" si="24"/>
        <v>960</v>
      </c>
      <c r="R132" s="225">
        <f t="shared" si="24"/>
        <v>41030.4</v>
      </c>
      <c r="S132" s="67"/>
      <c r="T132" s="11"/>
      <c r="U132" s="11"/>
      <c r="V132" s="12"/>
    </row>
    <row r="133" spans="1:22" ht="34.5" customHeight="1">
      <c r="A133" s="35"/>
      <c r="B133" s="393" t="s">
        <v>36</v>
      </c>
      <c r="C133" s="394"/>
      <c r="D133" s="395"/>
      <c r="E133" s="8">
        <v>910.2</v>
      </c>
      <c r="F133" s="227">
        <v>400</v>
      </c>
      <c r="G133" s="240">
        <f>F133*F159</f>
        <v>6240</v>
      </c>
      <c r="H133" s="226">
        <v>1072.5</v>
      </c>
      <c r="I133" s="227">
        <v>450</v>
      </c>
      <c r="J133" s="240">
        <f>I133*F159</f>
        <v>7020</v>
      </c>
      <c r="K133" s="226">
        <v>905.1</v>
      </c>
      <c r="L133" s="227">
        <v>200</v>
      </c>
      <c r="M133" s="240">
        <f>L133*G159</f>
        <v>3244</v>
      </c>
      <c r="N133" s="226">
        <v>1121.6</v>
      </c>
      <c r="O133" s="227">
        <v>400</v>
      </c>
      <c r="P133" s="240">
        <f>O133*G159</f>
        <v>6488</v>
      </c>
      <c r="Q133" s="226">
        <f t="shared" si="24"/>
        <v>1450</v>
      </c>
      <c r="R133" s="225">
        <f t="shared" si="24"/>
        <v>22992</v>
      </c>
      <c r="S133" s="67"/>
      <c r="T133" s="11"/>
      <c r="U133" s="11"/>
      <c r="V133" s="12"/>
    </row>
    <row r="134" spans="1:22" ht="28.5" customHeight="1">
      <c r="A134" s="35"/>
      <c r="B134" s="408" t="s">
        <v>37</v>
      </c>
      <c r="C134" s="408"/>
      <c r="D134" s="408"/>
      <c r="E134" s="8">
        <v>1845</v>
      </c>
      <c r="F134" s="227">
        <v>210</v>
      </c>
      <c r="G134" s="240">
        <f>F134*F159</f>
        <v>3276</v>
      </c>
      <c r="H134" s="226">
        <v>1803</v>
      </c>
      <c r="I134" s="227">
        <v>510</v>
      </c>
      <c r="J134" s="240">
        <f>I134*F159</f>
        <v>7956</v>
      </c>
      <c r="K134" s="226">
        <v>1803</v>
      </c>
      <c r="L134" s="227">
        <v>780</v>
      </c>
      <c r="M134" s="240">
        <f>L134*G159</f>
        <v>12651.599999999999</v>
      </c>
      <c r="N134" s="226">
        <v>1813.3</v>
      </c>
      <c r="O134" s="227">
        <v>550</v>
      </c>
      <c r="P134" s="240">
        <f>O134*G159</f>
        <v>8921</v>
      </c>
      <c r="Q134" s="226">
        <f t="shared" si="24"/>
        <v>2050</v>
      </c>
      <c r="R134" s="225">
        <f t="shared" si="24"/>
        <v>32804.6</v>
      </c>
      <c r="S134" s="67"/>
      <c r="T134" s="11"/>
      <c r="U134" s="11"/>
      <c r="V134" s="12"/>
    </row>
    <row r="135" spans="1:22" s="120" customFormat="1" ht="33" customHeight="1">
      <c r="A135" s="123"/>
      <c r="B135" s="470" t="s">
        <v>38</v>
      </c>
      <c r="C135" s="470"/>
      <c r="D135" s="470"/>
      <c r="E135" s="116">
        <v>74.5</v>
      </c>
      <c r="F135" s="242">
        <v>675</v>
      </c>
      <c r="G135" s="245">
        <f>F135*F158</f>
        <v>28282.5</v>
      </c>
      <c r="H135" s="244">
        <v>72.8</v>
      </c>
      <c r="I135" s="242">
        <v>706.5</v>
      </c>
      <c r="J135" s="245">
        <f>I135*F158</f>
        <v>29602.35</v>
      </c>
      <c r="K135" s="244">
        <v>72.9</v>
      </c>
      <c r="L135" s="242">
        <v>400</v>
      </c>
      <c r="M135" s="245">
        <f>L135*G158</f>
        <v>17432</v>
      </c>
      <c r="N135" s="244">
        <v>72.9</v>
      </c>
      <c r="O135" s="242">
        <v>658.5</v>
      </c>
      <c r="P135" s="245">
        <f>O135*G158</f>
        <v>28697.43</v>
      </c>
      <c r="Q135" s="244">
        <f t="shared" si="24"/>
        <v>2440</v>
      </c>
      <c r="R135" s="243">
        <f t="shared" si="24"/>
        <v>104014.28</v>
      </c>
      <c r="S135" s="117"/>
      <c r="T135" s="119"/>
      <c r="U135" s="119"/>
      <c r="V135" s="118"/>
    </row>
    <row r="136" spans="1:22" s="120" customFormat="1" ht="55.5" customHeight="1">
      <c r="A136" s="123"/>
      <c r="B136" s="470" t="s">
        <v>39</v>
      </c>
      <c r="C136" s="470"/>
      <c r="D136" s="470"/>
      <c r="E136" s="116">
        <v>88.6</v>
      </c>
      <c r="F136" s="251">
        <v>54</v>
      </c>
      <c r="G136" s="245">
        <f>F136*F158</f>
        <v>2262.6</v>
      </c>
      <c r="H136" s="244">
        <v>88.5</v>
      </c>
      <c r="I136" s="252">
        <v>40.4</v>
      </c>
      <c r="J136" s="245">
        <f>I136*F158</f>
        <v>1692.76</v>
      </c>
      <c r="K136" s="244">
        <v>88.5</v>
      </c>
      <c r="L136" s="242">
        <v>81.8</v>
      </c>
      <c r="M136" s="245">
        <f>L136*G158</f>
        <v>3564.8439999999996</v>
      </c>
      <c r="N136" s="244">
        <v>88.5</v>
      </c>
      <c r="O136" s="252">
        <v>66.8</v>
      </c>
      <c r="P136" s="245">
        <f>O136*G158</f>
        <v>2911.144</v>
      </c>
      <c r="Q136" s="244">
        <f>F136+I136+L136+O136</f>
        <v>243</v>
      </c>
      <c r="R136" s="243">
        <v>10431.34</v>
      </c>
      <c r="S136" s="117"/>
      <c r="T136" s="119"/>
      <c r="U136" s="119"/>
      <c r="V136" s="118"/>
    </row>
    <row r="137" spans="1:22" s="97" customFormat="1" ht="51.75" customHeight="1">
      <c r="A137" s="103">
        <v>3</v>
      </c>
      <c r="B137" s="410" t="s">
        <v>42</v>
      </c>
      <c r="C137" s="411"/>
      <c r="D137" s="412"/>
      <c r="E137" s="98">
        <v>118.05</v>
      </c>
      <c r="F137" s="232">
        <f>SUM(F138:F141)</f>
        <v>82.53</v>
      </c>
      <c r="G137" s="238">
        <f aca="true" t="shared" si="25" ref="G137:P137">SUM(G138:G141)</f>
        <v>3221.3070000000002</v>
      </c>
      <c r="H137" s="93">
        <f t="shared" si="25"/>
        <v>0</v>
      </c>
      <c r="I137" s="232">
        <f t="shared" si="25"/>
        <v>82.53</v>
      </c>
      <c r="J137" s="238">
        <f t="shared" si="25"/>
        <v>3221.3070000000002</v>
      </c>
      <c r="K137" s="93">
        <f t="shared" si="25"/>
        <v>0</v>
      </c>
      <c r="L137" s="232">
        <f t="shared" si="25"/>
        <v>82.53</v>
      </c>
      <c r="M137" s="238">
        <f t="shared" si="25"/>
        <v>3350.4174</v>
      </c>
      <c r="N137" s="93">
        <f t="shared" si="25"/>
        <v>0</v>
      </c>
      <c r="O137" s="232">
        <f t="shared" si="25"/>
        <v>82.53</v>
      </c>
      <c r="P137" s="238">
        <f t="shared" si="25"/>
        <v>3350.4174</v>
      </c>
      <c r="Q137" s="231">
        <f>F137+I137+L137+O137</f>
        <v>330.12</v>
      </c>
      <c r="R137" s="222">
        <v>13143.46</v>
      </c>
      <c r="S137" s="94"/>
      <c r="T137" s="96"/>
      <c r="U137" s="96"/>
      <c r="V137" s="95"/>
    </row>
    <row r="138" spans="1:22" ht="36.75" customHeight="1">
      <c r="A138" s="33"/>
      <c r="B138" s="418" t="s">
        <v>131</v>
      </c>
      <c r="C138" s="400"/>
      <c r="D138" s="401"/>
      <c r="E138" s="98"/>
      <c r="F138" s="382">
        <v>58.53</v>
      </c>
      <c r="G138" s="240">
        <f>F138*F158</f>
        <v>2452.407</v>
      </c>
      <c r="H138" s="60"/>
      <c r="I138" s="227">
        <v>58.53</v>
      </c>
      <c r="J138" s="240">
        <f>I138*F158</f>
        <v>2452.407</v>
      </c>
      <c r="K138" s="226"/>
      <c r="L138" s="227">
        <v>58.53</v>
      </c>
      <c r="M138" s="240">
        <f>L138*G158</f>
        <v>2550.7374</v>
      </c>
      <c r="N138" s="226"/>
      <c r="O138" s="227">
        <v>58.53</v>
      </c>
      <c r="P138" s="240">
        <f>O138*G158</f>
        <v>2550.7374</v>
      </c>
      <c r="Q138" s="226">
        <f t="shared" si="24"/>
        <v>234.12</v>
      </c>
      <c r="R138" s="225">
        <v>10006.3</v>
      </c>
      <c r="S138" s="67"/>
      <c r="T138" s="11"/>
      <c r="U138" s="11"/>
      <c r="V138" s="12"/>
    </row>
    <row r="139" spans="1:22" ht="30.75" customHeight="1">
      <c r="A139" s="33"/>
      <c r="B139" s="418" t="s">
        <v>132</v>
      </c>
      <c r="C139" s="416"/>
      <c r="D139" s="417"/>
      <c r="E139" s="98"/>
      <c r="F139" s="382">
        <v>9</v>
      </c>
      <c r="G139" s="240">
        <f>F139*F159</f>
        <v>140.4</v>
      </c>
      <c r="H139" s="60"/>
      <c r="I139" s="248">
        <v>9</v>
      </c>
      <c r="J139" s="240">
        <f>I139*F159</f>
        <v>140.4</v>
      </c>
      <c r="K139" s="226"/>
      <c r="L139" s="248">
        <v>9</v>
      </c>
      <c r="M139" s="240">
        <f>L139*G159</f>
        <v>145.98</v>
      </c>
      <c r="N139" s="226"/>
      <c r="O139" s="248">
        <v>9</v>
      </c>
      <c r="P139" s="240">
        <f>O139*G159</f>
        <v>145.98</v>
      </c>
      <c r="Q139" s="226">
        <f t="shared" si="24"/>
        <v>36</v>
      </c>
      <c r="R139" s="225">
        <f>G139+J139+M139+P139</f>
        <v>572.76</v>
      </c>
      <c r="S139" s="67"/>
      <c r="T139" s="11"/>
      <c r="U139" s="11"/>
      <c r="V139" s="12"/>
    </row>
    <row r="140" spans="1:22" ht="30.75" customHeight="1">
      <c r="A140" s="33"/>
      <c r="B140" s="393" t="s">
        <v>136</v>
      </c>
      <c r="C140" s="394"/>
      <c r="D140" s="395"/>
      <c r="E140" s="8"/>
      <c r="F140" s="227">
        <v>15</v>
      </c>
      <c r="G140" s="240">
        <f>F140*F158</f>
        <v>628.5</v>
      </c>
      <c r="H140" s="60"/>
      <c r="I140" s="248">
        <v>15</v>
      </c>
      <c r="J140" s="240">
        <f>I140*F158</f>
        <v>628.5</v>
      </c>
      <c r="K140" s="226"/>
      <c r="L140" s="248">
        <v>15</v>
      </c>
      <c r="M140" s="240">
        <f>L140*G158</f>
        <v>653.6999999999999</v>
      </c>
      <c r="N140" s="226"/>
      <c r="O140" s="248">
        <v>15</v>
      </c>
      <c r="P140" s="240">
        <f>O140*G158</f>
        <v>653.6999999999999</v>
      </c>
      <c r="Q140" s="226">
        <f>F140+I140+L140+O140</f>
        <v>60</v>
      </c>
      <c r="R140" s="225">
        <f>G140+J140+M140+P140</f>
        <v>2564.3999999999996</v>
      </c>
      <c r="S140" s="67"/>
      <c r="T140" s="11"/>
      <c r="U140" s="11"/>
      <c r="V140" s="12"/>
    </row>
    <row r="141" spans="1:22" ht="30.75" customHeight="1">
      <c r="A141" s="33"/>
      <c r="B141" s="393" t="s">
        <v>137</v>
      </c>
      <c r="C141" s="394"/>
      <c r="D141" s="395"/>
      <c r="E141" s="8"/>
      <c r="F141" s="317">
        <v>0</v>
      </c>
      <c r="G141" s="240">
        <f>F141*F158</f>
        <v>0</v>
      </c>
      <c r="H141" s="60"/>
      <c r="I141" s="248">
        <v>0</v>
      </c>
      <c r="J141" s="240">
        <f>I141*F158</f>
        <v>0</v>
      </c>
      <c r="K141" s="226"/>
      <c r="L141" s="248">
        <v>0</v>
      </c>
      <c r="M141" s="240">
        <f>L141*G158</f>
        <v>0</v>
      </c>
      <c r="N141" s="226"/>
      <c r="O141" s="248">
        <v>0</v>
      </c>
      <c r="P141" s="240">
        <f>O141*G158</f>
        <v>0</v>
      </c>
      <c r="Q141" s="226">
        <f>F141+I141+L141+O141</f>
        <v>0</v>
      </c>
      <c r="R141" s="225">
        <f>G141+J141+M141+P141</f>
        <v>0</v>
      </c>
      <c r="S141" s="67"/>
      <c r="T141" s="11"/>
      <c r="U141" s="11"/>
      <c r="V141" s="12"/>
    </row>
    <row r="142" spans="1:22" s="97" customFormat="1" ht="33.75" customHeight="1">
      <c r="A142" s="103">
        <v>4</v>
      </c>
      <c r="B142" s="410" t="s">
        <v>43</v>
      </c>
      <c r="C142" s="411"/>
      <c r="D142" s="412"/>
      <c r="E142" s="98">
        <v>180</v>
      </c>
      <c r="F142" s="223">
        <f>F143</f>
        <v>23.4</v>
      </c>
      <c r="G142" s="238">
        <f>G143</f>
        <v>980.4599999999999</v>
      </c>
      <c r="H142" s="93"/>
      <c r="I142" s="223">
        <f>I143</f>
        <v>23.4</v>
      </c>
      <c r="J142" s="238">
        <f>J143</f>
        <v>980.4599999999999</v>
      </c>
      <c r="K142" s="93"/>
      <c r="L142" s="223">
        <f>L143</f>
        <v>23.7</v>
      </c>
      <c r="M142" s="238">
        <f>M143</f>
        <v>1032.846</v>
      </c>
      <c r="N142" s="93"/>
      <c r="O142" s="223">
        <f>O143</f>
        <v>23.1</v>
      </c>
      <c r="P142" s="238">
        <f>P143</f>
        <v>1006.698</v>
      </c>
      <c r="Q142" s="93">
        <f>Q143</f>
        <v>93.6</v>
      </c>
      <c r="R142" s="222">
        <f>R143</f>
        <v>4000.47</v>
      </c>
      <c r="S142" s="94"/>
      <c r="T142" s="96"/>
      <c r="U142" s="96"/>
      <c r="V142" s="95"/>
    </row>
    <row r="143" spans="1:22" ht="27.75" customHeight="1">
      <c r="A143" s="35"/>
      <c r="B143" s="393" t="s">
        <v>44</v>
      </c>
      <c r="C143" s="394"/>
      <c r="D143" s="395"/>
      <c r="E143" s="8"/>
      <c r="F143" s="227">
        <v>23.4</v>
      </c>
      <c r="G143" s="240">
        <f>F143*F158</f>
        <v>980.4599999999999</v>
      </c>
      <c r="H143" s="226"/>
      <c r="I143" s="227">
        <v>23.4</v>
      </c>
      <c r="J143" s="240">
        <f>I143*F158</f>
        <v>980.4599999999999</v>
      </c>
      <c r="K143" s="226"/>
      <c r="L143" s="227">
        <v>23.7</v>
      </c>
      <c r="M143" s="240">
        <f>L143*G158</f>
        <v>1032.846</v>
      </c>
      <c r="N143" s="226"/>
      <c r="O143" s="227">
        <v>23.1</v>
      </c>
      <c r="P143" s="240">
        <f>O143*G158</f>
        <v>1006.698</v>
      </c>
      <c r="Q143" s="226">
        <f>F143+I143+L143+O143</f>
        <v>93.6</v>
      </c>
      <c r="R143" s="225">
        <v>4000.47</v>
      </c>
      <c r="S143" s="67"/>
      <c r="T143" s="11"/>
      <c r="U143" s="11"/>
      <c r="V143" s="12"/>
    </row>
    <row r="144" spans="1:22" s="97" customFormat="1" ht="47.25" customHeight="1">
      <c r="A144" s="103">
        <v>5</v>
      </c>
      <c r="B144" s="410" t="s">
        <v>47</v>
      </c>
      <c r="C144" s="411"/>
      <c r="D144" s="412"/>
      <c r="E144" s="98"/>
      <c r="F144" s="223">
        <f>F145+F146+F147+F148</f>
        <v>197.28199999999998</v>
      </c>
      <c r="G144" s="238">
        <f>G145+G146+G147+G148</f>
        <v>7477.1158</v>
      </c>
      <c r="H144" s="93"/>
      <c r="I144" s="223">
        <f>I145+I146+I147+I148</f>
        <v>196.812</v>
      </c>
      <c r="J144" s="238">
        <f>J145+J146+J147+J148</f>
        <v>7194.4228</v>
      </c>
      <c r="K144" s="93"/>
      <c r="L144" s="223">
        <f>L145+L146+L147+L148</f>
        <v>173.609</v>
      </c>
      <c r="M144" s="238">
        <v>6289.49</v>
      </c>
      <c r="N144" s="93"/>
      <c r="O144" s="223">
        <f>O145+O146+O147+O148</f>
        <v>245.33999999999997</v>
      </c>
      <c r="P144" s="238">
        <f>P145+P146+P147+P148</f>
        <v>9597.5172</v>
      </c>
      <c r="Q144" s="93">
        <f>Q145+Q146+Q147+Q148</f>
        <v>813.0429999999999</v>
      </c>
      <c r="R144" s="222">
        <f>R145+R146+R147+R148</f>
        <v>30558.545</v>
      </c>
      <c r="S144" s="94"/>
      <c r="T144" s="96"/>
      <c r="U144" s="96"/>
      <c r="V144" s="95"/>
    </row>
    <row r="145" spans="1:22" ht="33.75" customHeight="1">
      <c r="A145" s="33"/>
      <c r="B145" s="393" t="s">
        <v>48</v>
      </c>
      <c r="C145" s="394"/>
      <c r="D145" s="395"/>
      <c r="E145" s="8"/>
      <c r="F145" s="230">
        <v>16.782</v>
      </c>
      <c r="G145" s="240">
        <f>F145*F158</f>
        <v>703.1658</v>
      </c>
      <c r="H145" s="226"/>
      <c r="I145" s="230">
        <v>15.742</v>
      </c>
      <c r="J145" s="240">
        <f>I145*F158</f>
        <v>659.5898</v>
      </c>
      <c r="K145" s="226"/>
      <c r="L145" s="230">
        <v>15.954</v>
      </c>
      <c r="M145" s="240">
        <f>L145*G158</f>
        <v>695.27532</v>
      </c>
      <c r="N145" s="226"/>
      <c r="O145" s="230">
        <v>32.88</v>
      </c>
      <c r="P145" s="240">
        <f>O145*G158</f>
        <v>1432.9104</v>
      </c>
      <c r="Q145" s="226">
        <f aca="true" t="shared" si="26" ref="Q145:R148">F145+I145+L145+O145</f>
        <v>81.358</v>
      </c>
      <c r="R145" s="225">
        <v>3490.95</v>
      </c>
      <c r="S145" s="67"/>
      <c r="T145" s="11"/>
      <c r="U145" s="11"/>
      <c r="V145" s="12"/>
    </row>
    <row r="146" spans="1:22" ht="33.75" customHeight="1">
      <c r="A146" s="33"/>
      <c r="B146" s="393" t="s">
        <v>49</v>
      </c>
      <c r="C146" s="394"/>
      <c r="D146" s="395"/>
      <c r="E146" s="8"/>
      <c r="F146" s="227">
        <v>73</v>
      </c>
      <c r="G146" s="240">
        <f>53*F158+20*F159</f>
        <v>2532.7</v>
      </c>
      <c r="H146" s="226"/>
      <c r="I146" s="227">
        <v>72</v>
      </c>
      <c r="J146" s="240">
        <f>52*F158+20*F159</f>
        <v>2490.7999999999997</v>
      </c>
      <c r="K146" s="226"/>
      <c r="L146" s="227">
        <v>81.655</v>
      </c>
      <c r="M146" s="240">
        <f>55*G158+26.66*G159</f>
        <v>2829.3252</v>
      </c>
      <c r="N146" s="226"/>
      <c r="O146" s="227">
        <v>71</v>
      </c>
      <c r="P146" s="240">
        <f>51*G158+20*G159</f>
        <v>2546.98</v>
      </c>
      <c r="Q146" s="226">
        <f t="shared" si="26"/>
        <v>297.655</v>
      </c>
      <c r="R146" s="225">
        <f t="shared" si="26"/>
        <v>10399.8052</v>
      </c>
      <c r="S146" s="67"/>
      <c r="T146" s="11"/>
      <c r="U146" s="11"/>
      <c r="V146" s="12"/>
    </row>
    <row r="147" spans="1:22" ht="33.75" customHeight="1">
      <c r="A147" s="33"/>
      <c r="B147" s="393" t="s">
        <v>50</v>
      </c>
      <c r="C147" s="394"/>
      <c r="D147" s="395"/>
      <c r="E147" s="8"/>
      <c r="F147" s="227">
        <v>47.3</v>
      </c>
      <c r="G147" s="240">
        <f>37.3*F158+10*F159</f>
        <v>1718.87</v>
      </c>
      <c r="H147" s="226"/>
      <c r="I147" s="227">
        <v>62.07</v>
      </c>
      <c r="J147" s="240">
        <f>42.07*F158+20*F159</f>
        <v>2074.733</v>
      </c>
      <c r="K147" s="226"/>
      <c r="L147" s="227">
        <v>41.1</v>
      </c>
      <c r="M147" s="240">
        <f>21.1*G158+20*G159</f>
        <v>1243.938</v>
      </c>
      <c r="N147" s="226"/>
      <c r="O147" s="227">
        <v>47.5</v>
      </c>
      <c r="P147" s="240">
        <f>27.5*G158+20*G159</f>
        <v>1522.85</v>
      </c>
      <c r="Q147" s="226">
        <f t="shared" si="26"/>
        <v>197.97</v>
      </c>
      <c r="R147" s="225">
        <f t="shared" si="26"/>
        <v>6560.391</v>
      </c>
      <c r="S147" s="67"/>
      <c r="T147" s="11"/>
      <c r="U147" s="11"/>
      <c r="V147" s="12"/>
    </row>
    <row r="148" spans="1:22" ht="33.75" customHeight="1">
      <c r="A148" s="33"/>
      <c r="B148" s="408" t="s">
        <v>40</v>
      </c>
      <c r="C148" s="408"/>
      <c r="D148" s="408"/>
      <c r="E148" s="8"/>
      <c r="F148" s="227">
        <v>60.2</v>
      </c>
      <c r="G148" s="240">
        <f>F148*F158</f>
        <v>2522.38</v>
      </c>
      <c r="H148" s="226"/>
      <c r="I148" s="227">
        <v>47</v>
      </c>
      <c r="J148" s="240">
        <f>I148*F158</f>
        <v>1969.3</v>
      </c>
      <c r="K148" s="226"/>
      <c r="L148" s="227">
        <v>34.9</v>
      </c>
      <c r="M148" s="240">
        <f>L148*G158</f>
        <v>1520.9419999999998</v>
      </c>
      <c r="N148" s="226"/>
      <c r="O148" s="227">
        <v>93.96</v>
      </c>
      <c r="P148" s="240">
        <f>O148*G158</f>
        <v>4094.7767999999996</v>
      </c>
      <c r="Q148" s="226">
        <f t="shared" si="26"/>
        <v>236.06</v>
      </c>
      <c r="R148" s="225">
        <f t="shared" si="26"/>
        <v>10107.398799999999</v>
      </c>
      <c r="S148" s="67"/>
      <c r="T148" s="11"/>
      <c r="U148" s="11"/>
      <c r="V148" s="12"/>
    </row>
    <row r="149" spans="1:22" s="97" customFormat="1" ht="33.75" customHeight="1">
      <c r="A149" s="103">
        <v>6</v>
      </c>
      <c r="B149" s="410" t="s">
        <v>53</v>
      </c>
      <c r="C149" s="411"/>
      <c r="D149" s="412"/>
      <c r="E149" s="98"/>
      <c r="F149" s="223">
        <f>F150+F151+F152</f>
        <v>3319.1</v>
      </c>
      <c r="G149" s="238">
        <f>G150+G151+G152</f>
        <v>139070.28999999998</v>
      </c>
      <c r="H149" s="93"/>
      <c r="I149" s="223">
        <f>I150+I151+I152</f>
        <v>3004.1</v>
      </c>
      <c r="J149" s="238">
        <f>J150+J151+J152</f>
        <v>125871.79</v>
      </c>
      <c r="K149" s="93"/>
      <c r="L149" s="223">
        <f>L150+L151+L152</f>
        <v>2722.1</v>
      </c>
      <c r="M149" s="238">
        <f>M150+M151+M152</f>
        <v>118629.118</v>
      </c>
      <c r="N149" s="93"/>
      <c r="O149" s="223">
        <f>O150+O151+O152</f>
        <v>3046.1</v>
      </c>
      <c r="P149" s="238">
        <f>P150+P151+P152</f>
        <v>132749.038</v>
      </c>
      <c r="Q149" s="93">
        <f>Q150+Q151+Q152</f>
        <v>12091.4</v>
      </c>
      <c r="R149" s="222">
        <f>R150+R151+R152</f>
        <v>516320.23600000003</v>
      </c>
      <c r="S149" s="94"/>
      <c r="T149" s="96"/>
      <c r="U149" s="96"/>
      <c r="V149" s="95"/>
    </row>
    <row r="150" spans="1:22" ht="33.75" customHeight="1">
      <c r="A150" s="35"/>
      <c r="B150" s="422" t="s">
        <v>140</v>
      </c>
      <c r="C150" s="423"/>
      <c r="D150" s="424"/>
      <c r="E150" s="8"/>
      <c r="F150" s="227">
        <v>233</v>
      </c>
      <c r="G150" s="240">
        <f>F150*F158</f>
        <v>9762.699999999999</v>
      </c>
      <c r="H150" s="226"/>
      <c r="I150" s="227">
        <v>218</v>
      </c>
      <c r="J150" s="240">
        <f>I150*F158</f>
        <v>9134.199999999999</v>
      </c>
      <c r="K150" s="226"/>
      <c r="L150" s="227">
        <v>96</v>
      </c>
      <c r="M150" s="240">
        <f>L150*G158</f>
        <v>4183.68</v>
      </c>
      <c r="N150" s="226"/>
      <c r="O150" s="227">
        <v>260</v>
      </c>
      <c r="P150" s="240">
        <f>O150*G158</f>
        <v>11330.8</v>
      </c>
      <c r="Q150" s="226">
        <f>F150+I150+L150+O150</f>
        <v>807</v>
      </c>
      <c r="R150" s="225">
        <f>G150+J150+M150+P150</f>
        <v>34411.38</v>
      </c>
      <c r="S150" s="67"/>
      <c r="T150" s="11"/>
      <c r="U150" s="11"/>
      <c r="V150" s="12"/>
    </row>
    <row r="151" spans="1:22" ht="33.75" customHeight="1">
      <c r="A151" s="35"/>
      <c r="B151" s="393" t="s">
        <v>55</v>
      </c>
      <c r="C151" s="394"/>
      <c r="D151" s="395"/>
      <c r="E151" s="8"/>
      <c r="F151" s="227">
        <v>600</v>
      </c>
      <c r="G151" s="240">
        <f>F151*F158</f>
        <v>25140</v>
      </c>
      <c r="H151" s="226"/>
      <c r="I151" s="227">
        <v>300</v>
      </c>
      <c r="J151" s="240">
        <f>I151*F158</f>
        <v>12570</v>
      </c>
      <c r="K151" s="226"/>
      <c r="L151" s="317">
        <v>140</v>
      </c>
      <c r="M151" s="240">
        <f>L151*G158</f>
        <v>6101.2</v>
      </c>
      <c r="N151" s="226"/>
      <c r="O151" s="317">
        <v>300</v>
      </c>
      <c r="P151" s="240">
        <f>O151*G158</f>
        <v>13074</v>
      </c>
      <c r="Q151" s="226">
        <f>F151+I151+L151+O151</f>
        <v>1340</v>
      </c>
      <c r="R151" s="225">
        <f>G151+J151+M151+P151</f>
        <v>56885.2</v>
      </c>
      <c r="S151" s="67"/>
      <c r="T151" s="11"/>
      <c r="U151" s="11"/>
      <c r="V151" s="12"/>
    </row>
    <row r="152" spans="1:22" ht="33.75" customHeight="1">
      <c r="A152" s="35"/>
      <c r="B152" s="399" t="s">
        <v>84</v>
      </c>
      <c r="C152" s="474"/>
      <c r="D152" s="475"/>
      <c r="E152" s="8"/>
      <c r="F152" s="227">
        <v>2486.1</v>
      </c>
      <c r="G152" s="240">
        <f>SUM(F152)*F158</f>
        <v>104167.59</v>
      </c>
      <c r="H152" s="226"/>
      <c r="I152" s="227">
        <v>2486.1</v>
      </c>
      <c r="J152" s="240">
        <f>SUM(I152)*F158</f>
        <v>104167.59</v>
      </c>
      <c r="K152" s="226"/>
      <c r="L152" s="317">
        <v>2486.1</v>
      </c>
      <c r="M152" s="240">
        <f>SUM(L152)*G158</f>
        <v>108344.238</v>
      </c>
      <c r="N152" s="226"/>
      <c r="O152" s="317">
        <v>2486.1</v>
      </c>
      <c r="P152" s="240">
        <f>SUM(O152)*G158</f>
        <v>108344.238</v>
      </c>
      <c r="Q152" s="226">
        <f>F152+I152+L152+O152</f>
        <v>9944.4</v>
      </c>
      <c r="R152" s="225">
        <f>SUM(G152)+J152+M152+P152</f>
        <v>425023.656</v>
      </c>
      <c r="S152" s="67"/>
      <c r="T152" s="11"/>
      <c r="U152" s="11"/>
      <c r="V152" s="12"/>
    </row>
    <row r="153" spans="1:22" ht="33.75" customHeight="1">
      <c r="A153" s="99">
        <v>8</v>
      </c>
      <c r="B153" s="410" t="s">
        <v>85</v>
      </c>
      <c r="C153" s="411"/>
      <c r="D153" s="412"/>
      <c r="E153" s="8"/>
      <c r="F153" s="282">
        <f>SUM(F154:F155)</f>
        <v>25</v>
      </c>
      <c r="G153" s="283">
        <f aca="true" t="shared" si="27" ref="G153:R153">SUM(G154:G155)</f>
        <v>1047.5</v>
      </c>
      <c r="H153" s="281">
        <f t="shared" si="27"/>
        <v>0</v>
      </c>
      <c r="I153" s="282">
        <f>SUM(I154:I155)</f>
        <v>25</v>
      </c>
      <c r="J153" s="283">
        <f t="shared" si="27"/>
        <v>1047.5</v>
      </c>
      <c r="K153" s="281">
        <f t="shared" si="27"/>
        <v>0</v>
      </c>
      <c r="L153" s="284">
        <f>SUM(L154:L155)</f>
        <v>25</v>
      </c>
      <c r="M153" s="283">
        <f t="shared" si="27"/>
        <v>1089.5</v>
      </c>
      <c r="N153" s="281">
        <f t="shared" si="27"/>
        <v>0</v>
      </c>
      <c r="O153" s="284">
        <f>SUM(O154:O155)</f>
        <v>25</v>
      </c>
      <c r="P153" s="283">
        <f t="shared" si="27"/>
        <v>1089.5</v>
      </c>
      <c r="Q153" s="281">
        <f t="shared" si="27"/>
        <v>100</v>
      </c>
      <c r="R153" s="285">
        <f t="shared" si="27"/>
        <v>4274</v>
      </c>
      <c r="S153" s="67"/>
      <c r="T153" s="11"/>
      <c r="U153" s="11"/>
      <c r="V153" s="12"/>
    </row>
    <row r="154" spans="1:22" ht="33.75" customHeight="1">
      <c r="A154" s="99"/>
      <c r="B154" s="399" t="s">
        <v>86</v>
      </c>
      <c r="C154" s="474"/>
      <c r="D154" s="475"/>
      <c r="E154" s="8"/>
      <c r="F154" s="227">
        <v>0</v>
      </c>
      <c r="G154" s="240">
        <f>SUM(F154)*F158</f>
        <v>0</v>
      </c>
      <c r="H154" s="226"/>
      <c r="I154" s="227">
        <v>0</v>
      </c>
      <c r="J154" s="240">
        <f>SUM(I154)*F158</f>
        <v>0</v>
      </c>
      <c r="K154" s="226"/>
      <c r="L154" s="227">
        <v>0</v>
      </c>
      <c r="M154" s="240">
        <f>SUM(L154)*G158</f>
        <v>0</v>
      </c>
      <c r="N154" s="226"/>
      <c r="O154" s="227">
        <v>0</v>
      </c>
      <c r="P154" s="240">
        <f>SUM(O154)*G158</f>
        <v>0</v>
      </c>
      <c r="Q154" s="226">
        <f>F154+I154+L154+O154</f>
        <v>0</v>
      </c>
      <c r="R154" s="225">
        <f>SUM(G154)+J154+M154+P154</f>
        <v>0</v>
      </c>
      <c r="S154" s="67"/>
      <c r="T154" s="11"/>
      <c r="U154" s="11"/>
      <c r="V154" s="12"/>
    </row>
    <row r="155" spans="1:22" ht="33.75" customHeight="1">
      <c r="A155" s="99"/>
      <c r="B155" s="399" t="s">
        <v>87</v>
      </c>
      <c r="C155" s="474"/>
      <c r="D155" s="475"/>
      <c r="E155" s="8"/>
      <c r="F155" s="227">
        <v>25</v>
      </c>
      <c r="G155" s="240">
        <f>SUM(F155)*F158</f>
        <v>1047.5</v>
      </c>
      <c r="H155" s="226"/>
      <c r="I155" s="227">
        <v>25</v>
      </c>
      <c r="J155" s="240">
        <f>SUM(I155)*F158</f>
        <v>1047.5</v>
      </c>
      <c r="K155" s="226"/>
      <c r="L155" s="248">
        <v>25</v>
      </c>
      <c r="M155" s="240">
        <f>SUM(L155)*G158</f>
        <v>1089.5</v>
      </c>
      <c r="N155" s="226"/>
      <c r="O155" s="248">
        <v>25</v>
      </c>
      <c r="P155" s="240">
        <f>SUM(O155)*G158</f>
        <v>1089.5</v>
      </c>
      <c r="Q155" s="226">
        <f>F155+I155+L155+O155</f>
        <v>100</v>
      </c>
      <c r="R155" s="225">
        <f>SUM(G155)+J155+M155+P155</f>
        <v>4274</v>
      </c>
      <c r="S155" s="67"/>
      <c r="T155" s="11"/>
      <c r="U155" s="11"/>
      <c r="V155" s="12"/>
    </row>
    <row r="156" spans="1:22" ht="35.25">
      <c r="A156" s="52"/>
      <c r="B156" s="466" t="s">
        <v>19</v>
      </c>
      <c r="C156" s="466"/>
      <c r="D156" s="466"/>
      <c r="E156" s="15">
        <f>SUM(E129:E142)</f>
        <v>6764.85</v>
      </c>
      <c r="F156" s="233">
        <f>F129+F130+F137+F142+F144+F149+F153</f>
        <v>5996.892</v>
      </c>
      <c r="G156" s="249">
        <v>234201.08</v>
      </c>
      <c r="H156" s="60">
        <f aca="true" t="shared" si="28" ref="H156:M156">H129+H130+H137+H142+H144+H149+H153</f>
        <v>17.5</v>
      </c>
      <c r="I156" s="233">
        <f t="shared" si="28"/>
        <v>5686.192000000001</v>
      </c>
      <c r="J156" s="249">
        <v>211714.75</v>
      </c>
      <c r="K156" s="60">
        <f t="shared" si="28"/>
        <v>17.5</v>
      </c>
      <c r="L156" s="233">
        <f t="shared" si="28"/>
        <v>5387.049</v>
      </c>
      <c r="M156" s="249">
        <f t="shared" si="28"/>
        <v>206432.1652</v>
      </c>
      <c r="N156" s="60">
        <f>SUM(N129:N142)</f>
        <v>6644.8</v>
      </c>
      <c r="O156" s="233">
        <f>O129+O130+O137+O142+O144+O149+O153</f>
        <v>5823.6</v>
      </c>
      <c r="P156" s="249">
        <f>P129+P130+P137+P142+P144+P149+P153</f>
        <v>226459.848</v>
      </c>
      <c r="Q156" s="60">
        <f>Q129+Q130+Q137+Q142+Q144+Q149+Q153</f>
        <v>22893.733</v>
      </c>
      <c r="R156" s="234">
        <v>878807.85</v>
      </c>
      <c r="S156" s="67"/>
      <c r="T156" s="53"/>
      <c r="U156" s="53"/>
      <c r="V156" s="53"/>
    </row>
    <row r="157" spans="1:18" ht="26.25">
      <c r="A157" s="38"/>
      <c r="B157" s="471" t="s">
        <v>17</v>
      </c>
      <c r="C157" s="472"/>
      <c r="D157" s="473"/>
      <c r="E157" s="409" t="s">
        <v>122</v>
      </c>
      <c r="F157" s="409"/>
      <c r="G157" s="409"/>
      <c r="H157" s="409"/>
      <c r="I157" s="409"/>
      <c r="J157" s="409"/>
      <c r="K157" s="409"/>
      <c r="L157" s="409"/>
      <c r="M157" s="409"/>
      <c r="N157" s="409"/>
      <c r="O157" s="409"/>
      <c r="P157" s="409"/>
      <c r="Q157" s="409"/>
      <c r="R157" s="409"/>
    </row>
    <row r="158" spans="1:18" s="12" customFormat="1" ht="26.25">
      <c r="A158" s="5"/>
      <c r="B158" s="5"/>
      <c r="C158" s="5"/>
      <c r="D158" s="176"/>
      <c r="E158" s="176"/>
      <c r="F158" s="176">
        <v>41.9</v>
      </c>
      <c r="G158" s="179">
        <v>43.58</v>
      </c>
      <c r="H158" s="179"/>
      <c r="I158" s="179"/>
      <c r="J158" s="179"/>
      <c r="K158" s="5"/>
      <c r="L158" s="5"/>
      <c r="M158" s="5"/>
      <c r="N158" s="5"/>
      <c r="O158" s="5"/>
      <c r="P158" s="5"/>
      <c r="Q158" s="5"/>
      <c r="R158" s="5"/>
    </row>
    <row r="159" spans="1:18" s="12" customFormat="1" ht="26.25" customHeight="1">
      <c r="A159" s="5"/>
      <c r="B159" s="5"/>
      <c r="C159" s="5"/>
      <c r="D159" s="176"/>
      <c r="E159" s="176"/>
      <c r="F159" s="183">
        <v>15.6</v>
      </c>
      <c r="G159" s="179">
        <v>16.22</v>
      </c>
      <c r="H159" s="179"/>
      <c r="I159" s="179"/>
      <c r="J159" s="179"/>
      <c r="K159" s="5"/>
      <c r="L159" s="5"/>
      <c r="M159" s="5"/>
      <c r="N159" s="5"/>
      <c r="O159" s="5"/>
      <c r="P159" s="5"/>
      <c r="Q159" s="5"/>
      <c r="R159" s="5"/>
    </row>
    <row r="160" spans="1:18" s="12" customFormat="1" ht="26.25">
      <c r="A160" s="5"/>
      <c r="B160" s="5"/>
      <c r="C160" s="5"/>
      <c r="D160" s="176"/>
      <c r="E160" s="176"/>
      <c r="F160" s="176"/>
      <c r="G160" s="176"/>
      <c r="H160" s="118"/>
      <c r="I160" s="176"/>
      <c r="J160" s="176"/>
      <c r="K160" s="5"/>
      <c r="L160" s="5"/>
      <c r="M160" s="5"/>
      <c r="N160" s="5"/>
      <c r="O160" s="5"/>
      <c r="P160" s="5"/>
      <c r="Q160" s="5"/>
      <c r="R160" s="5"/>
    </row>
    <row r="161" spans="1:18" ht="26.25">
      <c r="A161" s="51"/>
      <c r="B161" s="43"/>
      <c r="C161" s="43"/>
      <c r="D161" s="43"/>
      <c r="E161" s="43"/>
      <c r="F161" s="43"/>
      <c r="G161" s="104"/>
      <c r="H161" s="6"/>
      <c r="I161" s="6"/>
      <c r="J161" s="104"/>
      <c r="K161" s="43"/>
      <c r="L161" s="43"/>
      <c r="M161" s="104"/>
      <c r="N161" s="43"/>
      <c r="O161" s="43"/>
      <c r="P161" s="104"/>
      <c r="Q161" s="43"/>
      <c r="R161" s="104"/>
    </row>
    <row r="162" spans="1:18" ht="26.25">
      <c r="A162" s="6"/>
      <c r="B162" s="43"/>
      <c r="C162" s="43"/>
      <c r="D162" s="43"/>
      <c r="E162" s="43"/>
      <c r="F162" s="43"/>
      <c r="G162" s="104"/>
      <c r="H162" s="43"/>
      <c r="I162" s="43"/>
      <c r="J162" s="104"/>
      <c r="K162" s="43"/>
      <c r="L162" s="43"/>
      <c r="M162" s="104"/>
      <c r="N162" s="43"/>
      <c r="O162" s="43"/>
      <c r="P162" s="104"/>
      <c r="Q162" s="43"/>
      <c r="R162" s="104"/>
    </row>
    <row r="163" spans="1:18" ht="26.25">
      <c r="A163" s="6"/>
      <c r="B163" s="6"/>
      <c r="C163" s="6"/>
      <c r="D163" s="6"/>
      <c r="E163" s="6"/>
      <c r="F163" s="6"/>
      <c r="G163" s="104"/>
      <c r="H163" s="6"/>
      <c r="I163" s="6"/>
      <c r="J163" s="104"/>
      <c r="K163" s="6"/>
      <c r="L163" s="6"/>
      <c r="M163" s="104"/>
      <c r="N163" s="6"/>
      <c r="O163" s="6"/>
      <c r="P163" s="104"/>
      <c r="Q163" s="6"/>
      <c r="R163" s="104"/>
    </row>
    <row r="164" spans="1:18" ht="26.25">
      <c r="A164" s="6"/>
      <c r="B164" s="6"/>
      <c r="C164" s="6"/>
      <c r="D164" s="6"/>
      <c r="E164" s="6"/>
      <c r="F164" s="6"/>
      <c r="G164" s="104"/>
      <c r="H164" s="6"/>
      <c r="I164" s="6"/>
      <c r="J164" s="104"/>
      <c r="K164" s="6"/>
      <c r="L164" s="6"/>
      <c r="M164" s="104"/>
      <c r="N164" s="6"/>
      <c r="O164" s="6"/>
      <c r="P164" s="104"/>
      <c r="Q164" s="6"/>
      <c r="R164" s="104"/>
    </row>
    <row r="165" spans="1:18" ht="26.25">
      <c r="A165" s="6"/>
      <c r="B165" s="6"/>
      <c r="C165" s="6"/>
      <c r="D165" s="6"/>
      <c r="E165" s="54"/>
      <c r="K165" s="6"/>
      <c r="L165" s="6"/>
      <c r="M165" s="104"/>
      <c r="N165" s="6"/>
      <c r="O165" s="6"/>
      <c r="P165" s="104"/>
      <c r="Q165" s="6"/>
      <c r="R165" s="104"/>
    </row>
    <row r="166" ht="25.5">
      <c r="E166" s="55" t="s">
        <v>22</v>
      </c>
    </row>
    <row r="167" ht="25.5">
      <c r="E167" s="55" t="s">
        <v>23</v>
      </c>
    </row>
    <row r="168" ht="25.5">
      <c r="E168" s="55" t="s">
        <v>24</v>
      </c>
    </row>
    <row r="169" ht="25.5">
      <c r="E169" s="55" t="s">
        <v>25</v>
      </c>
    </row>
    <row r="170" ht="25.5">
      <c r="E170" s="55" t="s">
        <v>26</v>
      </c>
    </row>
    <row r="171" ht="25.5">
      <c r="E171" s="55" t="s">
        <v>27</v>
      </c>
    </row>
    <row r="172" ht="25.5">
      <c r="E172" s="55" t="s">
        <v>29</v>
      </c>
    </row>
    <row r="173" ht="25.5">
      <c r="E173" s="55" t="s">
        <v>30</v>
      </c>
    </row>
    <row r="174" ht="25.5">
      <c r="E174" s="55" t="s">
        <v>28</v>
      </c>
    </row>
  </sheetData>
  <sheetProtection/>
  <mergeCells count="171">
    <mergeCell ref="B141:D141"/>
    <mergeCell ref="B69:D69"/>
    <mergeCell ref="B70:D70"/>
    <mergeCell ref="B71:D71"/>
    <mergeCell ref="B83:D83"/>
    <mergeCell ref="B27:D27"/>
    <mergeCell ref="B36:D36"/>
    <mergeCell ref="B33:D33"/>
    <mergeCell ref="B34:D34"/>
    <mergeCell ref="B35:D35"/>
    <mergeCell ref="N8:P8"/>
    <mergeCell ref="B23:D23"/>
    <mergeCell ref="B24:D24"/>
    <mergeCell ref="B14:D14"/>
    <mergeCell ref="B15:D15"/>
    <mergeCell ref="B12:D12"/>
    <mergeCell ref="B21:D21"/>
    <mergeCell ref="B13:D13"/>
    <mergeCell ref="B31:D31"/>
    <mergeCell ref="B19:D19"/>
    <mergeCell ref="B20:D20"/>
    <mergeCell ref="B26:D26"/>
    <mergeCell ref="B30:D30"/>
    <mergeCell ref="B17:D17"/>
    <mergeCell ref="P2:R2"/>
    <mergeCell ref="P3:R3"/>
    <mergeCell ref="P4:R4"/>
    <mergeCell ref="A7:R7"/>
    <mergeCell ref="A8:A9"/>
    <mergeCell ref="B16:D16"/>
    <mergeCell ref="K8:M8"/>
    <mergeCell ref="B8:D9"/>
    <mergeCell ref="E8:G8"/>
    <mergeCell ref="H8:J8"/>
    <mergeCell ref="Q8:R8"/>
    <mergeCell ref="A6:R6"/>
    <mergeCell ref="B32:D32"/>
    <mergeCell ref="B10:D10"/>
    <mergeCell ref="B11:D11"/>
    <mergeCell ref="B22:D22"/>
    <mergeCell ref="B18:D18"/>
    <mergeCell ref="B25:D25"/>
    <mergeCell ref="B28:D28"/>
    <mergeCell ref="B29:D29"/>
    <mergeCell ref="B37:D37"/>
    <mergeCell ref="B44:D44"/>
    <mergeCell ref="B38:D38"/>
    <mergeCell ref="B39:D39"/>
    <mergeCell ref="B40:D40"/>
    <mergeCell ref="B41:D41"/>
    <mergeCell ref="B42:D42"/>
    <mergeCell ref="B43:D43"/>
    <mergeCell ref="B45:D45"/>
    <mergeCell ref="E45:R45"/>
    <mergeCell ref="A48:R48"/>
    <mergeCell ref="A49:A50"/>
    <mergeCell ref="B49:D50"/>
    <mergeCell ref="E49:G49"/>
    <mergeCell ref="H49:J49"/>
    <mergeCell ref="K49:M49"/>
    <mergeCell ref="N49:P49"/>
    <mergeCell ref="Q49:R49"/>
    <mergeCell ref="B51:D51"/>
    <mergeCell ref="B52:D52"/>
    <mergeCell ref="B53:D53"/>
    <mergeCell ref="B54:D54"/>
    <mergeCell ref="B64:D64"/>
    <mergeCell ref="B55:D55"/>
    <mergeCell ref="B62:D62"/>
    <mergeCell ref="B63:D63"/>
    <mergeCell ref="B65:D65"/>
    <mergeCell ref="B56:D56"/>
    <mergeCell ref="B57:D57"/>
    <mergeCell ref="B58:D58"/>
    <mergeCell ref="B59:D59"/>
    <mergeCell ref="B66:D66"/>
    <mergeCell ref="B60:D60"/>
    <mergeCell ref="B61:D61"/>
    <mergeCell ref="B84:D84"/>
    <mergeCell ref="B76:D76"/>
    <mergeCell ref="B80:D80"/>
    <mergeCell ref="B81:D81"/>
    <mergeCell ref="B77:D77"/>
    <mergeCell ref="B78:D78"/>
    <mergeCell ref="B79:D79"/>
    <mergeCell ref="B82:D82"/>
    <mergeCell ref="E84:R84"/>
    <mergeCell ref="P88:R88"/>
    <mergeCell ref="P89:R89"/>
    <mergeCell ref="P90:R90"/>
    <mergeCell ref="A92:R92"/>
    <mergeCell ref="A93:A94"/>
    <mergeCell ref="B93:D94"/>
    <mergeCell ref="E93:G93"/>
    <mergeCell ref="H93:J93"/>
    <mergeCell ref="K93:M93"/>
    <mergeCell ref="N93:P93"/>
    <mergeCell ref="Q93:R93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8:D108"/>
    <mergeCell ref="B109:D109"/>
    <mergeCell ref="B110:D110"/>
    <mergeCell ref="B111:D111"/>
    <mergeCell ref="B112:D112"/>
    <mergeCell ref="B106:D106"/>
    <mergeCell ref="B107:D107"/>
    <mergeCell ref="B113:D113"/>
    <mergeCell ref="B114:D114"/>
    <mergeCell ref="B115:D115"/>
    <mergeCell ref="B116:D116"/>
    <mergeCell ref="B117:D117"/>
    <mergeCell ref="B122:D122"/>
    <mergeCell ref="B118:D118"/>
    <mergeCell ref="B123:D123"/>
    <mergeCell ref="B120:D120"/>
    <mergeCell ref="B121:D121"/>
    <mergeCell ref="B119:D119"/>
    <mergeCell ref="E123:R123"/>
    <mergeCell ref="A126:R126"/>
    <mergeCell ref="A127:A128"/>
    <mergeCell ref="B127:D128"/>
    <mergeCell ref="E127:G127"/>
    <mergeCell ref="H127:J127"/>
    <mergeCell ref="K127:M127"/>
    <mergeCell ref="N127:P127"/>
    <mergeCell ref="Q127:R127"/>
    <mergeCell ref="B138:D138"/>
    <mergeCell ref="B139:D139"/>
    <mergeCell ref="B142:D142"/>
    <mergeCell ref="B129:D129"/>
    <mergeCell ref="B130:D130"/>
    <mergeCell ref="B131:D131"/>
    <mergeCell ref="B132:D132"/>
    <mergeCell ref="B133:D133"/>
    <mergeCell ref="B134:D134"/>
    <mergeCell ref="B157:D157"/>
    <mergeCell ref="E157:R157"/>
    <mergeCell ref="B153:D153"/>
    <mergeCell ref="B154:D154"/>
    <mergeCell ref="B155:D155"/>
    <mergeCell ref="B143:D143"/>
    <mergeCell ref="B144:D144"/>
    <mergeCell ref="B145:D145"/>
    <mergeCell ref="B146:D146"/>
    <mergeCell ref="B147:D147"/>
    <mergeCell ref="B149:D149"/>
    <mergeCell ref="B150:D150"/>
    <mergeCell ref="B151:D151"/>
    <mergeCell ref="B156:D156"/>
    <mergeCell ref="B148:D148"/>
    <mergeCell ref="B135:D135"/>
    <mergeCell ref="B136:D136"/>
    <mergeCell ref="B137:D137"/>
    <mergeCell ref="B152:D152"/>
    <mergeCell ref="B140:D140"/>
    <mergeCell ref="B72:D72"/>
    <mergeCell ref="B73:D73"/>
    <mergeCell ref="B74:D74"/>
    <mergeCell ref="B75:D75"/>
    <mergeCell ref="B67:D67"/>
    <mergeCell ref="B68:D68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33" r:id="rId1"/>
  <rowBreaks count="3" manualBreakCount="3">
    <brk id="45" max="17" man="1"/>
    <brk id="84" max="17" man="1"/>
    <brk id="125" max="255" man="1"/>
  </rowBreaks>
  <colBreaks count="1" manualBreakCount="1">
    <brk id="18" max="1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8"/>
  <sheetViews>
    <sheetView view="pageBreakPreview" zoomScale="40" zoomScaleNormal="50" zoomScaleSheetLayoutView="40" zoomScalePageLayoutView="0" workbookViewId="0" topLeftCell="A1">
      <selection activeCell="B139" sqref="B139:D139"/>
    </sheetView>
  </sheetViews>
  <sheetFormatPr defaultColWidth="9.140625" defaultRowHeight="12.75"/>
  <cols>
    <col min="1" max="1" width="6.7109375" style="10" customWidth="1"/>
    <col min="2" max="2" width="9.140625" style="10" customWidth="1"/>
    <col min="3" max="3" width="21.140625" style="10" customWidth="1"/>
    <col min="4" max="4" width="62.140625" style="10" customWidth="1"/>
    <col min="5" max="5" width="27.140625" style="10" customWidth="1"/>
    <col min="6" max="6" width="14.421875" style="10" hidden="1" customWidth="1"/>
    <col min="7" max="7" width="24.7109375" style="10" customWidth="1"/>
    <col min="8" max="8" width="39.421875" style="10" customWidth="1"/>
    <col min="9" max="9" width="2.57421875" style="10" hidden="1" customWidth="1"/>
    <col min="10" max="10" width="29.421875" style="10" customWidth="1"/>
    <col min="11" max="11" width="33.421875" style="10" customWidth="1"/>
    <col min="12" max="12" width="9.8515625" style="10" hidden="1" customWidth="1"/>
    <col min="13" max="13" width="28.140625" style="10" customWidth="1"/>
    <col min="14" max="14" width="34.28125" style="10" customWidth="1"/>
    <col min="15" max="15" width="9.8515625" style="10" hidden="1" customWidth="1"/>
    <col min="16" max="16" width="27.00390625" style="10" customWidth="1"/>
    <col min="17" max="17" width="36.7109375" style="10" customWidth="1"/>
    <col min="18" max="18" width="29.28125" style="10" customWidth="1"/>
    <col min="19" max="19" width="36.7109375" style="10" customWidth="1"/>
    <col min="20" max="20" width="18.00390625" style="67" customWidth="1"/>
    <col min="21" max="21" width="22.421875" style="10" bestFit="1" customWidth="1"/>
    <col min="22" max="22" width="12.8515625" style="10" customWidth="1"/>
    <col min="23" max="23" width="10.8515625" style="10" bestFit="1" customWidth="1"/>
    <col min="24" max="16384" width="9.140625" style="10" customWidth="1"/>
  </cols>
  <sheetData>
    <row r="1" spans="1:23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6"/>
      <c r="P1" s="126"/>
      <c r="Q1" s="56"/>
      <c r="R1" s="56"/>
      <c r="S1" s="126"/>
      <c r="U1" s="12"/>
      <c r="V1" s="12"/>
      <c r="W1" s="12"/>
    </row>
    <row r="2" spans="1:23" ht="35.25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26"/>
      <c r="P2" s="126"/>
      <c r="Q2" s="434"/>
      <c r="R2" s="434"/>
      <c r="S2" s="434"/>
      <c r="U2" s="12"/>
      <c r="V2" s="12"/>
      <c r="W2" s="12"/>
    </row>
    <row r="3" spans="1:23" ht="35.2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26"/>
      <c r="P3" s="126"/>
      <c r="Q3" s="434"/>
      <c r="R3" s="434"/>
      <c r="S3" s="434"/>
      <c r="U3" s="12"/>
      <c r="V3" s="12"/>
      <c r="W3" s="12"/>
    </row>
    <row r="4" spans="1:23" ht="35.25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26"/>
      <c r="P4" s="126"/>
      <c r="Q4" s="434"/>
      <c r="R4" s="434"/>
      <c r="S4" s="434"/>
      <c r="U4" s="12"/>
      <c r="V4" s="12"/>
      <c r="W4" s="12"/>
    </row>
    <row r="5" spans="1:23" ht="35.2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26"/>
      <c r="P5" s="126"/>
      <c r="Q5" s="126"/>
      <c r="R5" s="126"/>
      <c r="S5" s="126"/>
      <c r="U5" s="12"/>
      <c r="V5" s="12"/>
      <c r="W5" s="12"/>
    </row>
    <row r="6" spans="1:23" ht="33.75" customHeight="1" hidden="1">
      <c r="A6" s="476" t="s">
        <v>67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U6" s="12"/>
      <c r="V6" s="12"/>
      <c r="W6" s="12"/>
    </row>
    <row r="7" spans="1:23" ht="18.75" customHeight="1" hidden="1">
      <c r="A7" s="494" t="s">
        <v>15</v>
      </c>
      <c r="B7" s="485" t="s">
        <v>0</v>
      </c>
      <c r="C7" s="486"/>
      <c r="D7" s="487"/>
      <c r="E7" s="127"/>
      <c r="F7" s="427" t="s">
        <v>1</v>
      </c>
      <c r="G7" s="428"/>
      <c r="H7" s="429"/>
      <c r="I7" s="427" t="s">
        <v>3</v>
      </c>
      <c r="J7" s="428"/>
      <c r="K7" s="429"/>
      <c r="L7" s="427" t="s">
        <v>4</v>
      </c>
      <c r="M7" s="428"/>
      <c r="N7" s="429"/>
      <c r="O7" s="427" t="s">
        <v>6</v>
      </c>
      <c r="P7" s="428"/>
      <c r="Q7" s="429"/>
      <c r="R7" s="427" t="s">
        <v>7</v>
      </c>
      <c r="S7" s="429"/>
      <c r="V7" s="12"/>
      <c r="W7" s="12"/>
    </row>
    <row r="8" spans="1:23" ht="53.25" hidden="1">
      <c r="A8" s="495"/>
      <c r="B8" s="488"/>
      <c r="C8" s="489"/>
      <c r="D8" s="490"/>
      <c r="E8" s="129"/>
      <c r="F8" s="130"/>
      <c r="G8" s="130" t="s">
        <v>2</v>
      </c>
      <c r="H8" s="130" t="s">
        <v>5</v>
      </c>
      <c r="I8" s="130"/>
      <c r="J8" s="130" t="s">
        <v>2</v>
      </c>
      <c r="K8" s="130" t="s">
        <v>5</v>
      </c>
      <c r="L8" s="130"/>
      <c r="M8" s="130" t="s">
        <v>2</v>
      </c>
      <c r="N8" s="130" t="s">
        <v>5</v>
      </c>
      <c r="O8" s="130" t="s">
        <v>2</v>
      </c>
      <c r="P8" s="130" t="s">
        <v>2</v>
      </c>
      <c r="Q8" s="130" t="s">
        <v>5</v>
      </c>
      <c r="R8" s="130" t="s">
        <v>2</v>
      </c>
      <c r="S8" s="130" t="s">
        <v>5</v>
      </c>
      <c r="V8" s="12"/>
      <c r="W8" s="12"/>
    </row>
    <row r="9" spans="1:23" ht="30" customHeight="1" hidden="1">
      <c r="A9" s="15">
        <v>1</v>
      </c>
      <c r="B9" s="496" t="s">
        <v>33</v>
      </c>
      <c r="C9" s="497"/>
      <c r="D9" s="498"/>
      <c r="E9" s="133"/>
      <c r="F9" s="15">
        <v>22.6</v>
      </c>
      <c r="G9" s="57">
        <v>22.6</v>
      </c>
      <c r="H9" s="9">
        <f>G9*G36</f>
        <v>60523.252</v>
      </c>
      <c r="I9" s="9">
        <v>7.9</v>
      </c>
      <c r="J9" s="9">
        <v>7.5</v>
      </c>
      <c r="K9" s="9">
        <f>J9*G36</f>
        <v>20085.15</v>
      </c>
      <c r="L9" s="9">
        <v>2.9</v>
      </c>
      <c r="M9" s="9">
        <v>2.4</v>
      </c>
      <c r="N9" s="9">
        <f>M9*H36</f>
        <v>7174.727999999999</v>
      </c>
      <c r="O9" s="9">
        <v>20.6</v>
      </c>
      <c r="P9" s="9">
        <v>18.7</v>
      </c>
      <c r="Q9" s="9">
        <f>P9*H36</f>
        <v>55903.08899999999</v>
      </c>
      <c r="R9" s="9">
        <f aca="true" t="shared" si="0" ref="R9:S17">G9+J9+M9+P9</f>
        <v>51.2</v>
      </c>
      <c r="S9" s="9">
        <f t="shared" si="0"/>
        <v>143686.21899999998</v>
      </c>
      <c r="T9" s="67" t="s">
        <v>21</v>
      </c>
      <c r="U9" s="13"/>
      <c r="V9" s="11">
        <f>H9+K9+N9+Q9</f>
        <v>143686.21899999998</v>
      </c>
      <c r="W9" s="12">
        <f>G9+J9+M9+P9</f>
        <v>51.2</v>
      </c>
    </row>
    <row r="10" spans="1:23" ht="30" customHeight="1" hidden="1">
      <c r="A10" s="15">
        <v>2</v>
      </c>
      <c r="B10" s="496" t="s">
        <v>41</v>
      </c>
      <c r="C10" s="497"/>
      <c r="D10" s="498"/>
      <c r="E10" s="133"/>
      <c r="F10" s="15"/>
      <c r="G10" s="57">
        <f>G11+G12+G13+G14+G15+G16</f>
        <v>3047.7000000000003</v>
      </c>
      <c r="H10" s="9">
        <f>H11+H12+H13+H14+H15+H16</f>
        <v>8161801.554</v>
      </c>
      <c r="I10" s="9"/>
      <c r="J10" s="9">
        <f>J11+J12+J13+J14+J15+J16</f>
        <v>894.2</v>
      </c>
      <c r="K10" s="9">
        <f>K11+K12+K13+K14+K15+K16</f>
        <v>2394685.484</v>
      </c>
      <c r="L10" s="9"/>
      <c r="M10" s="9">
        <f>M11+M12+M13+M14+M15+M16</f>
        <v>284.29999999999995</v>
      </c>
      <c r="N10" s="9">
        <f>N11+N12+N13+N14+N15+N16</f>
        <v>849906.321</v>
      </c>
      <c r="O10" s="9"/>
      <c r="P10" s="9">
        <f>P11+P12+P13+P14+P15+P16</f>
        <v>2169.5</v>
      </c>
      <c r="Q10" s="9">
        <f>Q11+Q12+Q13+Q14+Q15+Q16</f>
        <v>6485655.165</v>
      </c>
      <c r="R10" s="9">
        <f>R11+R12+R13+R14+R15+R16</f>
        <v>6395.7</v>
      </c>
      <c r="S10" s="9">
        <f>S11+S12+S13+S14+S15+S16</f>
        <v>17892048.524</v>
      </c>
      <c r="T10" s="67" t="s">
        <v>21</v>
      </c>
      <c r="U10" s="13"/>
      <c r="V10" s="11"/>
      <c r="W10" s="12"/>
    </row>
    <row r="11" spans="1:23" ht="33.75" customHeight="1" hidden="1">
      <c r="A11" s="15"/>
      <c r="B11" s="422" t="s">
        <v>34</v>
      </c>
      <c r="C11" s="423"/>
      <c r="D11" s="424"/>
      <c r="E11" s="134"/>
      <c r="F11" s="15">
        <v>968.6</v>
      </c>
      <c r="G11" s="58">
        <v>780</v>
      </c>
      <c r="H11" s="16">
        <f>G11*G36</f>
        <v>2088855.6</v>
      </c>
      <c r="I11" s="16">
        <v>347.1</v>
      </c>
      <c r="J11" s="16">
        <v>150</v>
      </c>
      <c r="K11" s="16">
        <f>J11*G36</f>
        <v>401703</v>
      </c>
      <c r="L11" s="16">
        <v>138.9</v>
      </c>
      <c r="M11" s="16">
        <v>50</v>
      </c>
      <c r="N11" s="16">
        <f>M11*H36</f>
        <v>149473.5</v>
      </c>
      <c r="O11" s="16">
        <v>879.1</v>
      </c>
      <c r="P11" s="16">
        <v>290</v>
      </c>
      <c r="Q11" s="16">
        <f>P11*H36</f>
        <v>866946.2999999999</v>
      </c>
      <c r="R11" s="16">
        <f t="shared" si="0"/>
        <v>1270</v>
      </c>
      <c r="S11" s="16">
        <f t="shared" si="0"/>
        <v>3506978.4</v>
      </c>
      <c r="T11" s="67" t="s">
        <v>21</v>
      </c>
      <c r="U11" s="13"/>
      <c r="V11" s="11">
        <f aca="true" t="shared" si="1" ref="V11:V28">H11+K11+N11+Q11</f>
        <v>3506978.4</v>
      </c>
      <c r="W11" s="12">
        <f aca="true" t="shared" si="2" ref="W11:W28">G11+J11+M11+P11</f>
        <v>1270</v>
      </c>
    </row>
    <row r="12" spans="1:23" ht="31.5" customHeight="1" hidden="1">
      <c r="A12" s="15"/>
      <c r="B12" s="422" t="s">
        <v>35</v>
      </c>
      <c r="C12" s="423"/>
      <c r="D12" s="424"/>
      <c r="E12" s="134"/>
      <c r="F12" s="15">
        <v>275.5</v>
      </c>
      <c r="G12" s="58">
        <v>260.8</v>
      </c>
      <c r="H12" s="16">
        <f>G12*G36</f>
        <v>698427.616</v>
      </c>
      <c r="I12" s="16">
        <v>101.3</v>
      </c>
      <c r="J12" s="16">
        <v>82.4</v>
      </c>
      <c r="K12" s="16">
        <f>J12*G36</f>
        <v>220668.84800000003</v>
      </c>
      <c r="L12" s="16">
        <v>40.3</v>
      </c>
      <c r="M12" s="16">
        <v>24.8</v>
      </c>
      <c r="N12" s="16">
        <f>M12*H36</f>
        <v>74138.856</v>
      </c>
      <c r="O12" s="16">
        <v>245.5</v>
      </c>
      <c r="P12" s="16">
        <v>214.4</v>
      </c>
      <c r="Q12" s="16">
        <f>P12*H36</f>
        <v>640942.368</v>
      </c>
      <c r="R12" s="16">
        <f t="shared" si="0"/>
        <v>582.4000000000001</v>
      </c>
      <c r="S12" s="16">
        <f t="shared" si="0"/>
        <v>1634177.688</v>
      </c>
      <c r="T12" s="67" t="s">
        <v>21</v>
      </c>
      <c r="U12" s="13"/>
      <c r="V12" s="11">
        <f t="shared" si="1"/>
        <v>1634177.688</v>
      </c>
      <c r="W12" s="12">
        <f t="shared" si="2"/>
        <v>582.4000000000001</v>
      </c>
    </row>
    <row r="13" spans="1:23" ht="29.25" customHeight="1" hidden="1">
      <c r="A13" s="15"/>
      <c r="B13" s="422" t="s">
        <v>36</v>
      </c>
      <c r="C13" s="423"/>
      <c r="D13" s="424"/>
      <c r="E13" s="134"/>
      <c r="F13" s="15">
        <v>1020.1</v>
      </c>
      <c r="G13" s="58">
        <v>993.2</v>
      </c>
      <c r="H13" s="16">
        <f>G13*G36</f>
        <v>2659809.464</v>
      </c>
      <c r="I13" s="16">
        <v>343</v>
      </c>
      <c r="J13" s="16">
        <v>313.8</v>
      </c>
      <c r="K13" s="16">
        <f>J13*G36</f>
        <v>840362.676</v>
      </c>
      <c r="L13" s="16">
        <v>122.2</v>
      </c>
      <c r="M13" s="16">
        <v>95.1</v>
      </c>
      <c r="N13" s="16">
        <f>M13*H36</f>
        <v>284298.59699999995</v>
      </c>
      <c r="O13" s="16">
        <v>920.9</v>
      </c>
      <c r="P13" s="16">
        <v>816.6</v>
      </c>
      <c r="Q13" s="16">
        <f>P13*H36</f>
        <v>2441201.202</v>
      </c>
      <c r="R13" s="16">
        <f t="shared" si="0"/>
        <v>2218.7</v>
      </c>
      <c r="S13" s="16">
        <f t="shared" si="0"/>
        <v>6225671.939</v>
      </c>
      <c r="T13" s="67" t="s">
        <v>21</v>
      </c>
      <c r="U13" s="13"/>
      <c r="V13" s="11">
        <f t="shared" si="1"/>
        <v>6225671.939</v>
      </c>
      <c r="W13" s="12">
        <f t="shared" si="2"/>
        <v>2218.7</v>
      </c>
    </row>
    <row r="14" spans="1:23" ht="35.25" customHeight="1" hidden="1">
      <c r="A14" s="8"/>
      <c r="B14" s="422" t="s">
        <v>37</v>
      </c>
      <c r="C14" s="423"/>
      <c r="D14" s="424"/>
      <c r="E14" s="134"/>
      <c r="F14" s="8">
        <v>186.3</v>
      </c>
      <c r="G14" s="58">
        <v>215.9</v>
      </c>
      <c r="H14" s="16">
        <f>G14*G36</f>
        <v>578184.518</v>
      </c>
      <c r="I14" s="16">
        <v>55.3</v>
      </c>
      <c r="J14" s="16">
        <v>74.5</v>
      </c>
      <c r="K14" s="16">
        <f>J14*G36</f>
        <v>199512.49</v>
      </c>
      <c r="L14" s="16">
        <v>2.8</v>
      </c>
      <c r="M14" s="16">
        <v>24.7</v>
      </c>
      <c r="N14" s="16">
        <f>M14*H36</f>
        <v>73839.909</v>
      </c>
      <c r="O14" s="16">
        <v>158.5</v>
      </c>
      <c r="P14" s="16">
        <v>181.1</v>
      </c>
      <c r="Q14" s="16">
        <f>P14*H36</f>
        <v>541393.017</v>
      </c>
      <c r="R14" s="16">
        <f t="shared" si="0"/>
        <v>496.19999999999993</v>
      </c>
      <c r="S14" s="16">
        <f t="shared" si="0"/>
        <v>1392929.934</v>
      </c>
      <c r="T14" s="67" t="s">
        <v>21</v>
      </c>
      <c r="U14" s="13"/>
      <c r="V14" s="11">
        <f t="shared" si="1"/>
        <v>1392929.934</v>
      </c>
      <c r="W14" s="12">
        <f t="shared" si="2"/>
        <v>496.19999999999993</v>
      </c>
    </row>
    <row r="15" spans="1:23" ht="30" customHeight="1" hidden="1">
      <c r="A15" s="8"/>
      <c r="B15" s="422" t="s">
        <v>38</v>
      </c>
      <c r="C15" s="423"/>
      <c r="D15" s="424"/>
      <c r="E15" s="134"/>
      <c r="F15" s="8">
        <v>619</v>
      </c>
      <c r="G15" s="58">
        <v>550.4</v>
      </c>
      <c r="H15" s="16">
        <f>G15*G36</f>
        <v>1473982.2079999999</v>
      </c>
      <c r="I15" s="16">
        <v>532.4</v>
      </c>
      <c r="J15" s="16">
        <v>193.1</v>
      </c>
      <c r="K15" s="16">
        <f>J15*G36</f>
        <v>517125.66199999995</v>
      </c>
      <c r="L15" s="16">
        <v>142.3</v>
      </c>
      <c r="M15" s="16">
        <v>65</v>
      </c>
      <c r="N15" s="16">
        <f>M15*H36</f>
        <v>194315.55</v>
      </c>
      <c r="O15" s="16">
        <v>646.5</v>
      </c>
      <c r="P15" s="16">
        <v>463.1</v>
      </c>
      <c r="Q15" s="16">
        <f>P15*H36</f>
        <v>1384423.557</v>
      </c>
      <c r="R15" s="16">
        <f t="shared" si="0"/>
        <v>1271.6</v>
      </c>
      <c r="S15" s="16">
        <f t="shared" si="0"/>
        <v>3569846.977</v>
      </c>
      <c r="T15" s="67" t="s">
        <v>21</v>
      </c>
      <c r="U15" s="13"/>
      <c r="V15" s="11">
        <f t="shared" si="1"/>
        <v>3569846.977</v>
      </c>
      <c r="W15" s="12">
        <f t="shared" si="2"/>
        <v>1271.6</v>
      </c>
    </row>
    <row r="16" spans="1:23" ht="52.5" customHeight="1" hidden="1">
      <c r="A16" s="8"/>
      <c r="B16" s="422" t="s">
        <v>39</v>
      </c>
      <c r="C16" s="423"/>
      <c r="D16" s="424"/>
      <c r="E16" s="134"/>
      <c r="F16" s="8">
        <v>277.52</v>
      </c>
      <c r="G16" s="58">
        <v>247.4</v>
      </c>
      <c r="H16" s="16">
        <f>G16*G36</f>
        <v>662542.148</v>
      </c>
      <c r="I16" s="16">
        <v>129</v>
      </c>
      <c r="J16" s="16">
        <v>80.4</v>
      </c>
      <c r="K16" s="16">
        <f>J16*G36</f>
        <v>215312.80800000002</v>
      </c>
      <c r="L16" s="16">
        <v>7.2</v>
      </c>
      <c r="M16" s="16">
        <v>24.7</v>
      </c>
      <c r="N16" s="16">
        <f>M16*H36</f>
        <v>73839.909</v>
      </c>
      <c r="O16" s="16">
        <v>182.6</v>
      </c>
      <c r="P16" s="16">
        <v>204.3</v>
      </c>
      <c r="Q16" s="16">
        <f>P16*H36</f>
        <v>610748.721</v>
      </c>
      <c r="R16" s="16">
        <f t="shared" si="0"/>
        <v>556.8</v>
      </c>
      <c r="S16" s="16">
        <f t="shared" si="0"/>
        <v>1562443.5860000001</v>
      </c>
      <c r="T16" s="67" t="s">
        <v>21</v>
      </c>
      <c r="U16" s="13"/>
      <c r="V16" s="11">
        <f t="shared" si="1"/>
        <v>1562443.5860000001</v>
      </c>
      <c r="W16" s="12">
        <f t="shared" si="2"/>
        <v>556.8</v>
      </c>
    </row>
    <row r="17" spans="1:23" ht="30.75" customHeight="1" hidden="1">
      <c r="A17" s="15">
        <v>3</v>
      </c>
      <c r="B17" s="496" t="s">
        <v>42</v>
      </c>
      <c r="C17" s="497"/>
      <c r="D17" s="498"/>
      <c r="E17" s="133"/>
      <c r="F17" s="8"/>
      <c r="G17" s="57">
        <v>362.4</v>
      </c>
      <c r="H17" s="9">
        <f>G17*G36</f>
        <v>970514.448</v>
      </c>
      <c r="I17" s="9"/>
      <c r="J17" s="9">
        <v>118.4</v>
      </c>
      <c r="K17" s="9">
        <f>J17*G36</f>
        <v>317077.568</v>
      </c>
      <c r="L17" s="9"/>
      <c r="M17" s="9">
        <v>36.5</v>
      </c>
      <c r="N17" s="9">
        <f>M17*H36</f>
        <v>109115.655</v>
      </c>
      <c r="O17" s="9"/>
      <c r="P17" s="9">
        <v>300</v>
      </c>
      <c r="Q17" s="9">
        <f>P17*H36</f>
        <v>896840.9999999999</v>
      </c>
      <c r="R17" s="9">
        <f t="shared" si="0"/>
        <v>817.3</v>
      </c>
      <c r="S17" s="9">
        <f t="shared" si="0"/>
        <v>2293548.671</v>
      </c>
      <c r="U17" s="13"/>
      <c r="V17" s="11"/>
      <c r="W17" s="12">
        <f t="shared" si="2"/>
        <v>817.3</v>
      </c>
    </row>
    <row r="18" spans="1:23" ht="39" customHeight="1" hidden="1">
      <c r="A18" s="15">
        <v>4</v>
      </c>
      <c r="B18" s="496" t="s">
        <v>43</v>
      </c>
      <c r="C18" s="497"/>
      <c r="D18" s="498"/>
      <c r="E18" s="133"/>
      <c r="F18" s="8"/>
      <c r="G18" s="57">
        <f>G19+G20+G21</f>
        <v>40.4</v>
      </c>
      <c r="H18" s="9">
        <f>H19+H20+H21</f>
        <v>108192.008</v>
      </c>
      <c r="I18" s="9"/>
      <c r="J18" s="9">
        <f>J19+J20+J21</f>
        <v>13.200000000000001</v>
      </c>
      <c r="K18" s="9">
        <f>K19+K20+K21</f>
        <v>35349.864</v>
      </c>
      <c r="L18" s="9"/>
      <c r="M18" s="9">
        <f>M19+M20+M21</f>
        <v>4.2</v>
      </c>
      <c r="N18" s="9">
        <f>N19+N20+N21</f>
        <v>12555.774</v>
      </c>
      <c r="O18" s="9"/>
      <c r="P18" s="9">
        <f>P19+P20+P21</f>
        <v>33.5</v>
      </c>
      <c r="Q18" s="9">
        <f>Q19+Q20+Q21</f>
        <v>100147.245</v>
      </c>
      <c r="R18" s="9">
        <f>R19+R20+R21</f>
        <v>91.30000000000001</v>
      </c>
      <c r="S18" s="9">
        <f>S19+S20+S21</f>
        <v>256244.891</v>
      </c>
      <c r="U18" s="11"/>
      <c r="V18" s="11"/>
      <c r="W18" s="12"/>
    </row>
    <row r="19" spans="1:23" ht="27" customHeight="1" hidden="1">
      <c r="A19" s="8"/>
      <c r="B19" s="422" t="s">
        <v>44</v>
      </c>
      <c r="C19" s="423"/>
      <c r="D19" s="424"/>
      <c r="E19" s="134"/>
      <c r="F19" s="8"/>
      <c r="G19" s="58">
        <v>23.3</v>
      </c>
      <c r="H19" s="16">
        <f>G19*G36</f>
        <v>62397.866</v>
      </c>
      <c r="I19" s="16"/>
      <c r="J19" s="16">
        <v>7.5</v>
      </c>
      <c r="K19" s="16">
        <f>J19*G36</f>
        <v>20085.15</v>
      </c>
      <c r="L19" s="16"/>
      <c r="M19" s="16">
        <v>2.4</v>
      </c>
      <c r="N19" s="16">
        <f>M19*H36</f>
        <v>7174.727999999999</v>
      </c>
      <c r="O19" s="16"/>
      <c r="P19" s="16">
        <v>19.3</v>
      </c>
      <c r="Q19" s="16">
        <f>P19*H36</f>
        <v>57696.771</v>
      </c>
      <c r="R19" s="16">
        <f aca="true" t="shared" si="3" ref="R19:S21">G19+J19+M19+P19</f>
        <v>52.5</v>
      </c>
      <c r="S19" s="16">
        <f t="shared" si="3"/>
        <v>147354.515</v>
      </c>
      <c r="U19" s="11"/>
      <c r="V19" s="11"/>
      <c r="W19" s="12"/>
    </row>
    <row r="20" spans="1:23" ht="25.5" customHeight="1" hidden="1">
      <c r="A20" s="8"/>
      <c r="B20" s="422" t="s">
        <v>45</v>
      </c>
      <c r="C20" s="423"/>
      <c r="D20" s="424"/>
      <c r="E20" s="134"/>
      <c r="F20" s="8"/>
      <c r="G20" s="58">
        <v>2.4</v>
      </c>
      <c r="H20" s="16">
        <f>G20*G36</f>
        <v>6427.248</v>
      </c>
      <c r="I20" s="16"/>
      <c r="J20" s="16">
        <v>0.8</v>
      </c>
      <c r="K20" s="16">
        <f>J20*G36</f>
        <v>2142.416</v>
      </c>
      <c r="L20" s="16"/>
      <c r="M20" s="16">
        <v>0.2</v>
      </c>
      <c r="N20" s="16">
        <f>M20*H36</f>
        <v>597.894</v>
      </c>
      <c r="O20" s="16"/>
      <c r="P20" s="16">
        <v>2</v>
      </c>
      <c r="Q20" s="16">
        <f>P20*H36</f>
        <v>5978.94</v>
      </c>
      <c r="R20" s="16">
        <f t="shared" si="3"/>
        <v>5.4</v>
      </c>
      <c r="S20" s="16">
        <f t="shared" si="3"/>
        <v>15146.498</v>
      </c>
      <c r="U20" s="11"/>
      <c r="V20" s="11"/>
      <c r="W20" s="12"/>
    </row>
    <row r="21" spans="1:23" ht="26.25" customHeight="1" hidden="1">
      <c r="A21" s="8"/>
      <c r="B21" s="422" t="s">
        <v>46</v>
      </c>
      <c r="C21" s="423"/>
      <c r="D21" s="424"/>
      <c r="E21" s="134"/>
      <c r="F21" s="8"/>
      <c r="G21" s="58">
        <v>14.7</v>
      </c>
      <c r="H21" s="16">
        <f>G21*G36</f>
        <v>39366.894</v>
      </c>
      <c r="I21" s="16"/>
      <c r="J21" s="16">
        <v>4.9</v>
      </c>
      <c r="K21" s="16">
        <f>J21*G36</f>
        <v>13122.298</v>
      </c>
      <c r="L21" s="16"/>
      <c r="M21" s="16">
        <v>1.6</v>
      </c>
      <c r="N21" s="16">
        <f>M21*H36</f>
        <v>4783.152</v>
      </c>
      <c r="O21" s="16"/>
      <c r="P21" s="16">
        <v>12.2</v>
      </c>
      <c r="Q21" s="16">
        <f>P21*H36</f>
        <v>36471.53399999999</v>
      </c>
      <c r="R21" s="16">
        <f t="shared" si="3"/>
        <v>33.400000000000006</v>
      </c>
      <c r="S21" s="16">
        <f t="shared" si="3"/>
        <v>93743.878</v>
      </c>
      <c r="U21" s="11"/>
      <c r="V21" s="11"/>
      <c r="W21" s="12"/>
    </row>
    <row r="22" spans="1:23" ht="29.25" customHeight="1" hidden="1">
      <c r="A22" s="15">
        <v>5</v>
      </c>
      <c r="B22" s="496" t="s">
        <v>47</v>
      </c>
      <c r="C22" s="497"/>
      <c r="D22" s="498"/>
      <c r="E22" s="133"/>
      <c r="F22" s="8"/>
      <c r="G22" s="57">
        <f>G23+G24+G25+G26+G27+G28</f>
        <v>589.7</v>
      </c>
      <c r="H22" s="9">
        <f>H23+H24+H25+H26+H27+H28</f>
        <v>1579228.3939999996</v>
      </c>
      <c r="I22" s="9"/>
      <c r="J22" s="9">
        <f>J23+J24+J25+J26+J27+J28</f>
        <v>216.9</v>
      </c>
      <c r="K22" s="9">
        <f>K23+K24+K25+K26+K27+K28</f>
        <v>580862.5380000001</v>
      </c>
      <c r="L22" s="9"/>
      <c r="M22" s="9">
        <f>M23+M24+M25+M26+M27+M28</f>
        <v>24.800000000000004</v>
      </c>
      <c r="N22" s="9">
        <f>N23+N24+N25+N26+N27+N28</f>
        <v>74138.856</v>
      </c>
      <c r="O22" s="9"/>
      <c r="P22" s="9">
        <f>P23+P24+P25+P26+P27+P28</f>
        <v>407.8999999999999</v>
      </c>
      <c r="Q22" s="9">
        <f>Q23+Q24+Q25+Q26+Q27+Q28</f>
        <v>1219404.813</v>
      </c>
      <c r="R22" s="9">
        <f>R23+R24+R25+R26+R27+R28</f>
        <v>1239.2999999999997</v>
      </c>
      <c r="S22" s="9">
        <f>S23+S24+S25+S26+S27+S28</f>
        <v>3453634.601</v>
      </c>
      <c r="U22" s="11"/>
      <c r="V22" s="11"/>
      <c r="W22" s="12"/>
    </row>
    <row r="23" spans="1:23" ht="30" customHeight="1" hidden="1">
      <c r="A23" s="8"/>
      <c r="B23" s="422" t="s">
        <v>48</v>
      </c>
      <c r="C23" s="423"/>
      <c r="D23" s="424"/>
      <c r="E23" s="134"/>
      <c r="F23" s="8"/>
      <c r="G23" s="58">
        <v>19.7</v>
      </c>
      <c r="H23" s="16">
        <f>G23*G36</f>
        <v>52756.994</v>
      </c>
      <c r="I23" s="16"/>
      <c r="J23" s="16">
        <v>6.7</v>
      </c>
      <c r="K23" s="16">
        <f>J23*G36</f>
        <v>17942.734</v>
      </c>
      <c r="L23" s="16"/>
      <c r="M23" s="16">
        <v>2.3</v>
      </c>
      <c r="N23" s="16">
        <f>M23*H36</f>
        <v>6875.780999999999</v>
      </c>
      <c r="O23" s="16"/>
      <c r="P23" s="16">
        <v>17.2</v>
      </c>
      <c r="Q23" s="16">
        <f>P23*H36</f>
        <v>51418.88399999999</v>
      </c>
      <c r="R23" s="16">
        <f aca="true" t="shared" si="4" ref="R23:S28">G23+J23+M23+P23</f>
        <v>45.9</v>
      </c>
      <c r="S23" s="16">
        <f t="shared" si="4"/>
        <v>128994.393</v>
      </c>
      <c r="U23" s="11"/>
      <c r="V23" s="11"/>
      <c r="W23" s="12"/>
    </row>
    <row r="24" spans="1:23" ht="28.5" customHeight="1" hidden="1">
      <c r="A24" s="8"/>
      <c r="B24" s="422" t="s">
        <v>49</v>
      </c>
      <c r="C24" s="423"/>
      <c r="D24" s="424"/>
      <c r="E24" s="134"/>
      <c r="F24" s="8"/>
      <c r="G24" s="58">
        <v>317.5</v>
      </c>
      <c r="H24" s="16">
        <f>G24*G36</f>
        <v>850271.35</v>
      </c>
      <c r="I24" s="16"/>
      <c r="J24" s="16">
        <v>111.7</v>
      </c>
      <c r="K24" s="16">
        <f>J24*G36</f>
        <v>299134.83400000003</v>
      </c>
      <c r="L24" s="16"/>
      <c r="M24" s="16">
        <v>5.7</v>
      </c>
      <c r="N24" s="16">
        <f>M24*H36</f>
        <v>17039.979</v>
      </c>
      <c r="O24" s="16"/>
      <c r="P24" s="16">
        <v>205.7</v>
      </c>
      <c r="Q24" s="16">
        <f>P24*H36</f>
        <v>614933.9789999999</v>
      </c>
      <c r="R24" s="16">
        <f t="shared" si="4"/>
        <v>640.5999999999999</v>
      </c>
      <c r="S24" s="16">
        <f t="shared" si="4"/>
        <v>1781380.142</v>
      </c>
      <c r="U24" s="11"/>
      <c r="V24" s="11"/>
      <c r="W24" s="12"/>
    </row>
    <row r="25" spans="1:23" ht="32.25" customHeight="1" hidden="1">
      <c r="A25" s="8"/>
      <c r="B25" s="422" t="s">
        <v>50</v>
      </c>
      <c r="C25" s="423"/>
      <c r="D25" s="424"/>
      <c r="E25" s="134"/>
      <c r="F25" s="8"/>
      <c r="G25" s="58">
        <v>88.5</v>
      </c>
      <c r="H25" s="16">
        <f>G25*G36</f>
        <v>237004.77</v>
      </c>
      <c r="I25" s="16"/>
      <c r="J25" s="16">
        <v>28.3</v>
      </c>
      <c r="K25" s="16">
        <f>J25*G36</f>
        <v>75787.966</v>
      </c>
      <c r="L25" s="16"/>
      <c r="M25" s="16">
        <v>4.8</v>
      </c>
      <c r="N25" s="16">
        <f>M25*H36</f>
        <v>14349.455999999998</v>
      </c>
      <c r="O25" s="16"/>
      <c r="P25" s="16">
        <v>76.4</v>
      </c>
      <c r="Q25" s="16">
        <f>P25*H36</f>
        <v>228395.508</v>
      </c>
      <c r="R25" s="16">
        <f t="shared" si="4"/>
        <v>198</v>
      </c>
      <c r="S25" s="16">
        <f t="shared" si="4"/>
        <v>555537.7</v>
      </c>
      <c r="U25" s="11"/>
      <c r="V25" s="11"/>
      <c r="W25" s="12"/>
    </row>
    <row r="26" spans="1:23" ht="28.5" customHeight="1" hidden="1">
      <c r="A26" s="8"/>
      <c r="B26" s="422" t="s">
        <v>40</v>
      </c>
      <c r="C26" s="423"/>
      <c r="D26" s="424"/>
      <c r="E26" s="134"/>
      <c r="F26" s="8">
        <v>112.1</v>
      </c>
      <c r="G26" s="58">
        <v>70.8</v>
      </c>
      <c r="H26" s="16">
        <f>G26*G36</f>
        <v>189603.816</v>
      </c>
      <c r="I26" s="16"/>
      <c r="J26" s="16">
        <v>33.6</v>
      </c>
      <c r="K26" s="16">
        <f>J26*G36</f>
        <v>89981.47200000001</v>
      </c>
      <c r="L26" s="16"/>
      <c r="M26" s="16">
        <v>6.8</v>
      </c>
      <c r="N26" s="16">
        <f>M26*H36</f>
        <v>20328.395999999997</v>
      </c>
      <c r="O26" s="16"/>
      <c r="P26" s="16">
        <v>40.5</v>
      </c>
      <c r="Q26" s="16">
        <f>P26*H36</f>
        <v>121073.53499999999</v>
      </c>
      <c r="R26" s="16">
        <f t="shared" si="4"/>
        <v>151.7</v>
      </c>
      <c r="S26" s="16">
        <f t="shared" si="4"/>
        <v>420987.219</v>
      </c>
      <c r="T26" s="67" t="s">
        <v>21</v>
      </c>
      <c r="U26" s="11">
        <f>4206.13*P26</f>
        <v>170348.265</v>
      </c>
      <c r="V26" s="11">
        <f t="shared" si="1"/>
        <v>420987.219</v>
      </c>
      <c r="W26" s="12">
        <f t="shared" si="2"/>
        <v>151.7</v>
      </c>
    </row>
    <row r="27" spans="1:23" ht="33" customHeight="1" hidden="1">
      <c r="A27" s="8"/>
      <c r="B27" s="422" t="s">
        <v>51</v>
      </c>
      <c r="C27" s="423"/>
      <c r="D27" s="424"/>
      <c r="E27" s="134"/>
      <c r="F27" s="8">
        <v>87.8</v>
      </c>
      <c r="G27" s="58">
        <v>30.2</v>
      </c>
      <c r="H27" s="16">
        <f>G27*G36</f>
        <v>80876.204</v>
      </c>
      <c r="I27" s="16"/>
      <c r="J27" s="16">
        <v>9.6</v>
      </c>
      <c r="K27" s="16">
        <f>J27*G36</f>
        <v>25708.992</v>
      </c>
      <c r="L27" s="16"/>
      <c r="M27" s="16">
        <v>3.1</v>
      </c>
      <c r="N27" s="16">
        <f>M27*H36</f>
        <v>9267.357</v>
      </c>
      <c r="O27" s="16"/>
      <c r="P27" s="16">
        <v>25.9</v>
      </c>
      <c r="Q27" s="16">
        <f>P27*H36</f>
        <v>77427.27299999999</v>
      </c>
      <c r="R27" s="16">
        <f t="shared" si="4"/>
        <v>68.8</v>
      </c>
      <c r="S27" s="16">
        <f t="shared" si="4"/>
        <v>193279.826</v>
      </c>
      <c r="T27" s="67" t="s">
        <v>21</v>
      </c>
      <c r="U27" s="11">
        <f>4206.13*P27</f>
        <v>108938.76699999999</v>
      </c>
      <c r="V27" s="11">
        <f t="shared" si="1"/>
        <v>193279.826</v>
      </c>
      <c r="W27" s="12">
        <f t="shared" si="2"/>
        <v>68.8</v>
      </c>
    </row>
    <row r="28" spans="1:23" ht="26.25" customHeight="1" hidden="1">
      <c r="A28" s="8"/>
      <c r="B28" s="422" t="s">
        <v>52</v>
      </c>
      <c r="C28" s="423"/>
      <c r="D28" s="424"/>
      <c r="E28" s="134"/>
      <c r="F28" s="8">
        <v>331.5</v>
      </c>
      <c r="G28" s="58">
        <v>63</v>
      </c>
      <c r="H28" s="16">
        <f>G28*G36</f>
        <v>168715.26</v>
      </c>
      <c r="I28" s="16"/>
      <c r="J28" s="16">
        <v>27</v>
      </c>
      <c r="K28" s="16">
        <f>J28*G36</f>
        <v>72306.54</v>
      </c>
      <c r="L28" s="16"/>
      <c r="M28" s="16">
        <v>2.1</v>
      </c>
      <c r="N28" s="16">
        <f>M28*H36</f>
        <v>6277.887</v>
      </c>
      <c r="O28" s="16"/>
      <c r="P28" s="16">
        <v>42.2</v>
      </c>
      <c r="Q28" s="16">
        <f>P28*H36</f>
        <v>126155.634</v>
      </c>
      <c r="R28" s="16">
        <f t="shared" si="4"/>
        <v>134.3</v>
      </c>
      <c r="S28" s="16">
        <f t="shared" si="4"/>
        <v>373455.321</v>
      </c>
      <c r="T28" s="67" t="s">
        <v>21</v>
      </c>
      <c r="U28" s="11">
        <f>4206.13*P28</f>
        <v>177498.68600000002</v>
      </c>
      <c r="V28" s="11">
        <f t="shared" si="1"/>
        <v>373455.321</v>
      </c>
      <c r="W28" s="12">
        <f t="shared" si="2"/>
        <v>134.3</v>
      </c>
    </row>
    <row r="29" spans="1:23" ht="28.5" customHeight="1" hidden="1">
      <c r="A29" s="15">
        <v>6</v>
      </c>
      <c r="B29" s="496" t="s">
        <v>53</v>
      </c>
      <c r="C29" s="497"/>
      <c r="D29" s="498"/>
      <c r="E29" s="133"/>
      <c r="F29" s="8"/>
      <c r="G29" s="57">
        <f>G30+G31</f>
        <v>224.79999999999998</v>
      </c>
      <c r="H29" s="9">
        <f>H30+H31</f>
        <v>602018.896</v>
      </c>
      <c r="I29" s="9"/>
      <c r="J29" s="9">
        <f>J30+J31</f>
        <v>73.6</v>
      </c>
      <c r="K29" s="9">
        <f>K30+K31</f>
        <v>197102.272</v>
      </c>
      <c r="L29" s="9"/>
      <c r="M29" s="9">
        <f>M30+M31</f>
        <v>23.2</v>
      </c>
      <c r="N29" s="9">
        <f>N30+N31</f>
        <v>69355.704</v>
      </c>
      <c r="O29" s="9"/>
      <c r="P29" s="9">
        <f>P30+P31</f>
        <v>186.39999999999998</v>
      </c>
      <c r="Q29" s="9">
        <f>Q30+Q31</f>
        <v>557237.2079999999</v>
      </c>
      <c r="R29" s="9">
        <f>R30+R31</f>
        <v>508</v>
      </c>
      <c r="S29" s="9">
        <f>S30+S31</f>
        <v>1425714.08</v>
      </c>
      <c r="U29" s="11"/>
      <c r="V29" s="11"/>
      <c r="W29" s="12"/>
    </row>
    <row r="30" spans="1:23" ht="28.5" customHeight="1" hidden="1">
      <c r="A30" s="8"/>
      <c r="B30" s="422" t="s">
        <v>54</v>
      </c>
      <c r="C30" s="423"/>
      <c r="D30" s="424"/>
      <c r="E30" s="134"/>
      <c r="F30" s="8"/>
      <c r="G30" s="58">
        <v>87.6</v>
      </c>
      <c r="H30" s="16">
        <f>G30*G36</f>
        <v>234594.552</v>
      </c>
      <c r="I30" s="16"/>
      <c r="J30" s="16">
        <v>30.2</v>
      </c>
      <c r="K30" s="16">
        <f>J30*G36</f>
        <v>80876.204</v>
      </c>
      <c r="L30" s="16"/>
      <c r="M30" s="16">
        <v>10.1</v>
      </c>
      <c r="N30" s="16">
        <f>M30*H36</f>
        <v>30193.646999999997</v>
      </c>
      <c r="O30" s="16"/>
      <c r="P30" s="16">
        <v>73.6</v>
      </c>
      <c r="Q30" s="16">
        <f>P30*H36</f>
        <v>220024.99199999997</v>
      </c>
      <c r="R30" s="16">
        <f aca="true" t="shared" si="5" ref="R30:S32">G30+J30+M30+P30</f>
        <v>201.5</v>
      </c>
      <c r="S30" s="16">
        <f t="shared" si="5"/>
        <v>565689.395</v>
      </c>
      <c r="U30" s="11"/>
      <c r="V30" s="11"/>
      <c r="W30" s="12"/>
    </row>
    <row r="31" spans="1:23" ht="27" customHeight="1" hidden="1">
      <c r="A31" s="8"/>
      <c r="B31" s="422" t="s">
        <v>55</v>
      </c>
      <c r="C31" s="423"/>
      <c r="D31" s="424"/>
      <c r="E31" s="134"/>
      <c r="F31" s="8"/>
      <c r="G31" s="58">
        <v>137.2</v>
      </c>
      <c r="H31" s="16">
        <f>G31*G36</f>
        <v>367424.344</v>
      </c>
      <c r="I31" s="16"/>
      <c r="J31" s="16">
        <v>43.4</v>
      </c>
      <c r="K31" s="16">
        <f>J31*G36</f>
        <v>116226.068</v>
      </c>
      <c r="L31" s="16"/>
      <c r="M31" s="16">
        <v>13.1</v>
      </c>
      <c r="N31" s="16">
        <f>M31*H36</f>
        <v>39162.05699999999</v>
      </c>
      <c r="O31" s="16"/>
      <c r="P31" s="16">
        <v>112.8</v>
      </c>
      <c r="Q31" s="16">
        <f>P31*H36</f>
        <v>337212.21599999996</v>
      </c>
      <c r="R31" s="16">
        <f t="shared" si="5"/>
        <v>306.5</v>
      </c>
      <c r="S31" s="16">
        <f t="shared" si="5"/>
        <v>860024.6849999999</v>
      </c>
      <c r="U31" s="11"/>
      <c r="V31" s="11"/>
      <c r="W31" s="12"/>
    </row>
    <row r="32" spans="1:23" ht="27" customHeight="1" hidden="1">
      <c r="A32" s="15">
        <v>7</v>
      </c>
      <c r="B32" s="496" t="s">
        <v>56</v>
      </c>
      <c r="C32" s="497"/>
      <c r="D32" s="498"/>
      <c r="E32" s="133"/>
      <c r="F32" s="8"/>
      <c r="G32" s="57">
        <v>127</v>
      </c>
      <c r="H32" s="9">
        <f>G32*G36</f>
        <v>340108.54</v>
      </c>
      <c r="I32" s="9"/>
      <c r="J32" s="9">
        <v>43.6</v>
      </c>
      <c r="K32" s="9">
        <f>J32*G36</f>
        <v>116761.672</v>
      </c>
      <c r="L32" s="9"/>
      <c r="M32" s="9">
        <v>14.4</v>
      </c>
      <c r="N32" s="9">
        <f>M32*H36</f>
        <v>43048.367999999995</v>
      </c>
      <c r="O32" s="9"/>
      <c r="P32" s="9">
        <v>106.3</v>
      </c>
      <c r="Q32" s="9">
        <f>P32*H36</f>
        <v>317780.66099999996</v>
      </c>
      <c r="R32" s="9">
        <f t="shared" si="5"/>
        <v>291.3</v>
      </c>
      <c r="S32" s="9">
        <f t="shared" si="5"/>
        <v>817699.2409999999</v>
      </c>
      <c r="U32" s="11"/>
      <c r="V32" s="11"/>
      <c r="W32" s="12"/>
    </row>
    <row r="33" spans="1:23" ht="26.25" customHeight="1" hidden="1">
      <c r="A33" s="8"/>
      <c r="B33" s="499" t="s">
        <v>19</v>
      </c>
      <c r="C33" s="500"/>
      <c r="D33" s="501"/>
      <c r="E33" s="135"/>
      <c r="F33" s="15" t="e">
        <f>F9+#REF!+#REF!+F11+F12+F13+F14+F15+F16+F26+F27+F28+#REF!</f>
        <v>#REF!</v>
      </c>
      <c r="G33" s="9">
        <f>G9+G10+G17+G18+G22+G29+G32</f>
        <v>4414.6</v>
      </c>
      <c r="H33" s="9">
        <f>H9+H10+H17+H18+H22+H29+H32</f>
        <v>11822387.091999998</v>
      </c>
      <c r="I33" s="9">
        <f aca="true" t="shared" si="6" ref="I33:O33">I9+I11+I12+I13+I14+I15+I16+I26+I27+I28</f>
        <v>1516</v>
      </c>
      <c r="J33" s="9">
        <f>J9+J10+J17+J18+J22+J29+J32</f>
        <v>1367.3999999999999</v>
      </c>
      <c r="K33" s="9">
        <f>K9+K10+K17+K18+K22+K29+K32</f>
        <v>3661924.548</v>
      </c>
      <c r="L33" s="9">
        <f t="shared" si="6"/>
        <v>456.6</v>
      </c>
      <c r="M33" s="9">
        <f>M9+M10+M17+M18+M22+M29+M32</f>
        <v>389.7999999999999</v>
      </c>
      <c r="N33" s="9">
        <f>N9+N10+N17+N18+N22+N29+N32</f>
        <v>1165295.406</v>
      </c>
      <c r="O33" s="9">
        <f t="shared" si="6"/>
        <v>3053.7</v>
      </c>
      <c r="P33" s="9">
        <f>P9+P10+P17+P18+P22+P29+P32</f>
        <v>3222.3</v>
      </c>
      <c r="Q33" s="9">
        <f>Q9+Q10+Q17+Q22+Q29+Q32+Q18</f>
        <v>9632969.181</v>
      </c>
      <c r="R33" s="9">
        <f>R9+R10+R17+R18+R22+R29+R32</f>
        <v>9394.099999999999</v>
      </c>
      <c r="S33" s="9">
        <f>S9+S10+S17+S18+S22+S29+S32</f>
        <v>26282576.227</v>
      </c>
      <c r="T33" s="69"/>
      <c r="U33" s="20"/>
      <c r="V33" s="12"/>
      <c r="W33" s="12"/>
    </row>
    <row r="34" spans="1:23" ht="25.5" customHeight="1" hidden="1">
      <c r="A34" s="59"/>
      <c r="B34" s="502" t="s">
        <v>8</v>
      </c>
      <c r="C34" s="503"/>
      <c r="D34" s="504"/>
      <c r="E34" s="136"/>
      <c r="F34" s="427" t="s">
        <v>65</v>
      </c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9"/>
      <c r="U34" s="12"/>
      <c r="V34" s="12"/>
      <c r="W34" s="12"/>
    </row>
    <row r="35" spans="1:23" ht="15.75" customHeight="1" hidden="1">
      <c r="A35" s="22"/>
      <c r="B35" s="23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U35" s="12"/>
      <c r="V35" s="12"/>
      <c r="W35" s="12"/>
    </row>
    <row r="36" spans="1:23" ht="28.5" customHeight="1" hidden="1">
      <c r="A36" s="25"/>
      <c r="B36" s="26"/>
      <c r="C36" s="26"/>
      <c r="D36" s="27"/>
      <c r="E36" s="27"/>
      <c r="F36" s="28" t="s">
        <v>11</v>
      </c>
      <c r="G36" s="3">
        <v>2678.02</v>
      </c>
      <c r="H36" s="4">
        <v>2989.47</v>
      </c>
      <c r="I36" s="28" t="s">
        <v>16</v>
      </c>
      <c r="J36" s="28"/>
      <c r="K36" s="28"/>
      <c r="L36" s="28"/>
      <c r="M36" s="28"/>
      <c r="N36" s="26"/>
      <c r="O36" s="29"/>
      <c r="P36" s="29"/>
      <c r="Q36" s="29"/>
      <c r="R36" s="29"/>
      <c r="S36" s="29"/>
      <c r="U36" s="12"/>
      <c r="V36" s="12"/>
      <c r="W36" s="12"/>
    </row>
    <row r="37" spans="1:23" ht="20.25" customHeight="1" hidden="1">
      <c r="A37" s="476" t="s">
        <v>68</v>
      </c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U37" s="12"/>
      <c r="V37" s="12"/>
      <c r="W37" s="12"/>
    </row>
    <row r="38" spans="1:23" ht="19.5" customHeight="1" hidden="1">
      <c r="A38" s="484" t="s">
        <v>15</v>
      </c>
      <c r="B38" s="485" t="s">
        <v>0</v>
      </c>
      <c r="C38" s="486"/>
      <c r="D38" s="487"/>
      <c r="E38" s="128"/>
      <c r="F38" s="409" t="s">
        <v>1</v>
      </c>
      <c r="G38" s="409"/>
      <c r="H38" s="409"/>
      <c r="I38" s="409" t="s">
        <v>3</v>
      </c>
      <c r="J38" s="409"/>
      <c r="K38" s="409"/>
      <c r="L38" s="409" t="s">
        <v>4</v>
      </c>
      <c r="M38" s="409"/>
      <c r="N38" s="409"/>
      <c r="O38" s="409" t="s">
        <v>6</v>
      </c>
      <c r="P38" s="409"/>
      <c r="Q38" s="409"/>
      <c r="R38" s="409" t="s">
        <v>7</v>
      </c>
      <c r="S38" s="409"/>
      <c r="U38" s="12"/>
      <c r="V38" s="12"/>
      <c r="W38" s="12"/>
    </row>
    <row r="39" spans="1:23" ht="30" customHeight="1" hidden="1">
      <c r="A39" s="484"/>
      <c r="B39" s="488"/>
      <c r="C39" s="489"/>
      <c r="D39" s="490"/>
      <c r="E39" s="129"/>
      <c r="F39" s="125"/>
      <c r="G39" s="125" t="s">
        <v>9</v>
      </c>
      <c r="H39" s="125" t="s">
        <v>5</v>
      </c>
      <c r="I39" s="125" t="s">
        <v>9</v>
      </c>
      <c r="J39" s="125" t="s">
        <v>9</v>
      </c>
      <c r="K39" s="125" t="s">
        <v>5</v>
      </c>
      <c r="L39" s="125" t="s">
        <v>9</v>
      </c>
      <c r="M39" s="125" t="s">
        <v>9</v>
      </c>
      <c r="N39" s="125" t="s">
        <v>5</v>
      </c>
      <c r="O39" s="125" t="s">
        <v>9</v>
      </c>
      <c r="P39" s="125" t="s">
        <v>9</v>
      </c>
      <c r="Q39" s="125" t="s">
        <v>5</v>
      </c>
      <c r="R39" s="125" t="s">
        <v>9</v>
      </c>
      <c r="S39" s="125" t="s">
        <v>5</v>
      </c>
      <c r="U39" s="12"/>
      <c r="V39" s="12"/>
      <c r="W39" s="12"/>
    </row>
    <row r="40" spans="1:23" ht="30" customHeight="1" hidden="1">
      <c r="A40" s="31">
        <v>1</v>
      </c>
      <c r="B40" s="505" t="s">
        <v>33</v>
      </c>
      <c r="C40" s="506"/>
      <c r="D40" s="507"/>
      <c r="E40" s="137"/>
      <c r="F40" s="31">
        <v>1800</v>
      </c>
      <c r="G40" s="32">
        <v>1750</v>
      </c>
      <c r="H40" s="32">
        <f>G40*G65</f>
        <v>8792.7</v>
      </c>
      <c r="I40" s="32">
        <v>1200</v>
      </c>
      <c r="J40" s="32">
        <v>1750</v>
      </c>
      <c r="K40" s="32">
        <f>J40*G65</f>
        <v>8792.7</v>
      </c>
      <c r="L40" s="32">
        <v>1500</v>
      </c>
      <c r="M40" s="32">
        <v>1750</v>
      </c>
      <c r="N40" s="32">
        <f>M40*H65</f>
        <v>9759.75</v>
      </c>
      <c r="O40" s="32">
        <v>1500</v>
      </c>
      <c r="P40" s="32">
        <v>1751.1</v>
      </c>
      <c r="Q40" s="32">
        <f>P40*H65</f>
        <v>9765.884699999999</v>
      </c>
      <c r="R40" s="32">
        <f>G40+J40+M40+P40</f>
        <v>7001.1</v>
      </c>
      <c r="S40" s="32">
        <f>H40+K40+N40+Q40</f>
        <v>37111.034700000004</v>
      </c>
      <c r="T40" s="67" t="s">
        <v>21</v>
      </c>
      <c r="U40" s="12">
        <f>5.629*P40</f>
        <v>9856.941899999998</v>
      </c>
      <c r="V40" s="11">
        <f>H40+K40+N40+Q40</f>
        <v>37111.034700000004</v>
      </c>
      <c r="W40" s="12">
        <f>G40+J40+M40+P40</f>
        <v>7001.1</v>
      </c>
    </row>
    <row r="41" spans="1:23" ht="30" customHeight="1" hidden="1">
      <c r="A41" s="15">
        <v>2</v>
      </c>
      <c r="B41" s="496" t="s">
        <v>41</v>
      </c>
      <c r="C41" s="497"/>
      <c r="D41" s="498"/>
      <c r="E41" s="133"/>
      <c r="F41" s="31"/>
      <c r="G41" s="32">
        <f>G42+G43+G44+G45+G46+G47</f>
        <v>181078</v>
      </c>
      <c r="H41" s="32">
        <f>H42+H43+H44+H45+H46+H47</f>
        <v>909808.3032000001</v>
      </c>
      <c r="I41" s="32"/>
      <c r="J41" s="32">
        <f>J42+J43+J44+J45+J46+J47</f>
        <v>182881</v>
      </c>
      <c r="K41" s="32">
        <f>K42+K43+K44+K45+K46+K47</f>
        <v>918867.2964000001</v>
      </c>
      <c r="L41" s="32"/>
      <c r="M41" s="32">
        <f>M42+M43+M44+M45+M46+M47</f>
        <v>167091</v>
      </c>
      <c r="N41" s="32">
        <f>N42+N43+N44+N45+N46+N47</f>
        <v>931866.507</v>
      </c>
      <c r="O41" s="32"/>
      <c r="P41" s="32">
        <f>P42+P43+P44+P45+P46+P47</f>
        <v>250747</v>
      </c>
      <c r="Q41" s="32">
        <f>Q42+Q43+Q44+Q45+Q46+Q47</f>
        <v>1398416.019</v>
      </c>
      <c r="R41" s="32">
        <f>R42+R43+R44+R45+R46+R47</f>
        <v>781797</v>
      </c>
      <c r="S41" s="32">
        <f>S42+S43+S44+S45+S46+S47</f>
        <v>4158958.1255999994</v>
      </c>
      <c r="U41" s="12"/>
      <c r="V41" s="11"/>
      <c r="W41" s="12"/>
    </row>
    <row r="42" spans="1:23" ht="33" customHeight="1" hidden="1">
      <c r="A42" s="15"/>
      <c r="B42" s="422" t="s">
        <v>34</v>
      </c>
      <c r="C42" s="423"/>
      <c r="D42" s="424"/>
      <c r="E42" s="134"/>
      <c r="F42" s="15">
        <v>53000</v>
      </c>
      <c r="G42" s="16">
        <v>40000</v>
      </c>
      <c r="H42" s="16">
        <f>G42*G65</f>
        <v>200976</v>
      </c>
      <c r="I42" s="16">
        <v>36000</v>
      </c>
      <c r="J42" s="16">
        <v>43500</v>
      </c>
      <c r="K42" s="16">
        <f>J42*G65</f>
        <v>218561.4</v>
      </c>
      <c r="L42" s="16">
        <v>24000</v>
      </c>
      <c r="M42" s="16">
        <v>25200</v>
      </c>
      <c r="N42" s="16">
        <f>M42*H65</f>
        <v>140540.4</v>
      </c>
      <c r="O42" s="16">
        <v>50000</v>
      </c>
      <c r="P42" s="16">
        <v>64000</v>
      </c>
      <c r="Q42" s="16">
        <f>P42*H65</f>
        <v>356928</v>
      </c>
      <c r="R42" s="16">
        <f aca="true" t="shared" si="7" ref="R42:S48">G42+J42+M42+P42</f>
        <v>172700</v>
      </c>
      <c r="S42" s="16">
        <f t="shared" si="7"/>
        <v>917005.8</v>
      </c>
      <c r="T42" s="67" t="s">
        <v>21</v>
      </c>
      <c r="U42" s="12">
        <f aca="true" t="shared" si="8" ref="U42:U52">5.629*P42</f>
        <v>360256</v>
      </c>
      <c r="V42" s="11">
        <f aca="true" t="shared" si="9" ref="V42:V51">H42+K42+N42+Q42</f>
        <v>917005.8</v>
      </c>
      <c r="W42" s="12">
        <f>G42+J42+M42+P42</f>
        <v>172700</v>
      </c>
    </row>
    <row r="43" spans="1:23" ht="33.75" customHeight="1" hidden="1">
      <c r="A43" s="31"/>
      <c r="B43" s="508" t="s">
        <v>57</v>
      </c>
      <c r="C43" s="509"/>
      <c r="D43" s="510"/>
      <c r="E43" s="138"/>
      <c r="F43" s="31">
        <v>27000</v>
      </c>
      <c r="G43" s="34">
        <v>23250</v>
      </c>
      <c r="H43" s="34">
        <f>G43*G65</f>
        <v>116817.3</v>
      </c>
      <c r="I43" s="34">
        <v>17000</v>
      </c>
      <c r="J43" s="34">
        <v>17820</v>
      </c>
      <c r="K43" s="34">
        <f>J43*G65</f>
        <v>89534.808</v>
      </c>
      <c r="L43" s="34">
        <v>19000</v>
      </c>
      <c r="M43" s="34">
        <v>18549</v>
      </c>
      <c r="N43" s="34">
        <f>M43*H65</f>
        <v>103447.773</v>
      </c>
      <c r="O43" s="34">
        <v>41000</v>
      </c>
      <c r="P43" s="34">
        <v>35010</v>
      </c>
      <c r="Q43" s="34">
        <f>P43*H65</f>
        <v>195250.77</v>
      </c>
      <c r="R43" s="34">
        <f t="shared" si="7"/>
        <v>94629</v>
      </c>
      <c r="S43" s="34">
        <f t="shared" si="7"/>
        <v>505050.65099999995</v>
      </c>
      <c r="T43" s="67" t="s">
        <v>21</v>
      </c>
      <c r="U43" s="12">
        <f t="shared" si="8"/>
        <v>197071.28999999998</v>
      </c>
      <c r="V43" s="11">
        <f t="shared" si="9"/>
        <v>505050.65099999995</v>
      </c>
      <c r="W43" s="12">
        <f aca="true" t="shared" si="10" ref="W43:W52">G43+J43+M43+P43</f>
        <v>94629</v>
      </c>
    </row>
    <row r="44" spans="1:23" ht="35.25" customHeight="1" hidden="1">
      <c r="A44" s="15"/>
      <c r="B44" s="422" t="s">
        <v>36</v>
      </c>
      <c r="C44" s="423"/>
      <c r="D44" s="424"/>
      <c r="E44" s="134"/>
      <c r="F44" s="15">
        <v>70000</v>
      </c>
      <c r="G44" s="16">
        <v>29500</v>
      </c>
      <c r="H44" s="16">
        <f>G44*G65</f>
        <v>148219.8</v>
      </c>
      <c r="I44" s="16">
        <v>55000</v>
      </c>
      <c r="J44" s="16">
        <v>46750</v>
      </c>
      <c r="K44" s="16">
        <f>J44*G65</f>
        <v>234890.7</v>
      </c>
      <c r="L44" s="16">
        <v>45000</v>
      </c>
      <c r="M44" s="16">
        <v>38250</v>
      </c>
      <c r="N44" s="16">
        <f>M44*H65</f>
        <v>213320.25</v>
      </c>
      <c r="O44" s="16">
        <v>70000</v>
      </c>
      <c r="P44" s="16">
        <v>39500</v>
      </c>
      <c r="Q44" s="16">
        <f>P44*H65</f>
        <v>220291.5</v>
      </c>
      <c r="R44" s="16">
        <f t="shared" si="7"/>
        <v>154000</v>
      </c>
      <c r="S44" s="16">
        <f t="shared" si="7"/>
        <v>816722.25</v>
      </c>
      <c r="T44" s="67" t="s">
        <v>21</v>
      </c>
      <c r="U44" s="12">
        <f t="shared" si="8"/>
        <v>222345.49999999997</v>
      </c>
      <c r="V44" s="11">
        <f t="shared" si="9"/>
        <v>816722.25</v>
      </c>
      <c r="W44" s="12">
        <f t="shared" si="10"/>
        <v>154000</v>
      </c>
    </row>
    <row r="45" spans="1:23" ht="30.75" customHeight="1" hidden="1">
      <c r="A45" s="8"/>
      <c r="B45" s="511" t="s">
        <v>37</v>
      </c>
      <c r="C45" s="511"/>
      <c r="D45" s="511"/>
      <c r="E45" s="139"/>
      <c r="F45" s="8">
        <v>17000</v>
      </c>
      <c r="G45" s="16">
        <v>49478</v>
      </c>
      <c r="H45" s="16">
        <f>G45*G65</f>
        <v>248597.2632</v>
      </c>
      <c r="I45" s="16">
        <v>14000</v>
      </c>
      <c r="J45" s="16">
        <v>40561</v>
      </c>
      <c r="K45" s="16">
        <f>J45*G65</f>
        <v>203794.68839999998</v>
      </c>
      <c r="L45" s="16">
        <v>13000</v>
      </c>
      <c r="M45" s="16">
        <v>34292</v>
      </c>
      <c r="N45" s="16">
        <f>M45*H65</f>
        <v>191246.484</v>
      </c>
      <c r="O45" s="16">
        <v>24000</v>
      </c>
      <c r="P45" s="16">
        <v>62737</v>
      </c>
      <c r="Q45" s="16">
        <f>P45*H65</f>
        <v>349884.249</v>
      </c>
      <c r="R45" s="16">
        <f t="shared" si="7"/>
        <v>187068</v>
      </c>
      <c r="S45" s="16">
        <f t="shared" si="7"/>
        <v>993522.6846</v>
      </c>
      <c r="T45" s="67" t="s">
        <v>21</v>
      </c>
      <c r="U45" s="12">
        <f t="shared" si="8"/>
        <v>353146.573</v>
      </c>
      <c r="V45" s="11">
        <f t="shared" si="9"/>
        <v>993522.6846</v>
      </c>
      <c r="W45" s="12">
        <f t="shared" si="10"/>
        <v>187068</v>
      </c>
    </row>
    <row r="46" spans="1:23" ht="29.25" customHeight="1" hidden="1">
      <c r="A46" s="8"/>
      <c r="B46" s="511" t="s">
        <v>38</v>
      </c>
      <c r="C46" s="511"/>
      <c r="D46" s="511"/>
      <c r="E46" s="139"/>
      <c r="F46" s="8">
        <v>31000</v>
      </c>
      <c r="G46" s="16">
        <v>29350</v>
      </c>
      <c r="H46" s="16">
        <f>G46*G65</f>
        <v>147466.13999999998</v>
      </c>
      <c r="I46" s="16">
        <v>27000</v>
      </c>
      <c r="J46" s="16">
        <v>25950</v>
      </c>
      <c r="K46" s="16">
        <f>J46*G65</f>
        <v>130383.18</v>
      </c>
      <c r="L46" s="16">
        <v>58000</v>
      </c>
      <c r="M46" s="16">
        <v>43300</v>
      </c>
      <c r="N46" s="16">
        <f>M46*H65</f>
        <v>241484.1</v>
      </c>
      <c r="O46" s="16">
        <v>44000</v>
      </c>
      <c r="P46" s="16">
        <v>37400</v>
      </c>
      <c r="Q46" s="16">
        <f>P46*H65</f>
        <v>208579.8</v>
      </c>
      <c r="R46" s="16">
        <f t="shared" si="7"/>
        <v>136000</v>
      </c>
      <c r="S46" s="16">
        <f t="shared" si="7"/>
        <v>727913.22</v>
      </c>
      <c r="T46" s="67" t="s">
        <v>21</v>
      </c>
      <c r="U46" s="12">
        <f t="shared" si="8"/>
        <v>210524.59999999998</v>
      </c>
      <c r="V46" s="11">
        <f t="shared" si="9"/>
        <v>727913.22</v>
      </c>
      <c r="W46" s="12">
        <f t="shared" si="10"/>
        <v>136000</v>
      </c>
    </row>
    <row r="47" spans="1:23" ht="46.5" customHeight="1" hidden="1">
      <c r="A47" s="8"/>
      <c r="B47" s="511" t="s">
        <v>39</v>
      </c>
      <c r="C47" s="511"/>
      <c r="D47" s="511"/>
      <c r="E47" s="139"/>
      <c r="F47" s="8">
        <v>8000</v>
      </c>
      <c r="G47" s="16">
        <v>9500</v>
      </c>
      <c r="H47" s="16">
        <f>G47*G65</f>
        <v>47731.8</v>
      </c>
      <c r="I47" s="16">
        <v>12000</v>
      </c>
      <c r="J47" s="16">
        <v>8300</v>
      </c>
      <c r="K47" s="16">
        <f>J47*G65</f>
        <v>41702.52</v>
      </c>
      <c r="L47" s="16">
        <v>9000</v>
      </c>
      <c r="M47" s="16">
        <v>7500</v>
      </c>
      <c r="N47" s="16">
        <f>M47*H65</f>
        <v>41827.5</v>
      </c>
      <c r="O47" s="16">
        <v>15000</v>
      </c>
      <c r="P47" s="16">
        <v>12100</v>
      </c>
      <c r="Q47" s="16">
        <f>P47*H65</f>
        <v>67481.7</v>
      </c>
      <c r="R47" s="16">
        <f t="shared" si="7"/>
        <v>37400</v>
      </c>
      <c r="S47" s="16">
        <f t="shared" si="7"/>
        <v>198743.52000000002</v>
      </c>
      <c r="T47" s="67" t="s">
        <v>21</v>
      </c>
      <c r="U47" s="12">
        <f t="shared" si="8"/>
        <v>68110.9</v>
      </c>
      <c r="V47" s="11">
        <f t="shared" si="9"/>
        <v>198743.52000000002</v>
      </c>
      <c r="W47" s="12">
        <f t="shared" si="10"/>
        <v>37400</v>
      </c>
    </row>
    <row r="48" spans="1:23" ht="27" customHeight="1" hidden="1">
      <c r="A48" s="15">
        <v>3</v>
      </c>
      <c r="B48" s="496" t="s">
        <v>42</v>
      </c>
      <c r="C48" s="497"/>
      <c r="D48" s="498"/>
      <c r="E48" s="133"/>
      <c r="F48" s="15">
        <v>9000</v>
      </c>
      <c r="G48" s="9">
        <v>35398</v>
      </c>
      <c r="H48" s="9">
        <f>G48*G65</f>
        <v>177853.7112</v>
      </c>
      <c r="I48" s="9"/>
      <c r="J48" s="9">
        <v>25770</v>
      </c>
      <c r="K48" s="9">
        <f>J48*G65</f>
        <v>129478.788</v>
      </c>
      <c r="L48" s="9"/>
      <c r="M48" s="9">
        <v>28284</v>
      </c>
      <c r="N48" s="9">
        <f>M48*H65</f>
        <v>157739.868</v>
      </c>
      <c r="O48" s="9"/>
      <c r="P48" s="9">
        <v>35088</v>
      </c>
      <c r="Q48" s="9">
        <f>P48*H65</f>
        <v>195685.776</v>
      </c>
      <c r="R48" s="9">
        <f t="shared" si="7"/>
        <v>124540</v>
      </c>
      <c r="S48" s="9">
        <f t="shared" si="7"/>
        <v>660758.1432</v>
      </c>
      <c r="T48" s="67" t="s">
        <v>21</v>
      </c>
      <c r="U48" s="12">
        <f t="shared" si="8"/>
        <v>197510.35199999998</v>
      </c>
      <c r="V48" s="11">
        <f t="shared" si="9"/>
        <v>660758.1432</v>
      </c>
      <c r="W48" s="12">
        <f t="shared" si="10"/>
        <v>124540</v>
      </c>
    </row>
    <row r="49" spans="1:23" ht="28.5" customHeight="1" hidden="1">
      <c r="A49" s="15">
        <v>4</v>
      </c>
      <c r="B49" s="496" t="s">
        <v>43</v>
      </c>
      <c r="C49" s="497"/>
      <c r="D49" s="498"/>
      <c r="E49" s="133"/>
      <c r="F49" s="15">
        <v>20000</v>
      </c>
      <c r="G49" s="9">
        <f>G50+G51+G52</f>
        <v>33699</v>
      </c>
      <c r="H49" s="9">
        <f>H50+H51+H52</f>
        <v>169317.25559999997</v>
      </c>
      <c r="I49" s="9"/>
      <c r="J49" s="9">
        <f>J50+J51+J52</f>
        <v>22466</v>
      </c>
      <c r="K49" s="9">
        <f>K50+K51+K52</f>
        <v>112878.1704</v>
      </c>
      <c r="L49" s="9"/>
      <c r="M49" s="9">
        <f>M50+M51+M52</f>
        <v>22466</v>
      </c>
      <c r="N49" s="9">
        <f>N50+N51+N52</f>
        <v>125292.882</v>
      </c>
      <c r="O49" s="9"/>
      <c r="P49" s="9">
        <f>P50+P51+P52</f>
        <v>33699</v>
      </c>
      <c r="Q49" s="9">
        <f>Q50+Q51+Q52</f>
        <v>187939.323</v>
      </c>
      <c r="R49" s="9">
        <f>R50+R51+R52</f>
        <v>112330</v>
      </c>
      <c r="S49" s="9">
        <f>S50+S51+S52</f>
        <v>595427.6309999999</v>
      </c>
      <c r="T49" s="67" t="s">
        <v>21</v>
      </c>
      <c r="U49" s="12">
        <f t="shared" si="8"/>
        <v>189691.67099999997</v>
      </c>
      <c r="V49" s="11">
        <f t="shared" si="9"/>
        <v>595427.6309999999</v>
      </c>
      <c r="W49" s="12">
        <f t="shared" si="10"/>
        <v>112330</v>
      </c>
    </row>
    <row r="50" spans="1:23" ht="28.5" customHeight="1" hidden="1">
      <c r="A50" s="8"/>
      <c r="B50" s="422" t="s">
        <v>44</v>
      </c>
      <c r="C50" s="423"/>
      <c r="D50" s="424"/>
      <c r="E50" s="134"/>
      <c r="F50" s="8"/>
      <c r="G50" s="16">
        <v>5264</v>
      </c>
      <c r="H50" s="16">
        <f>G50*G65</f>
        <v>26448.4416</v>
      </c>
      <c r="I50" s="16"/>
      <c r="J50" s="16">
        <v>3510</v>
      </c>
      <c r="K50" s="16">
        <f>J50*G65</f>
        <v>17635.644</v>
      </c>
      <c r="L50" s="16"/>
      <c r="M50" s="16">
        <v>3510</v>
      </c>
      <c r="N50" s="16">
        <f>M50*H65</f>
        <v>19575.27</v>
      </c>
      <c r="O50" s="16"/>
      <c r="P50" s="16">
        <v>5264</v>
      </c>
      <c r="Q50" s="16">
        <f>P50*H65</f>
        <v>29357.328</v>
      </c>
      <c r="R50" s="16">
        <f aca="true" t="shared" si="11" ref="R50:S52">G50+J50+M50+P50</f>
        <v>17548</v>
      </c>
      <c r="S50" s="16">
        <f t="shared" si="11"/>
        <v>93016.68359999999</v>
      </c>
      <c r="U50" s="12"/>
      <c r="V50" s="11"/>
      <c r="W50" s="12"/>
    </row>
    <row r="51" spans="1:23" ht="27" customHeight="1" hidden="1">
      <c r="A51" s="8"/>
      <c r="B51" s="422" t="s">
        <v>58</v>
      </c>
      <c r="C51" s="423"/>
      <c r="D51" s="424"/>
      <c r="E51" s="134"/>
      <c r="F51" s="8">
        <v>29400</v>
      </c>
      <c r="G51" s="16">
        <v>23198</v>
      </c>
      <c r="H51" s="16">
        <f>G51*G65</f>
        <v>116556.0312</v>
      </c>
      <c r="I51" s="16"/>
      <c r="J51" s="16">
        <v>15465</v>
      </c>
      <c r="K51" s="16">
        <f>J51*G65</f>
        <v>77702.346</v>
      </c>
      <c r="L51" s="16"/>
      <c r="M51" s="16">
        <v>15465</v>
      </c>
      <c r="N51" s="16">
        <f>M51*H65</f>
        <v>86248.305</v>
      </c>
      <c r="O51" s="16"/>
      <c r="P51" s="16">
        <v>23198</v>
      </c>
      <c r="Q51" s="16">
        <f>P51*H65</f>
        <v>129375.246</v>
      </c>
      <c r="R51" s="16">
        <f t="shared" si="11"/>
        <v>77326</v>
      </c>
      <c r="S51" s="16">
        <f t="shared" si="11"/>
        <v>409881.92819999997</v>
      </c>
      <c r="T51" s="67" t="s">
        <v>21</v>
      </c>
      <c r="U51" s="12">
        <f t="shared" si="8"/>
        <v>130581.54199999999</v>
      </c>
      <c r="V51" s="11">
        <f t="shared" si="9"/>
        <v>409881.92819999997</v>
      </c>
      <c r="W51" s="12">
        <f t="shared" si="10"/>
        <v>77326</v>
      </c>
    </row>
    <row r="52" spans="1:23" ht="27" customHeight="1" hidden="1">
      <c r="A52" s="8"/>
      <c r="B52" s="422" t="s">
        <v>59</v>
      </c>
      <c r="C52" s="423"/>
      <c r="D52" s="424"/>
      <c r="E52" s="134"/>
      <c r="F52" s="8"/>
      <c r="G52" s="16">
        <v>5237</v>
      </c>
      <c r="H52" s="16">
        <f>G52*G65</f>
        <v>26312.7828</v>
      </c>
      <c r="I52" s="16"/>
      <c r="J52" s="16">
        <v>3491</v>
      </c>
      <c r="K52" s="16">
        <f>J52*G65</f>
        <v>17540.1804</v>
      </c>
      <c r="L52" s="16"/>
      <c r="M52" s="16">
        <v>3491</v>
      </c>
      <c r="N52" s="16">
        <f>M52*H65</f>
        <v>19469.307</v>
      </c>
      <c r="O52" s="16"/>
      <c r="P52" s="16">
        <v>5237</v>
      </c>
      <c r="Q52" s="16">
        <f>P52*H65</f>
        <v>29206.749</v>
      </c>
      <c r="R52" s="16">
        <f t="shared" si="11"/>
        <v>17456</v>
      </c>
      <c r="S52" s="16">
        <f t="shared" si="11"/>
        <v>92529.0192</v>
      </c>
      <c r="U52" s="12">
        <f t="shared" si="8"/>
        <v>29479.072999999997</v>
      </c>
      <c r="V52" s="11"/>
      <c r="W52" s="12">
        <f t="shared" si="10"/>
        <v>17456</v>
      </c>
    </row>
    <row r="53" spans="1:23" ht="27" customHeight="1" hidden="1">
      <c r="A53" s="15">
        <v>5</v>
      </c>
      <c r="B53" s="496" t="s">
        <v>47</v>
      </c>
      <c r="C53" s="497"/>
      <c r="D53" s="498"/>
      <c r="E53" s="133"/>
      <c r="F53" s="8"/>
      <c r="G53" s="9">
        <f>G54+G55+G56+G57+G58+G59</f>
        <v>22584</v>
      </c>
      <c r="H53" s="9">
        <f>H54+H55+H56+H57+H58+H59</f>
        <v>113471.0496</v>
      </c>
      <c r="I53" s="9"/>
      <c r="J53" s="9">
        <f>J54+J55+J56+J57+J58+J59</f>
        <v>19435</v>
      </c>
      <c r="K53" s="9">
        <f>K54+K55+K56+K57+K58+K59</f>
        <v>97649.21399999998</v>
      </c>
      <c r="L53" s="9"/>
      <c r="M53" s="9">
        <f>M54+M55+M56+M57+M58+M59</f>
        <v>24051</v>
      </c>
      <c r="N53" s="9">
        <f>N54+N55+N56+N57+N58+N59</f>
        <v>134132.427</v>
      </c>
      <c r="O53" s="9"/>
      <c r="P53" s="9">
        <f>P54+P55+P56+P57+P58+P59</f>
        <v>23137</v>
      </c>
      <c r="Q53" s="9">
        <f>Q54+Q55+Q56+Q57+Q58+Q59</f>
        <v>129035.049</v>
      </c>
      <c r="R53" s="9">
        <f>R54+R55+R56+R57+R58+R59</f>
        <v>89207</v>
      </c>
      <c r="S53" s="9">
        <f>S54+S55+S56++S57+S58+S59</f>
        <v>474287.7396</v>
      </c>
      <c r="U53" s="12"/>
      <c r="V53" s="11"/>
      <c r="W53" s="12"/>
    </row>
    <row r="54" spans="1:23" ht="27" customHeight="1" hidden="1">
      <c r="A54" s="8"/>
      <c r="B54" s="422" t="s">
        <v>48</v>
      </c>
      <c r="C54" s="423"/>
      <c r="D54" s="424"/>
      <c r="E54" s="134"/>
      <c r="F54" s="8"/>
      <c r="G54" s="16">
        <v>3093</v>
      </c>
      <c r="H54" s="36">
        <f>G54*G65</f>
        <v>15540.4692</v>
      </c>
      <c r="I54" s="16"/>
      <c r="J54" s="16">
        <v>2715</v>
      </c>
      <c r="K54" s="16">
        <f>J54*G65</f>
        <v>13641.246</v>
      </c>
      <c r="L54" s="16"/>
      <c r="M54" s="16">
        <v>2752</v>
      </c>
      <c r="N54" s="16">
        <f>M54*H65</f>
        <v>15347.904</v>
      </c>
      <c r="O54" s="16"/>
      <c r="P54" s="16">
        <v>2588</v>
      </c>
      <c r="Q54" s="16">
        <f>P54*H65</f>
        <v>14433.276</v>
      </c>
      <c r="R54" s="16">
        <f aca="true" t="shared" si="12" ref="R54:S59">G54+J54+M54+P54</f>
        <v>11148</v>
      </c>
      <c r="S54" s="16">
        <f t="shared" si="12"/>
        <v>58962.8952</v>
      </c>
      <c r="U54" s="12"/>
      <c r="V54" s="11"/>
      <c r="W54" s="12"/>
    </row>
    <row r="55" spans="1:23" ht="27" customHeight="1" hidden="1">
      <c r="A55" s="8"/>
      <c r="B55" s="422" t="s">
        <v>49</v>
      </c>
      <c r="C55" s="423"/>
      <c r="D55" s="424"/>
      <c r="E55" s="134"/>
      <c r="F55" s="8"/>
      <c r="G55" s="16">
        <v>5045</v>
      </c>
      <c r="H55" s="16">
        <f>G55*G65</f>
        <v>25348.097999999998</v>
      </c>
      <c r="I55" s="16"/>
      <c r="J55" s="16">
        <v>3390</v>
      </c>
      <c r="K55" s="16">
        <f>J55*G65</f>
        <v>17032.716</v>
      </c>
      <c r="L55" s="16"/>
      <c r="M55" s="16">
        <v>5675</v>
      </c>
      <c r="N55" s="16">
        <f>M55*H65</f>
        <v>31649.475</v>
      </c>
      <c r="O55" s="16"/>
      <c r="P55" s="16">
        <v>6890</v>
      </c>
      <c r="Q55" s="16">
        <f>P55*H65</f>
        <v>38425.53</v>
      </c>
      <c r="R55" s="16">
        <f t="shared" si="12"/>
        <v>21000</v>
      </c>
      <c r="S55" s="16">
        <f t="shared" si="12"/>
        <v>112455.81899999999</v>
      </c>
      <c r="U55" s="12"/>
      <c r="V55" s="11"/>
      <c r="W55" s="12"/>
    </row>
    <row r="56" spans="1:23" ht="27" customHeight="1" hidden="1">
      <c r="A56" s="8"/>
      <c r="B56" s="422" t="s">
        <v>50</v>
      </c>
      <c r="C56" s="423"/>
      <c r="D56" s="424"/>
      <c r="E56" s="134"/>
      <c r="F56" s="8"/>
      <c r="G56" s="16">
        <v>5253</v>
      </c>
      <c r="H56" s="16">
        <f>G56*G65</f>
        <v>26393.1732</v>
      </c>
      <c r="I56" s="16"/>
      <c r="J56" s="16">
        <v>5294</v>
      </c>
      <c r="K56" s="16">
        <f>J56*G65</f>
        <v>26599.1736</v>
      </c>
      <c r="L56" s="16"/>
      <c r="M56" s="16">
        <v>7570</v>
      </c>
      <c r="N56" s="16">
        <f>M56*H65</f>
        <v>42217.89</v>
      </c>
      <c r="O56" s="16"/>
      <c r="P56" s="16">
        <v>4038</v>
      </c>
      <c r="Q56" s="16">
        <f>P56*H65</f>
        <v>22519.926</v>
      </c>
      <c r="R56" s="16">
        <f t="shared" si="12"/>
        <v>22155</v>
      </c>
      <c r="S56" s="16">
        <f t="shared" si="12"/>
        <v>117730.16279999999</v>
      </c>
      <c r="U56" s="12"/>
      <c r="V56" s="11"/>
      <c r="W56" s="12"/>
    </row>
    <row r="57" spans="1:23" ht="27" customHeight="1" hidden="1">
      <c r="A57" s="8"/>
      <c r="B57" s="511" t="s">
        <v>40</v>
      </c>
      <c r="C57" s="511"/>
      <c r="D57" s="511"/>
      <c r="E57" s="139"/>
      <c r="F57" s="8"/>
      <c r="G57" s="16">
        <v>3278</v>
      </c>
      <c r="H57" s="16">
        <f>G57*G65</f>
        <v>16469.9832</v>
      </c>
      <c r="I57" s="16"/>
      <c r="J57" s="16">
        <v>2211</v>
      </c>
      <c r="K57" s="16">
        <f>J57*G65</f>
        <v>11108.9484</v>
      </c>
      <c r="L57" s="16"/>
      <c r="M57" s="16">
        <v>2959</v>
      </c>
      <c r="N57" s="16">
        <f>M57*H65</f>
        <v>16502.343</v>
      </c>
      <c r="O57" s="16"/>
      <c r="P57" s="16">
        <v>3696</v>
      </c>
      <c r="Q57" s="16">
        <f>P57*H65</f>
        <v>20612.592</v>
      </c>
      <c r="R57" s="16">
        <f t="shared" si="12"/>
        <v>12144</v>
      </c>
      <c r="S57" s="16">
        <f t="shared" si="12"/>
        <v>64693.866599999994</v>
      </c>
      <c r="U57" s="12"/>
      <c r="V57" s="11"/>
      <c r="W57" s="12"/>
    </row>
    <row r="58" spans="1:23" ht="27" customHeight="1" hidden="1">
      <c r="A58" s="8"/>
      <c r="B58" s="511" t="s">
        <v>51</v>
      </c>
      <c r="C58" s="511"/>
      <c r="D58" s="511"/>
      <c r="E58" s="139"/>
      <c r="F58" s="8"/>
      <c r="G58" s="16">
        <v>1865</v>
      </c>
      <c r="H58" s="16">
        <f>G58*G65</f>
        <v>9370.506</v>
      </c>
      <c r="I58" s="16"/>
      <c r="J58" s="16">
        <v>1775</v>
      </c>
      <c r="K58" s="16">
        <f>J58*G65</f>
        <v>8918.31</v>
      </c>
      <c r="L58" s="16"/>
      <c r="M58" s="16">
        <v>1145</v>
      </c>
      <c r="N58" s="16">
        <f>M58*H65</f>
        <v>6385.665</v>
      </c>
      <c r="O58" s="16"/>
      <c r="P58" s="16">
        <v>1875</v>
      </c>
      <c r="Q58" s="16">
        <f>P58*H65</f>
        <v>10456.875</v>
      </c>
      <c r="R58" s="16">
        <f t="shared" si="12"/>
        <v>6660</v>
      </c>
      <c r="S58" s="16">
        <f t="shared" si="12"/>
        <v>35131.356</v>
      </c>
      <c r="U58" s="12"/>
      <c r="V58" s="11"/>
      <c r="W58" s="12"/>
    </row>
    <row r="59" spans="1:23" ht="27" customHeight="1" hidden="1">
      <c r="A59" s="8"/>
      <c r="B59" s="511" t="s">
        <v>52</v>
      </c>
      <c r="C59" s="511"/>
      <c r="D59" s="511"/>
      <c r="E59" s="139"/>
      <c r="F59" s="8"/>
      <c r="G59" s="16">
        <v>4050</v>
      </c>
      <c r="H59" s="16">
        <f>G59*G65</f>
        <v>20348.82</v>
      </c>
      <c r="I59" s="16"/>
      <c r="J59" s="16">
        <v>4050</v>
      </c>
      <c r="K59" s="16">
        <f>J59*G65</f>
        <v>20348.82</v>
      </c>
      <c r="L59" s="16"/>
      <c r="M59" s="16">
        <v>3950</v>
      </c>
      <c r="N59" s="16">
        <f>M59*H65</f>
        <v>22029.15</v>
      </c>
      <c r="O59" s="16"/>
      <c r="P59" s="16">
        <v>4050</v>
      </c>
      <c r="Q59" s="16">
        <f>P59*H65</f>
        <v>22586.85</v>
      </c>
      <c r="R59" s="16">
        <f t="shared" si="12"/>
        <v>16100</v>
      </c>
      <c r="S59" s="16">
        <f t="shared" si="12"/>
        <v>85313.64</v>
      </c>
      <c r="U59" s="12"/>
      <c r="V59" s="11"/>
      <c r="W59" s="12"/>
    </row>
    <row r="60" spans="1:23" ht="27" customHeight="1" hidden="1">
      <c r="A60" s="15">
        <v>6</v>
      </c>
      <c r="B60" s="496" t="s">
        <v>53</v>
      </c>
      <c r="C60" s="497"/>
      <c r="D60" s="498"/>
      <c r="E60" s="133"/>
      <c r="F60" s="8"/>
      <c r="G60" s="9">
        <f>G61+G62</f>
        <v>60125.76</v>
      </c>
      <c r="H60" s="9">
        <f>H61+H62</f>
        <v>302095.86854399997</v>
      </c>
      <c r="I60" s="9"/>
      <c r="J60" s="9">
        <f>J61+J62</f>
        <v>33427</v>
      </c>
      <c r="K60" s="9">
        <f>K61+K62</f>
        <v>167950.6188</v>
      </c>
      <c r="L60" s="9"/>
      <c r="M60" s="9">
        <f>M61+M62</f>
        <v>27041.07</v>
      </c>
      <c r="N60" s="9">
        <f>N61+N62</f>
        <v>150808.04739000002</v>
      </c>
      <c r="O60" s="9"/>
      <c r="P60" s="9">
        <f>P61+P62</f>
        <v>74463</v>
      </c>
      <c r="Q60" s="9">
        <f>Q61+Q62</f>
        <v>415280.151</v>
      </c>
      <c r="R60" s="9">
        <f>R61+R62</f>
        <v>195056.83000000002</v>
      </c>
      <c r="S60" s="9">
        <f>S61+S62</f>
        <v>1036134.685734</v>
      </c>
      <c r="U60" s="12"/>
      <c r="V60" s="11"/>
      <c r="W60" s="12"/>
    </row>
    <row r="61" spans="1:23" ht="27" customHeight="1" hidden="1">
      <c r="A61" s="8"/>
      <c r="B61" s="422" t="s">
        <v>54</v>
      </c>
      <c r="C61" s="423"/>
      <c r="D61" s="424"/>
      <c r="E61" s="134"/>
      <c r="F61" s="8"/>
      <c r="G61" s="16">
        <v>7650</v>
      </c>
      <c r="H61" s="16">
        <f>G61*G65</f>
        <v>38436.659999999996</v>
      </c>
      <c r="I61" s="16"/>
      <c r="J61" s="16">
        <v>10200</v>
      </c>
      <c r="K61" s="16">
        <f>J61*G65</f>
        <v>51248.88</v>
      </c>
      <c r="L61" s="16"/>
      <c r="M61" s="16">
        <v>7650</v>
      </c>
      <c r="N61" s="16">
        <f>M61*H65</f>
        <v>42664.05</v>
      </c>
      <c r="O61" s="16"/>
      <c r="P61" s="16">
        <v>13600</v>
      </c>
      <c r="Q61" s="16">
        <f>P61*H65</f>
        <v>75847.2</v>
      </c>
      <c r="R61" s="16">
        <f>G61+J61+M61+P61</f>
        <v>39100</v>
      </c>
      <c r="S61" s="16">
        <f>H61+K61+N61+Q61</f>
        <v>208196.78999999998</v>
      </c>
      <c r="U61" s="12"/>
      <c r="V61" s="11"/>
      <c r="W61" s="12"/>
    </row>
    <row r="62" spans="1:23" ht="27" customHeight="1" hidden="1">
      <c r="A62" s="8"/>
      <c r="B62" s="422" t="s">
        <v>55</v>
      </c>
      <c r="C62" s="423"/>
      <c r="D62" s="424"/>
      <c r="E62" s="134"/>
      <c r="F62" s="8"/>
      <c r="G62" s="16">
        <v>52475.76</v>
      </c>
      <c r="H62" s="16">
        <f>G62*G65</f>
        <v>263659.208544</v>
      </c>
      <c r="I62" s="16"/>
      <c r="J62" s="16">
        <v>23227</v>
      </c>
      <c r="K62" s="16">
        <f>J62*G65</f>
        <v>116701.7388</v>
      </c>
      <c r="L62" s="16"/>
      <c r="M62" s="16">
        <v>19391.07</v>
      </c>
      <c r="N62" s="16">
        <f>M62*H65</f>
        <v>108143.99739</v>
      </c>
      <c r="O62" s="16"/>
      <c r="P62" s="16">
        <v>60863</v>
      </c>
      <c r="Q62" s="16">
        <f>P62*H65</f>
        <v>339432.951</v>
      </c>
      <c r="R62" s="16">
        <f>G62+J62+M62+P62</f>
        <v>155956.83000000002</v>
      </c>
      <c r="S62" s="16">
        <f>H62+K62+N62+Q62</f>
        <v>827937.895734</v>
      </c>
      <c r="U62" s="12"/>
      <c r="V62" s="11"/>
      <c r="W62" s="12"/>
    </row>
    <row r="63" spans="1:23" ht="30" customHeight="1" hidden="1">
      <c r="A63" s="8"/>
      <c r="B63" s="512" t="s">
        <v>19</v>
      </c>
      <c r="C63" s="512"/>
      <c r="D63" s="512"/>
      <c r="E63" s="140"/>
      <c r="F63" s="15">
        <f>SUM(F40:F51)</f>
        <v>266200</v>
      </c>
      <c r="G63" s="9">
        <f>G40+G41+G48+G49+G53+G60</f>
        <v>334634.76</v>
      </c>
      <c r="H63" s="9">
        <f>H40+H41+H48+H49+H53+H60</f>
        <v>1681338.888144</v>
      </c>
      <c r="I63" s="9">
        <f>SUM(I40:I51)</f>
        <v>162200</v>
      </c>
      <c r="J63" s="9">
        <f>J40+J41+J48+J49+J53+J60</f>
        <v>285729</v>
      </c>
      <c r="K63" s="9">
        <f>K40+K41+K48+K49+K53+K60</f>
        <v>1435616.7876</v>
      </c>
      <c r="L63" s="9">
        <f>SUM(L40:L51)</f>
        <v>169500</v>
      </c>
      <c r="M63" s="9">
        <f>M40+M41+M48+M49+M53+M60</f>
        <v>270683.07</v>
      </c>
      <c r="N63" s="9">
        <f>N40+N41+N48+N49+N53+N60</f>
        <v>1509599.4813899999</v>
      </c>
      <c r="O63" s="9">
        <f>SUM(O40:O51)</f>
        <v>245500</v>
      </c>
      <c r="P63" s="9">
        <f>P40+P41+P48+P49+P53+P60</f>
        <v>418885.1</v>
      </c>
      <c r="Q63" s="9">
        <f>Q40+Q41+Q48+Q49+Q53+Q60</f>
        <v>2336122.2027000003</v>
      </c>
      <c r="R63" s="9">
        <f>R40+R41+R48+R49+R53+R60</f>
        <v>1309931.9300000002</v>
      </c>
      <c r="S63" s="9">
        <f>S40+S41+S48+S49+S53+S60</f>
        <v>6962677.359834</v>
      </c>
      <c r="T63" s="69"/>
      <c r="U63" s="37"/>
      <c r="V63" s="12"/>
      <c r="W63" s="12"/>
    </row>
    <row r="64" spans="1:23" ht="50.25" customHeight="1" hidden="1">
      <c r="A64" s="54"/>
      <c r="B64" s="513" t="s">
        <v>8</v>
      </c>
      <c r="C64" s="513"/>
      <c r="D64" s="513"/>
      <c r="E64" s="145"/>
      <c r="F64" s="427" t="s">
        <v>69</v>
      </c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9"/>
      <c r="U64" s="12"/>
      <c r="V64" s="12"/>
      <c r="W64" s="12"/>
    </row>
    <row r="65" spans="1:23" ht="32.25" customHeight="1" hidden="1">
      <c r="A65" s="47"/>
      <c r="B65" s="47"/>
      <c r="C65" s="47"/>
      <c r="D65" s="5" t="s">
        <v>14</v>
      </c>
      <c r="E65" s="5"/>
      <c r="F65" s="5">
        <v>4.38</v>
      </c>
      <c r="G65" s="5">
        <v>5.0244</v>
      </c>
      <c r="H65" s="5">
        <v>5.577</v>
      </c>
      <c r="I65" s="6"/>
      <c r="J65" s="6"/>
      <c r="K65" s="43"/>
      <c r="L65" s="43"/>
      <c r="M65" s="43"/>
      <c r="N65" s="47"/>
      <c r="O65" s="47"/>
      <c r="P65" s="47"/>
      <c r="Q65" s="56"/>
      <c r="R65" s="56"/>
      <c r="S65" s="47"/>
      <c r="U65" s="12"/>
      <c r="V65" s="12"/>
      <c r="W65" s="12"/>
    </row>
    <row r="66" spans="1:23" ht="33.75" customHeight="1" hidden="1">
      <c r="A66" s="47"/>
      <c r="B66" s="47"/>
      <c r="C66" s="47"/>
      <c r="D66" s="5" t="s">
        <v>66</v>
      </c>
      <c r="E66" s="5"/>
      <c r="F66" s="5"/>
      <c r="G66" s="5"/>
      <c r="H66" s="5"/>
      <c r="I66" s="6"/>
      <c r="J66" s="6"/>
      <c r="K66" s="43"/>
      <c r="L66" s="43"/>
      <c r="M66" s="43"/>
      <c r="N66" s="47"/>
      <c r="O66" s="47"/>
      <c r="P66" s="47"/>
      <c r="Q66" s="514"/>
      <c r="R66" s="514"/>
      <c r="S66" s="514"/>
      <c r="U66" s="12"/>
      <c r="V66" s="12"/>
      <c r="W66" s="12"/>
    </row>
    <row r="67" spans="1:23" ht="47.25" customHeight="1">
      <c r="A67" s="476" t="s">
        <v>106</v>
      </c>
      <c r="B67" s="476"/>
      <c r="C67" s="476"/>
      <c r="D67" s="476"/>
      <c r="E67" s="476"/>
      <c r="F67" s="476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  <c r="S67" s="476"/>
      <c r="U67" s="12"/>
      <c r="V67" s="12"/>
      <c r="W67" s="12"/>
    </row>
    <row r="68" spans="1:23" ht="27.75" customHeight="1">
      <c r="A68" s="484" t="s">
        <v>15</v>
      </c>
      <c r="B68" s="485" t="s">
        <v>0</v>
      </c>
      <c r="C68" s="486"/>
      <c r="D68" s="487"/>
      <c r="E68" s="521" t="s">
        <v>70</v>
      </c>
      <c r="F68" s="409" t="s">
        <v>1</v>
      </c>
      <c r="G68" s="409"/>
      <c r="H68" s="409"/>
      <c r="I68" s="409" t="s">
        <v>3</v>
      </c>
      <c r="J68" s="409"/>
      <c r="K68" s="409"/>
      <c r="L68" s="409" t="s">
        <v>4</v>
      </c>
      <c r="M68" s="409"/>
      <c r="N68" s="409"/>
      <c r="O68" s="409" t="s">
        <v>6</v>
      </c>
      <c r="P68" s="409"/>
      <c r="Q68" s="409"/>
      <c r="R68" s="409" t="s">
        <v>7</v>
      </c>
      <c r="S68" s="409"/>
      <c r="U68" s="12"/>
      <c r="V68" s="12"/>
      <c r="W68" s="12"/>
    </row>
    <row r="69" spans="1:23" ht="47.25" customHeight="1">
      <c r="A69" s="484"/>
      <c r="B69" s="488"/>
      <c r="C69" s="489"/>
      <c r="D69" s="490"/>
      <c r="E69" s="522"/>
      <c r="F69" s="125"/>
      <c r="G69" s="125"/>
      <c r="H69" s="125" t="s">
        <v>5</v>
      </c>
      <c r="I69" s="125" t="s">
        <v>10</v>
      </c>
      <c r="J69" s="125"/>
      <c r="K69" s="125" t="s">
        <v>5</v>
      </c>
      <c r="L69" s="125" t="s">
        <v>10</v>
      </c>
      <c r="M69" s="125"/>
      <c r="N69" s="125" t="s">
        <v>5</v>
      </c>
      <c r="O69" s="125" t="s">
        <v>10</v>
      </c>
      <c r="P69" s="125"/>
      <c r="Q69" s="125" t="s">
        <v>5</v>
      </c>
      <c r="R69" s="125" t="s">
        <v>10</v>
      </c>
      <c r="S69" s="125" t="s">
        <v>5</v>
      </c>
      <c r="U69" s="12"/>
      <c r="V69" s="12"/>
      <c r="W69" s="12"/>
    </row>
    <row r="70" spans="1:23" s="97" customFormat="1" ht="48.75" customHeight="1">
      <c r="A70" s="91">
        <v>1</v>
      </c>
      <c r="B70" s="515" t="s">
        <v>33</v>
      </c>
      <c r="C70" s="516"/>
      <c r="D70" s="517"/>
      <c r="E70" s="92" t="s">
        <v>80</v>
      </c>
      <c r="F70" s="91">
        <v>0</v>
      </c>
      <c r="G70" s="93"/>
      <c r="H70" s="93">
        <f>H71+H72</f>
        <v>2620.9480000000003</v>
      </c>
      <c r="I70" s="93"/>
      <c r="J70" s="93"/>
      <c r="K70" s="93">
        <f>K71+K72</f>
        <v>2173.9731</v>
      </c>
      <c r="L70" s="93"/>
      <c r="M70" s="93"/>
      <c r="N70" s="93">
        <f>N71+N72</f>
        <v>2379.1488</v>
      </c>
      <c r="O70" s="93"/>
      <c r="P70" s="93"/>
      <c r="Q70" s="93">
        <f>Q71+Q72</f>
        <v>3568.7232000000004</v>
      </c>
      <c r="R70" s="93"/>
      <c r="S70" s="93">
        <f>S71+S72</f>
        <v>10742.793099999999</v>
      </c>
      <c r="T70" s="94"/>
      <c r="U70" s="95">
        <f>37.94*P70</f>
        <v>0</v>
      </c>
      <c r="V70" s="96">
        <f>H70+K70+N70+Q70</f>
        <v>10742.7931</v>
      </c>
      <c r="W70" s="95">
        <f>G70+J70+M70+P70</f>
        <v>0</v>
      </c>
    </row>
    <row r="71" spans="1:23" ht="39" customHeight="1">
      <c r="A71" s="15"/>
      <c r="B71" s="523"/>
      <c r="C71" s="524"/>
      <c r="D71" s="525"/>
      <c r="E71" s="144" t="s">
        <v>71</v>
      </c>
      <c r="F71" s="8"/>
      <c r="G71" s="226">
        <v>7</v>
      </c>
      <c r="H71" s="226">
        <f>G71*H161</f>
        <v>363.72</v>
      </c>
      <c r="I71" s="226"/>
      <c r="J71" s="226">
        <v>6</v>
      </c>
      <c r="K71" s="226">
        <f>J71*H161</f>
        <v>311.76</v>
      </c>
      <c r="L71" s="226"/>
      <c r="M71" s="226">
        <v>6</v>
      </c>
      <c r="N71" s="226">
        <f>M71*J161</f>
        <v>324.24</v>
      </c>
      <c r="O71" s="226"/>
      <c r="P71" s="226">
        <v>9</v>
      </c>
      <c r="Q71" s="226">
        <f>P71*J161</f>
        <v>486.36</v>
      </c>
      <c r="R71" s="226">
        <f>G71+J71+M71+P71</f>
        <v>28</v>
      </c>
      <c r="S71" s="226">
        <f>H71+K71+N71+Q71</f>
        <v>1486.08</v>
      </c>
      <c r="U71" s="12"/>
      <c r="V71" s="11"/>
      <c r="W71" s="12"/>
    </row>
    <row r="72" spans="1:23" ht="39" customHeight="1">
      <c r="A72" s="15"/>
      <c r="B72" s="523"/>
      <c r="C72" s="524"/>
      <c r="D72" s="525"/>
      <c r="E72" s="144" t="s">
        <v>2</v>
      </c>
      <c r="F72" s="8"/>
      <c r="G72" s="226">
        <v>0.4</v>
      </c>
      <c r="H72" s="226">
        <f>G72*H163</f>
        <v>2257.228</v>
      </c>
      <c r="I72" s="226"/>
      <c r="J72" s="226">
        <v>0.33</v>
      </c>
      <c r="K72" s="226">
        <f>J72*H163</f>
        <v>1862.2131</v>
      </c>
      <c r="L72" s="226"/>
      <c r="M72" s="226">
        <v>0.36</v>
      </c>
      <c r="N72" s="226">
        <f>M72*J163</f>
        <v>2054.9087999999997</v>
      </c>
      <c r="O72" s="226"/>
      <c r="P72" s="226">
        <v>0.54</v>
      </c>
      <c r="Q72" s="226">
        <f>P72*J164</f>
        <v>3082.3632000000002</v>
      </c>
      <c r="R72" s="226">
        <f>G72+J72+M72+P72</f>
        <v>1.63</v>
      </c>
      <c r="S72" s="226">
        <f>H72+K72+N72+Q72</f>
        <v>9256.713099999999</v>
      </c>
      <c r="U72" s="12"/>
      <c r="V72" s="11"/>
      <c r="W72" s="12"/>
    </row>
    <row r="73" spans="1:23" s="97" customFormat="1" ht="45" customHeight="1">
      <c r="A73" s="91">
        <v>2</v>
      </c>
      <c r="B73" s="515" t="s">
        <v>72</v>
      </c>
      <c r="C73" s="516"/>
      <c r="D73" s="517"/>
      <c r="E73" s="92" t="s">
        <v>80</v>
      </c>
      <c r="F73" s="98"/>
      <c r="G73" s="93"/>
      <c r="H73" s="93">
        <v>419596.69</v>
      </c>
      <c r="I73" s="93"/>
      <c r="J73" s="93"/>
      <c r="K73" s="93">
        <f>K76+K79+K82+K85+K88+K91</f>
        <v>448751.2892</v>
      </c>
      <c r="L73" s="93"/>
      <c r="M73" s="93"/>
      <c r="N73" s="93">
        <v>322054.67</v>
      </c>
      <c r="O73" s="93"/>
      <c r="P73" s="93"/>
      <c r="Q73" s="93">
        <v>513793.97</v>
      </c>
      <c r="R73" s="93"/>
      <c r="S73" s="93">
        <v>1704196.62</v>
      </c>
      <c r="T73" s="94"/>
      <c r="U73" s="95"/>
      <c r="V73" s="96"/>
      <c r="W73" s="95"/>
    </row>
    <row r="74" spans="1:23" ht="35.25" customHeight="1">
      <c r="A74" s="15"/>
      <c r="B74" s="131"/>
      <c r="C74" s="132"/>
      <c r="D74" s="133"/>
      <c r="E74" s="143" t="s">
        <v>71</v>
      </c>
      <c r="F74" s="8"/>
      <c r="G74" s="60">
        <f>G77+G80+G83+G86+G89+G92</f>
        <v>1122</v>
      </c>
      <c r="H74" s="60">
        <f>H77+H80+H83+H86+H89+H92</f>
        <v>61600.32</v>
      </c>
      <c r="I74" s="60"/>
      <c r="J74" s="60">
        <f>J77+J80+J83+J86+J89+J92</f>
        <v>1218</v>
      </c>
      <c r="K74" s="60">
        <f>K77+K80+K83+K86+K89+K92</f>
        <v>67505.48000000001</v>
      </c>
      <c r="L74" s="60"/>
      <c r="M74" s="60">
        <f>M77+M80+M83+M86+M89+M92</f>
        <v>786</v>
      </c>
      <c r="N74" s="60">
        <f>N77+N80+N83+N86+N89+N92</f>
        <v>44984.45999999999</v>
      </c>
      <c r="O74" s="60"/>
      <c r="P74" s="60">
        <f>P77+P80+P83+P86+P89+P92</f>
        <v>1293</v>
      </c>
      <c r="Q74" s="60">
        <f>Q77+Q80+Q83+Q86+Q89+Q92</f>
        <v>74328.9</v>
      </c>
      <c r="R74" s="60">
        <f>G74+J74+M74+P74</f>
        <v>4419</v>
      </c>
      <c r="S74" s="60">
        <f>H74+K74+N74+Q74</f>
        <v>248419.16</v>
      </c>
      <c r="U74" s="12"/>
      <c r="V74" s="11"/>
      <c r="W74" s="12"/>
    </row>
    <row r="75" spans="1:23" ht="35.25" customHeight="1">
      <c r="A75" s="15"/>
      <c r="B75" s="518"/>
      <c r="C75" s="519"/>
      <c r="D75" s="520"/>
      <c r="E75" s="143" t="s">
        <v>2</v>
      </c>
      <c r="F75" s="8"/>
      <c r="G75" s="60">
        <f>G78+G81+G84+G87+G90+G93</f>
        <v>63.44</v>
      </c>
      <c r="H75" s="60">
        <v>357996.37</v>
      </c>
      <c r="I75" s="60"/>
      <c r="J75" s="60">
        <f>J78+J81+J84+J87+J90+J93</f>
        <v>67.56</v>
      </c>
      <c r="K75" s="60">
        <f>K78+K81+K84+K87+K90+K93</f>
        <v>381245.8092</v>
      </c>
      <c r="L75" s="60"/>
      <c r="M75" s="60">
        <f>M78+M81+M84+M87+M90+M93</f>
        <v>48.54</v>
      </c>
      <c r="N75" s="60">
        <v>277070.21</v>
      </c>
      <c r="O75" s="60"/>
      <c r="P75" s="60">
        <f>P78+P81+P84+P87+P90+P93</f>
        <v>76.99000000000001</v>
      </c>
      <c r="Q75" s="60">
        <v>439465.07</v>
      </c>
      <c r="R75" s="60">
        <f>G75+J75+M75+P75</f>
        <v>256.53</v>
      </c>
      <c r="S75" s="60">
        <v>1455777.46</v>
      </c>
      <c r="U75" s="12"/>
      <c r="V75" s="11"/>
      <c r="W75" s="12"/>
    </row>
    <row r="76" spans="1:23" ht="54.75" customHeight="1">
      <c r="A76" s="15"/>
      <c r="B76" s="422" t="s">
        <v>34</v>
      </c>
      <c r="C76" s="423"/>
      <c r="D76" s="424"/>
      <c r="E76" s="134"/>
      <c r="F76" s="8">
        <v>420</v>
      </c>
      <c r="G76" s="226"/>
      <c r="H76" s="226">
        <f>H77+H78</f>
        <v>45321.009999999995</v>
      </c>
      <c r="I76" s="226"/>
      <c r="J76" s="226"/>
      <c r="K76" s="226">
        <f>K77+K78</f>
        <v>64432.53999999999</v>
      </c>
      <c r="L76" s="226"/>
      <c r="M76" s="226"/>
      <c r="N76" s="226">
        <f>N77+N78</f>
        <v>45576.72</v>
      </c>
      <c r="O76" s="226"/>
      <c r="P76" s="226"/>
      <c r="Q76" s="226">
        <f>Q77+Q78</f>
        <v>58884.28</v>
      </c>
      <c r="R76" s="226"/>
      <c r="S76" s="226">
        <f>S77+S78</f>
        <v>214214.55</v>
      </c>
      <c r="U76" s="12">
        <f>37.94*P76</f>
        <v>0</v>
      </c>
      <c r="V76" s="11">
        <f>H76+K76+N76+Q76</f>
        <v>214214.55</v>
      </c>
      <c r="W76" s="12">
        <f>G76+J76+M76+P76</f>
        <v>0</v>
      </c>
    </row>
    <row r="77" spans="1:23" ht="38.25" customHeight="1">
      <c r="A77" s="15"/>
      <c r="B77" s="523"/>
      <c r="C77" s="524"/>
      <c r="D77" s="525"/>
      <c r="E77" s="144" t="s">
        <v>71</v>
      </c>
      <c r="F77" s="8"/>
      <c r="G77" s="226">
        <v>112</v>
      </c>
      <c r="H77" s="226">
        <f>G77*H161</f>
        <v>5819.52</v>
      </c>
      <c r="I77" s="226"/>
      <c r="J77" s="226">
        <v>154</v>
      </c>
      <c r="K77" s="226">
        <f>J77*H161</f>
        <v>8001.84</v>
      </c>
      <c r="L77" s="226"/>
      <c r="M77" s="226">
        <v>104</v>
      </c>
      <c r="N77" s="226">
        <f>M77*J161</f>
        <v>5620.16</v>
      </c>
      <c r="O77" s="226"/>
      <c r="P77" s="226">
        <v>139</v>
      </c>
      <c r="Q77" s="226">
        <f>P77*J161</f>
        <v>7511.5599999999995</v>
      </c>
      <c r="R77" s="226">
        <f>G77+J77+M77+P77</f>
        <v>509</v>
      </c>
      <c r="S77" s="226">
        <f>H77+K77+N77+Q77</f>
        <v>26953.08</v>
      </c>
      <c r="U77" s="12"/>
      <c r="V77" s="11"/>
      <c r="W77" s="12"/>
    </row>
    <row r="78" spans="1:23" ht="36" customHeight="1">
      <c r="A78" s="15"/>
      <c r="B78" s="523"/>
      <c r="C78" s="524"/>
      <c r="D78" s="525"/>
      <c r="E78" s="144" t="s">
        <v>2</v>
      </c>
      <c r="F78" s="8"/>
      <c r="G78" s="226">
        <v>7</v>
      </c>
      <c r="H78" s="226">
        <f>G78*H163</f>
        <v>39501.49</v>
      </c>
      <c r="I78" s="226"/>
      <c r="J78" s="226">
        <v>10</v>
      </c>
      <c r="K78" s="226">
        <f>J78*H163</f>
        <v>56430.7</v>
      </c>
      <c r="L78" s="226"/>
      <c r="M78" s="226">
        <v>7</v>
      </c>
      <c r="N78" s="226">
        <f>M78*J163</f>
        <v>39956.56</v>
      </c>
      <c r="O78" s="226"/>
      <c r="P78" s="226">
        <v>9</v>
      </c>
      <c r="Q78" s="226">
        <f>P78*J163</f>
        <v>51372.72</v>
      </c>
      <c r="R78" s="226">
        <f>G78+J78+M78+P78</f>
        <v>33</v>
      </c>
      <c r="S78" s="226">
        <f>H78+K78+N78+Q78</f>
        <v>187261.47</v>
      </c>
      <c r="U78" s="12"/>
      <c r="V78" s="11"/>
      <c r="W78" s="12"/>
    </row>
    <row r="79" spans="1:23" ht="54.75" customHeight="1">
      <c r="A79" s="15"/>
      <c r="B79" s="422" t="s">
        <v>35</v>
      </c>
      <c r="C79" s="423"/>
      <c r="D79" s="424"/>
      <c r="E79" s="134"/>
      <c r="F79" s="8">
        <v>171</v>
      </c>
      <c r="G79" s="226"/>
      <c r="H79" s="226">
        <f>H80+H81</f>
        <v>36684.3306</v>
      </c>
      <c r="I79" s="226"/>
      <c r="J79" s="226"/>
      <c r="K79" s="226">
        <f>K80+K81</f>
        <v>36684.3306</v>
      </c>
      <c r="L79" s="226"/>
      <c r="M79" s="226"/>
      <c r="N79" s="226">
        <f>N80+N81</f>
        <v>19997.482399999997</v>
      </c>
      <c r="O79" s="226"/>
      <c r="P79" s="226"/>
      <c r="Q79" s="226">
        <f>Q80+Q81</f>
        <v>39937.884</v>
      </c>
      <c r="R79" s="226"/>
      <c r="S79" s="226">
        <f>S80+S81</f>
        <v>133304.02000000002</v>
      </c>
      <c r="U79" s="12">
        <f>37.94*P79</f>
        <v>0</v>
      </c>
      <c r="V79" s="11">
        <f>H79+K79+N79+Q79</f>
        <v>133304.0276</v>
      </c>
      <c r="W79" s="12">
        <f>G79+J79+M79+P79</f>
        <v>0</v>
      </c>
    </row>
    <row r="80" spans="1:23" ht="33.75" customHeight="1">
      <c r="A80" s="15"/>
      <c r="B80" s="523"/>
      <c r="C80" s="524"/>
      <c r="D80" s="525"/>
      <c r="E80" s="144" t="s">
        <v>71</v>
      </c>
      <c r="F80" s="8"/>
      <c r="G80" s="226">
        <v>100</v>
      </c>
      <c r="H80" s="226">
        <f>G80*H161</f>
        <v>5196</v>
      </c>
      <c r="I80" s="226"/>
      <c r="J80" s="226">
        <v>100</v>
      </c>
      <c r="K80" s="226">
        <f>J80*H161</f>
        <v>5196</v>
      </c>
      <c r="L80" s="226"/>
      <c r="M80" s="226">
        <v>50</v>
      </c>
      <c r="N80" s="226">
        <f>M80*J161</f>
        <v>2702</v>
      </c>
      <c r="O80" s="226"/>
      <c r="P80" s="226">
        <v>100</v>
      </c>
      <c r="Q80" s="226">
        <f>P80*J161</f>
        <v>5404</v>
      </c>
      <c r="R80" s="226">
        <f>G80+J80+M80+P80</f>
        <v>350</v>
      </c>
      <c r="S80" s="226">
        <f>H80+K80+N80+Q80</f>
        <v>18498</v>
      </c>
      <c r="U80" s="12"/>
      <c r="V80" s="11"/>
      <c r="W80" s="12"/>
    </row>
    <row r="81" spans="1:23" ht="36" customHeight="1">
      <c r="A81" s="15"/>
      <c r="B81" s="523"/>
      <c r="C81" s="524"/>
      <c r="D81" s="525"/>
      <c r="E81" s="144" t="s">
        <v>2</v>
      </c>
      <c r="F81" s="8"/>
      <c r="G81" s="226">
        <v>5.58</v>
      </c>
      <c r="H81" s="226">
        <f>G81*H163</f>
        <v>31488.330599999998</v>
      </c>
      <c r="I81" s="226"/>
      <c r="J81" s="226">
        <v>5.58</v>
      </c>
      <c r="K81" s="226">
        <f>J81*H163</f>
        <v>31488.330599999998</v>
      </c>
      <c r="L81" s="226"/>
      <c r="M81" s="226">
        <v>3.03</v>
      </c>
      <c r="N81" s="226">
        <f>M81*J163</f>
        <v>17295.482399999997</v>
      </c>
      <c r="O81" s="226"/>
      <c r="P81" s="226">
        <v>6.05</v>
      </c>
      <c r="Q81" s="226">
        <f>P81*J163</f>
        <v>34533.884</v>
      </c>
      <c r="R81" s="226">
        <f>G81+J81+M81+P81</f>
        <v>20.24</v>
      </c>
      <c r="S81" s="226">
        <v>114806.02</v>
      </c>
      <c r="U81" s="12"/>
      <c r="V81" s="11"/>
      <c r="W81" s="12"/>
    </row>
    <row r="82" spans="1:23" ht="51.75" customHeight="1">
      <c r="A82" s="15"/>
      <c r="B82" s="422" t="s">
        <v>36</v>
      </c>
      <c r="C82" s="423"/>
      <c r="D82" s="424"/>
      <c r="E82" s="134"/>
      <c r="F82" s="8">
        <v>213</v>
      </c>
      <c r="G82" s="226"/>
      <c r="H82" s="226">
        <f>H83+H84</f>
        <v>37601.3306</v>
      </c>
      <c r="I82" s="226"/>
      <c r="J82" s="226"/>
      <c r="K82" s="226">
        <f>K83+K84</f>
        <v>75202.6612</v>
      </c>
      <c r="L82" s="226"/>
      <c r="M82" s="226"/>
      <c r="N82" s="226">
        <f>N83+N84</f>
        <v>28637.036799999998</v>
      </c>
      <c r="O82" s="226"/>
      <c r="P82" s="226"/>
      <c r="Q82" s="226">
        <f>Q83+Q84</f>
        <v>73784.5448</v>
      </c>
      <c r="R82" s="226"/>
      <c r="S82" s="226">
        <f>S83+S84</f>
        <v>215225.5734</v>
      </c>
      <c r="U82" s="12">
        <f>49.34*P82</f>
        <v>0</v>
      </c>
      <c r="V82" s="11">
        <f>H82+K82+N82+Q82</f>
        <v>215225.5734</v>
      </c>
      <c r="W82" s="12">
        <f>G82+J82+M82+P82</f>
        <v>0</v>
      </c>
    </row>
    <row r="83" spans="1:23" ht="34.5" customHeight="1">
      <c r="A83" s="15"/>
      <c r="B83" s="523"/>
      <c r="C83" s="524"/>
      <c r="D83" s="525"/>
      <c r="E83" s="144" t="s">
        <v>71</v>
      </c>
      <c r="F83" s="8"/>
      <c r="G83" s="226">
        <v>100</v>
      </c>
      <c r="H83" s="226">
        <f>G83*H162</f>
        <v>6113</v>
      </c>
      <c r="I83" s="226"/>
      <c r="J83" s="226">
        <v>200</v>
      </c>
      <c r="K83" s="226">
        <f>J83*H162</f>
        <v>12226</v>
      </c>
      <c r="L83" s="226"/>
      <c r="M83" s="226">
        <v>50</v>
      </c>
      <c r="N83" s="226">
        <f>M83*J162</f>
        <v>3179</v>
      </c>
      <c r="O83" s="226"/>
      <c r="P83" s="226">
        <v>190</v>
      </c>
      <c r="Q83" s="226">
        <f>P83*J162</f>
        <v>12080.199999999999</v>
      </c>
      <c r="R83" s="226">
        <f aca="true" t="shared" si="13" ref="R83:R93">G83+J83+M83+P83</f>
        <v>540</v>
      </c>
      <c r="S83" s="226">
        <f>H83+K83+N83+Q83</f>
        <v>33598.2</v>
      </c>
      <c r="U83" s="12"/>
      <c r="V83" s="11"/>
      <c r="W83" s="12"/>
    </row>
    <row r="84" spans="1:23" ht="39.75" customHeight="1">
      <c r="A84" s="15"/>
      <c r="B84" s="523"/>
      <c r="C84" s="524"/>
      <c r="D84" s="525"/>
      <c r="E84" s="144" t="s">
        <v>2</v>
      </c>
      <c r="F84" s="8"/>
      <c r="G84" s="226">
        <v>5.58</v>
      </c>
      <c r="H84" s="226">
        <f>G84*H164</f>
        <v>31488.330599999998</v>
      </c>
      <c r="I84" s="226"/>
      <c r="J84" s="226">
        <v>11.16</v>
      </c>
      <c r="K84" s="226">
        <f>J84*H164</f>
        <v>62976.661199999995</v>
      </c>
      <c r="L84" s="226"/>
      <c r="M84" s="226">
        <v>4.46</v>
      </c>
      <c r="N84" s="226">
        <f>M84*J164</f>
        <v>25458.036799999998</v>
      </c>
      <c r="O84" s="226"/>
      <c r="P84" s="226">
        <v>10.81</v>
      </c>
      <c r="Q84" s="226">
        <f>P84*J164</f>
        <v>61704.3448</v>
      </c>
      <c r="R84" s="226">
        <f>G84+J84+M84+P84</f>
        <v>32.010000000000005</v>
      </c>
      <c r="S84" s="226">
        <f>H84+K84+N84+Q84</f>
        <v>181627.37339999998</v>
      </c>
      <c r="U84" s="12"/>
      <c r="V84" s="11"/>
      <c r="W84" s="12"/>
    </row>
    <row r="85" spans="1:23" ht="41.25" customHeight="1">
      <c r="A85" s="15"/>
      <c r="B85" s="511" t="s">
        <v>37</v>
      </c>
      <c r="C85" s="511"/>
      <c r="D85" s="511"/>
      <c r="E85" s="139"/>
      <c r="F85" s="8">
        <v>0</v>
      </c>
      <c r="G85" s="226"/>
      <c r="H85" s="226">
        <f>H86+H87</f>
        <v>86488.6057</v>
      </c>
      <c r="I85" s="226"/>
      <c r="J85" s="226"/>
      <c r="K85" s="226">
        <f>K86+K87</f>
        <v>86488.6057</v>
      </c>
      <c r="L85" s="226"/>
      <c r="M85" s="226"/>
      <c r="N85" s="226">
        <f>N86+N87</f>
        <v>68454.26959999999</v>
      </c>
      <c r="O85" s="226"/>
      <c r="P85" s="226"/>
      <c r="Q85" s="226">
        <f>Q86+Q87</f>
        <v>85880.29680000001</v>
      </c>
      <c r="R85" s="226"/>
      <c r="S85" s="226">
        <f>S86+S87</f>
        <v>327311.79</v>
      </c>
      <c r="U85" s="12">
        <f>49.34*P85</f>
        <v>0</v>
      </c>
      <c r="V85" s="11">
        <f>H85+K85+N85+Q85</f>
        <v>327311.7778</v>
      </c>
      <c r="W85" s="12">
        <f>G85+J85+M85+P85</f>
        <v>0</v>
      </c>
    </row>
    <row r="86" spans="1:23" ht="35.25" customHeight="1">
      <c r="A86" s="15"/>
      <c r="B86" s="523"/>
      <c r="C86" s="524"/>
      <c r="D86" s="525"/>
      <c r="E86" s="144" t="s">
        <v>71</v>
      </c>
      <c r="F86" s="8"/>
      <c r="G86" s="226">
        <v>260</v>
      </c>
      <c r="H86" s="226">
        <f>G86*H162</f>
        <v>15893.800000000001</v>
      </c>
      <c r="I86" s="226"/>
      <c r="J86" s="226">
        <v>260</v>
      </c>
      <c r="K86" s="226">
        <f>J86*H162</f>
        <v>15893.800000000001</v>
      </c>
      <c r="L86" s="226"/>
      <c r="M86" s="226">
        <v>213</v>
      </c>
      <c r="N86" s="226">
        <f>M86*J162</f>
        <v>13542.539999999999</v>
      </c>
      <c r="O86" s="226"/>
      <c r="P86" s="226">
        <v>277</v>
      </c>
      <c r="Q86" s="226">
        <f>P86*J162</f>
        <v>17611.66</v>
      </c>
      <c r="R86" s="226">
        <f t="shared" si="13"/>
        <v>1010</v>
      </c>
      <c r="S86" s="226">
        <f>H86+K86+N86+Q86</f>
        <v>62941.8</v>
      </c>
      <c r="U86" s="12"/>
      <c r="V86" s="11"/>
      <c r="W86" s="12"/>
    </row>
    <row r="87" spans="1:23" ht="37.5" customHeight="1">
      <c r="A87" s="15"/>
      <c r="B87" s="523"/>
      <c r="C87" s="524"/>
      <c r="D87" s="525"/>
      <c r="E87" s="144" t="s">
        <v>2</v>
      </c>
      <c r="F87" s="8"/>
      <c r="G87" s="226">
        <v>12.51</v>
      </c>
      <c r="H87" s="226">
        <f>G87*H164</f>
        <v>70594.8057</v>
      </c>
      <c r="I87" s="226"/>
      <c r="J87" s="226">
        <v>12.51</v>
      </c>
      <c r="K87" s="226">
        <f>J87*H164</f>
        <v>70594.8057</v>
      </c>
      <c r="L87" s="226"/>
      <c r="M87" s="226">
        <v>9.62</v>
      </c>
      <c r="N87" s="226">
        <f>M87*J164</f>
        <v>54911.72959999999</v>
      </c>
      <c r="O87" s="226"/>
      <c r="P87" s="226">
        <v>11.96</v>
      </c>
      <c r="Q87" s="226">
        <f>P87*J164</f>
        <v>68268.63680000001</v>
      </c>
      <c r="R87" s="226">
        <f t="shared" si="13"/>
        <v>46.6</v>
      </c>
      <c r="S87" s="226">
        <v>264369.99</v>
      </c>
      <c r="U87" s="12"/>
      <c r="V87" s="11"/>
      <c r="W87" s="12"/>
    </row>
    <row r="88" spans="1:23" s="120" customFormat="1" ht="33" customHeight="1">
      <c r="A88" s="114"/>
      <c r="B88" s="554" t="s">
        <v>38</v>
      </c>
      <c r="C88" s="554"/>
      <c r="D88" s="554"/>
      <c r="E88" s="115"/>
      <c r="F88" s="116">
        <v>651</v>
      </c>
      <c r="G88" s="244"/>
      <c r="H88" s="244">
        <f>H89+H90</f>
        <v>196695.6851</v>
      </c>
      <c r="I88" s="244"/>
      <c r="J88" s="244"/>
      <c r="K88" s="244">
        <f>K89+K90</f>
        <v>169527.9771</v>
      </c>
      <c r="L88" s="244"/>
      <c r="M88" s="244"/>
      <c r="N88" s="244">
        <f>N89+N90</f>
        <v>133802.4464</v>
      </c>
      <c r="O88" s="244"/>
      <c r="P88" s="244"/>
      <c r="Q88" s="244">
        <f>Q89+Q90</f>
        <v>234238.7712</v>
      </c>
      <c r="R88" s="244"/>
      <c r="S88" s="244">
        <f>S89+S90</f>
        <v>734264.89</v>
      </c>
      <c r="T88" s="117"/>
      <c r="U88" s="118">
        <f>37.94*P88</f>
        <v>0</v>
      </c>
      <c r="V88" s="119">
        <f>H88+K88+N88+Q88</f>
        <v>734264.8798</v>
      </c>
      <c r="W88" s="118">
        <f>G88+J88+M88+P88</f>
        <v>0</v>
      </c>
    </row>
    <row r="89" spans="1:23" ht="36.75" customHeight="1">
      <c r="A89" s="15"/>
      <c r="B89" s="523"/>
      <c r="C89" s="524"/>
      <c r="D89" s="525"/>
      <c r="E89" s="144" t="s">
        <v>71</v>
      </c>
      <c r="F89" s="8"/>
      <c r="G89" s="226">
        <v>535</v>
      </c>
      <c r="H89" s="226">
        <f>G89*H161</f>
        <v>27798.600000000002</v>
      </c>
      <c r="I89" s="226"/>
      <c r="J89" s="226">
        <v>490</v>
      </c>
      <c r="K89" s="226">
        <f>J89*H161</f>
        <v>25460.4</v>
      </c>
      <c r="L89" s="226"/>
      <c r="M89" s="226">
        <v>355</v>
      </c>
      <c r="N89" s="226">
        <f>M89*J161</f>
        <v>19184.2</v>
      </c>
      <c r="O89" s="226"/>
      <c r="P89" s="226">
        <v>570</v>
      </c>
      <c r="Q89" s="226">
        <f>P89*J161</f>
        <v>30802.8</v>
      </c>
      <c r="R89" s="226">
        <f t="shared" si="13"/>
        <v>1950</v>
      </c>
      <c r="S89" s="226">
        <f>H89+K89+N89+Q89</f>
        <v>103246</v>
      </c>
      <c r="U89" s="12"/>
      <c r="V89" s="11"/>
      <c r="W89" s="12"/>
    </row>
    <row r="90" spans="1:23" ht="33" customHeight="1">
      <c r="A90" s="15"/>
      <c r="B90" s="523"/>
      <c r="C90" s="524"/>
      <c r="D90" s="525"/>
      <c r="E90" s="144" t="s">
        <v>2</v>
      </c>
      <c r="F90" s="8"/>
      <c r="G90" s="226">
        <v>29.93</v>
      </c>
      <c r="H90" s="226">
        <f>G90*H163</f>
        <v>168897.0851</v>
      </c>
      <c r="I90" s="226"/>
      <c r="J90" s="226">
        <v>25.53</v>
      </c>
      <c r="K90" s="226">
        <f>J90*H163</f>
        <v>144067.5771</v>
      </c>
      <c r="L90" s="226"/>
      <c r="M90" s="226">
        <v>20.08</v>
      </c>
      <c r="N90" s="226">
        <f>M90*J163</f>
        <v>114618.24639999999</v>
      </c>
      <c r="O90" s="226"/>
      <c r="P90" s="226">
        <v>35.64</v>
      </c>
      <c r="Q90" s="226">
        <f>P90*J163</f>
        <v>203435.9712</v>
      </c>
      <c r="R90" s="226">
        <f t="shared" si="13"/>
        <v>111.17999999999999</v>
      </c>
      <c r="S90" s="226">
        <v>631018.89</v>
      </c>
      <c r="U90" s="12"/>
      <c r="V90" s="11"/>
      <c r="W90" s="12"/>
    </row>
    <row r="91" spans="1:23" ht="52.5" customHeight="1">
      <c r="A91" s="15"/>
      <c r="B91" s="511" t="s">
        <v>39</v>
      </c>
      <c r="C91" s="511"/>
      <c r="D91" s="511"/>
      <c r="E91" s="139"/>
      <c r="F91" s="8">
        <v>15.1</v>
      </c>
      <c r="G91" s="226"/>
      <c r="H91" s="226">
        <f>H92+H93</f>
        <v>16805.7188</v>
      </c>
      <c r="I91" s="226"/>
      <c r="J91" s="226"/>
      <c r="K91" s="226">
        <f>K92+K93</f>
        <v>16415.1746</v>
      </c>
      <c r="L91" s="226"/>
      <c r="M91" s="226"/>
      <c r="N91" s="226">
        <f>N92+N93</f>
        <v>25586.708</v>
      </c>
      <c r="O91" s="226"/>
      <c r="P91" s="226"/>
      <c r="Q91" s="226">
        <f>Q92+Q93</f>
        <v>21068.2024</v>
      </c>
      <c r="R91" s="226"/>
      <c r="S91" s="226">
        <f>S92+S93</f>
        <v>79875.8038</v>
      </c>
      <c r="U91" s="12">
        <f>37.94*P91</f>
        <v>0</v>
      </c>
      <c r="V91" s="11">
        <f>H91+K91+N91+Q91</f>
        <v>79875.8038</v>
      </c>
      <c r="W91" s="12">
        <f>G91+J91+M91+P91</f>
        <v>0</v>
      </c>
    </row>
    <row r="92" spans="1:23" ht="42" customHeight="1">
      <c r="A92" s="15"/>
      <c r="B92" s="523"/>
      <c r="C92" s="524"/>
      <c r="D92" s="525"/>
      <c r="E92" s="144" t="s">
        <v>71</v>
      </c>
      <c r="F92" s="8"/>
      <c r="G92" s="226">
        <v>15</v>
      </c>
      <c r="H92" s="226">
        <f>G92*H161</f>
        <v>779.4</v>
      </c>
      <c r="I92" s="226"/>
      <c r="J92" s="226">
        <v>14</v>
      </c>
      <c r="K92" s="226">
        <f>J92*H161</f>
        <v>727.44</v>
      </c>
      <c r="L92" s="226"/>
      <c r="M92" s="226">
        <v>14</v>
      </c>
      <c r="N92" s="226">
        <f>M92*J161</f>
        <v>756.56</v>
      </c>
      <c r="O92" s="226"/>
      <c r="P92" s="226">
        <v>17</v>
      </c>
      <c r="Q92" s="226">
        <f>P92*J161</f>
        <v>918.68</v>
      </c>
      <c r="R92" s="226">
        <f t="shared" si="13"/>
        <v>60</v>
      </c>
      <c r="S92" s="226">
        <f>H92+K92+N92+Q92</f>
        <v>3182.08</v>
      </c>
      <c r="U92" s="12"/>
      <c r="V92" s="11"/>
      <c r="W92" s="12"/>
    </row>
    <row r="93" spans="1:23" ht="43.5" customHeight="1">
      <c r="A93" s="15"/>
      <c r="B93" s="523"/>
      <c r="C93" s="524"/>
      <c r="D93" s="525"/>
      <c r="E93" s="144" t="s">
        <v>2</v>
      </c>
      <c r="F93" s="8"/>
      <c r="G93" s="226">
        <v>2.84</v>
      </c>
      <c r="H93" s="226">
        <f>G93*H163</f>
        <v>16026.3188</v>
      </c>
      <c r="I93" s="226"/>
      <c r="J93" s="226">
        <v>2.78</v>
      </c>
      <c r="K93" s="226">
        <f>J93*H163</f>
        <v>15687.734599999998</v>
      </c>
      <c r="L93" s="226"/>
      <c r="M93" s="226">
        <v>4.35</v>
      </c>
      <c r="N93" s="226">
        <f>M93*J163</f>
        <v>24830.147999999997</v>
      </c>
      <c r="O93" s="226"/>
      <c r="P93" s="226">
        <v>3.53</v>
      </c>
      <c r="Q93" s="226">
        <f>P93*J163</f>
        <v>20149.522399999998</v>
      </c>
      <c r="R93" s="226">
        <f t="shared" si="13"/>
        <v>13.499999999999998</v>
      </c>
      <c r="S93" s="226">
        <f>H93+K93+N93+Q93</f>
        <v>76693.72379999999</v>
      </c>
      <c r="U93" s="12"/>
      <c r="V93" s="11"/>
      <c r="W93" s="12"/>
    </row>
    <row r="94" spans="1:23" s="97" customFormat="1" ht="54.75" customHeight="1">
      <c r="A94" s="91">
        <v>3</v>
      </c>
      <c r="B94" s="515" t="s">
        <v>42</v>
      </c>
      <c r="C94" s="516"/>
      <c r="D94" s="517"/>
      <c r="E94" s="92" t="s">
        <v>80</v>
      </c>
      <c r="F94" s="98"/>
      <c r="G94" s="93"/>
      <c r="H94" s="93">
        <f aca="true" t="shared" si="14" ref="G94:H96">H97+H100+H103+H106</f>
        <v>57856.25537</v>
      </c>
      <c r="I94" s="93"/>
      <c r="J94" s="93"/>
      <c r="K94" s="93">
        <f>K97+K100+K103+K106</f>
        <v>35908.53666</v>
      </c>
      <c r="L94" s="93"/>
      <c r="M94" s="93"/>
      <c r="N94" s="93">
        <f>N97+N100+N103+N106</f>
        <v>18464.54856</v>
      </c>
      <c r="O94" s="93"/>
      <c r="P94" s="93"/>
      <c r="Q94" s="93">
        <v>51102.47</v>
      </c>
      <c r="R94" s="93"/>
      <c r="S94" s="93">
        <f>S97+S100+S103+S106</f>
        <v>163331.81902</v>
      </c>
      <c r="T94" s="94"/>
      <c r="U94" s="95"/>
      <c r="V94" s="96"/>
      <c r="W94" s="95">
        <f>G94+J94+M94+P94</f>
        <v>0</v>
      </c>
    </row>
    <row r="95" spans="1:23" ht="54.75" customHeight="1">
      <c r="A95" s="15"/>
      <c r="B95" s="518"/>
      <c r="C95" s="519"/>
      <c r="D95" s="520"/>
      <c r="E95" s="143" t="s">
        <v>71</v>
      </c>
      <c r="F95" s="8"/>
      <c r="G95" s="384">
        <f>G98+G101+G104+G107</f>
        <v>18.349000000000004</v>
      </c>
      <c r="H95" s="60">
        <f t="shared" si="14"/>
        <v>979.75945</v>
      </c>
      <c r="I95" s="60"/>
      <c r="J95" s="384">
        <f>J98+J101+J104+J107</f>
        <v>17.753000000000004</v>
      </c>
      <c r="K95" s="60">
        <f>K98+K101+K104+K107</f>
        <v>949.7174600000001</v>
      </c>
      <c r="L95" s="60"/>
      <c r="M95" s="384">
        <f>M98+M101+M104+M107</f>
        <v>17.032</v>
      </c>
      <c r="N95" s="60">
        <v>952.15</v>
      </c>
      <c r="O95" s="60"/>
      <c r="P95" s="384">
        <f>P98+P101+P104+P107</f>
        <v>20.404999999999998</v>
      </c>
      <c r="Q95" s="60">
        <f>Q98+Q101+Q104+Q107</f>
        <v>1133.9392399999997</v>
      </c>
      <c r="R95" s="384">
        <f>G95+J95+M95+P95</f>
        <v>73.539</v>
      </c>
      <c r="S95" s="60">
        <f>S98+S101+S104+S107</f>
        <v>4015.57</v>
      </c>
      <c r="U95" s="12"/>
      <c r="V95" s="11"/>
      <c r="W95" s="12"/>
    </row>
    <row r="96" spans="1:23" ht="54.75" customHeight="1">
      <c r="A96" s="15"/>
      <c r="B96" s="518"/>
      <c r="C96" s="519"/>
      <c r="D96" s="520"/>
      <c r="E96" s="143" t="s">
        <v>2</v>
      </c>
      <c r="F96" s="8"/>
      <c r="G96" s="298">
        <f t="shared" si="14"/>
        <v>10.079</v>
      </c>
      <c r="H96" s="60">
        <f t="shared" si="14"/>
        <v>56876.50253</v>
      </c>
      <c r="I96" s="60"/>
      <c r="J96" s="298">
        <f>J99+J102+J105+J108</f>
        <v>6.195</v>
      </c>
      <c r="K96" s="60">
        <f>K99+K102+K105+K108</f>
        <v>34958.81865</v>
      </c>
      <c r="L96" s="60"/>
      <c r="M96" s="298">
        <f>M99+M102+M105+M108</f>
        <v>3.068</v>
      </c>
      <c r="N96" s="60">
        <v>17512.4</v>
      </c>
      <c r="O96" s="60"/>
      <c r="P96" s="298">
        <f>P99+P102+P105+P108</f>
        <v>8.754000000000001</v>
      </c>
      <c r="Q96" s="60">
        <f>Q99+Q102+Q105+Q108</f>
        <v>49968.53232</v>
      </c>
      <c r="R96" s="301">
        <f>G96+J96+M96+P96</f>
        <v>28.096000000000004</v>
      </c>
      <c r="S96" s="60">
        <f>S99+S102+S105+S108</f>
        <v>159316.24902</v>
      </c>
      <c r="U96" s="12"/>
      <c r="V96" s="11"/>
      <c r="W96" s="12"/>
    </row>
    <row r="97" spans="1:23" ht="54.75" customHeight="1">
      <c r="A97" s="15"/>
      <c r="B97" s="422" t="s">
        <v>98</v>
      </c>
      <c r="C97" s="416"/>
      <c r="D97" s="417"/>
      <c r="E97" s="332"/>
      <c r="F97" s="8"/>
      <c r="G97" s="298"/>
      <c r="H97" s="226">
        <f>H98+H99</f>
        <v>22749.81888</v>
      </c>
      <c r="I97" s="226"/>
      <c r="J97" s="299"/>
      <c r="K97" s="226">
        <f>K98+K99</f>
        <v>18214.339649999998</v>
      </c>
      <c r="L97" s="226"/>
      <c r="M97" s="299"/>
      <c r="N97" s="226">
        <v>14035.8</v>
      </c>
      <c r="O97" s="226"/>
      <c r="P97" s="299"/>
      <c r="Q97" s="226">
        <v>20594.98</v>
      </c>
      <c r="R97" s="300"/>
      <c r="S97" s="226">
        <f>S98+S99</f>
        <v>75594.93999999999</v>
      </c>
      <c r="U97" s="12"/>
      <c r="V97" s="11"/>
      <c r="W97" s="12"/>
    </row>
    <row r="98" spans="1:23" ht="54.75" customHeight="1">
      <c r="A98" s="15"/>
      <c r="B98" s="422"/>
      <c r="C98" s="416"/>
      <c r="D98" s="417"/>
      <c r="E98" s="335" t="s">
        <v>71</v>
      </c>
      <c r="F98" s="8"/>
      <c r="G98" s="299">
        <v>12.974</v>
      </c>
      <c r="H98" s="226">
        <f>G98*H161</f>
        <v>674.12904</v>
      </c>
      <c r="I98" s="226"/>
      <c r="J98" s="299">
        <v>12.678</v>
      </c>
      <c r="K98" s="226">
        <f>J98*H161</f>
        <v>658.7488800000001</v>
      </c>
      <c r="L98" s="226"/>
      <c r="M98" s="299">
        <v>12.457</v>
      </c>
      <c r="N98" s="226">
        <f>M98*J161</f>
        <v>673.17628</v>
      </c>
      <c r="O98" s="226"/>
      <c r="P98" s="299">
        <v>14.475</v>
      </c>
      <c r="Q98" s="226">
        <f>P98*J161</f>
        <v>782.2289999999999</v>
      </c>
      <c r="R98" s="300">
        <f>G98+J98+M98+P98</f>
        <v>52.584</v>
      </c>
      <c r="S98" s="226">
        <v>2788.29</v>
      </c>
      <c r="U98" s="12"/>
      <c r="V98" s="11"/>
      <c r="W98" s="12"/>
    </row>
    <row r="99" spans="1:23" ht="54.75" customHeight="1">
      <c r="A99" s="15"/>
      <c r="B99" s="422"/>
      <c r="C99" s="416"/>
      <c r="D99" s="417"/>
      <c r="E99" s="335" t="s">
        <v>2</v>
      </c>
      <c r="F99" s="8"/>
      <c r="G99" s="299">
        <v>3.912</v>
      </c>
      <c r="H99" s="226">
        <f>G99*H163</f>
        <v>22075.68984</v>
      </c>
      <c r="I99" s="226"/>
      <c r="J99" s="299">
        <v>3.111</v>
      </c>
      <c r="K99" s="226">
        <f>J99*H163</f>
        <v>17555.59077</v>
      </c>
      <c r="L99" s="226"/>
      <c r="M99" s="299">
        <v>2.341</v>
      </c>
      <c r="N99" s="226">
        <f>M99*J163</f>
        <v>13362.615280000002</v>
      </c>
      <c r="O99" s="226"/>
      <c r="P99" s="299">
        <v>3.471</v>
      </c>
      <c r="Q99" s="226">
        <f>P99*J163</f>
        <v>19812.74568</v>
      </c>
      <c r="R99" s="300">
        <f>G99+J99+M99+P99</f>
        <v>12.835</v>
      </c>
      <c r="S99" s="226">
        <v>72806.65</v>
      </c>
      <c r="U99" s="12"/>
      <c r="V99" s="11"/>
      <c r="W99" s="12"/>
    </row>
    <row r="100" spans="1:23" ht="54.75" customHeight="1">
      <c r="A100" s="15"/>
      <c r="B100" s="422" t="s">
        <v>99</v>
      </c>
      <c r="C100" s="416"/>
      <c r="D100" s="417"/>
      <c r="E100" s="332"/>
      <c r="F100" s="8"/>
      <c r="G100" s="299"/>
      <c r="H100" s="226">
        <f>H101+H102</f>
        <v>1095.4469000000001</v>
      </c>
      <c r="I100" s="226"/>
      <c r="J100" s="299"/>
      <c r="K100" s="226">
        <v>1135.48</v>
      </c>
      <c r="L100" s="226"/>
      <c r="M100" s="299"/>
      <c r="N100" s="226">
        <v>1290.3</v>
      </c>
      <c r="O100" s="226"/>
      <c r="P100" s="299"/>
      <c r="Q100" s="226">
        <f>Q101+Q102</f>
        <v>1269.99096</v>
      </c>
      <c r="R100" s="300"/>
      <c r="S100" s="226">
        <f>S101+S102</f>
        <v>4791.22</v>
      </c>
      <c r="U100" s="12"/>
      <c r="V100" s="11"/>
      <c r="W100" s="12"/>
    </row>
    <row r="101" spans="1:23" ht="54.75" customHeight="1">
      <c r="A101" s="15"/>
      <c r="B101" s="422"/>
      <c r="C101" s="416"/>
      <c r="D101" s="417"/>
      <c r="E101" s="335" t="s">
        <v>71</v>
      </c>
      <c r="F101" s="8"/>
      <c r="G101" s="299">
        <v>2.873</v>
      </c>
      <c r="H101" s="226">
        <f>G101*H162</f>
        <v>175.62649000000002</v>
      </c>
      <c r="I101" s="226"/>
      <c r="J101" s="299">
        <v>2.974</v>
      </c>
      <c r="K101" s="226">
        <f>J101*H162</f>
        <v>181.80062</v>
      </c>
      <c r="L101" s="226"/>
      <c r="M101" s="299">
        <v>3.326</v>
      </c>
      <c r="N101" s="226">
        <f>M101*J162</f>
        <v>211.46708</v>
      </c>
      <c r="O101" s="226"/>
      <c r="P101" s="299">
        <v>3.276</v>
      </c>
      <c r="Q101" s="226">
        <f>P101*J162</f>
        <v>208.28807999999998</v>
      </c>
      <c r="R101" s="300">
        <f>G101+J101+M101+P101</f>
        <v>12.449</v>
      </c>
      <c r="S101" s="226">
        <v>777.19</v>
      </c>
      <c r="U101" s="12"/>
      <c r="V101" s="11"/>
      <c r="W101" s="12"/>
    </row>
    <row r="102" spans="1:23" ht="54.75" customHeight="1">
      <c r="A102" s="15"/>
      <c r="B102" s="422"/>
      <c r="C102" s="416"/>
      <c r="D102" s="417"/>
      <c r="E102" s="335" t="s">
        <v>2</v>
      </c>
      <c r="F102" s="8"/>
      <c r="G102" s="299">
        <v>0.163</v>
      </c>
      <c r="H102" s="226">
        <f>G102*H164</f>
        <v>919.82041</v>
      </c>
      <c r="I102" s="226"/>
      <c r="J102" s="299">
        <v>0.169</v>
      </c>
      <c r="K102" s="226">
        <f>J102*H164</f>
        <v>953.6788300000001</v>
      </c>
      <c r="L102" s="226"/>
      <c r="M102" s="299">
        <v>0.189</v>
      </c>
      <c r="N102" s="226">
        <f>M102*J164</f>
        <v>1078.82712</v>
      </c>
      <c r="O102" s="226"/>
      <c r="P102" s="299">
        <v>0.186</v>
      </c>
      <c r="Q102" s="226">
        <f>P102*J164</f>
        <v>1061.70288</v>
      </c>
      <c r="R102" s="300">
        <f>G102+J102+M102+P102</f>
        <v>0.7070000000000001</v>
      </c>
      <c r="S102" s="226">
        <v>4014.03</v>
      </c>
      <c r="U102" s="12"/>
      <c r="V102" s="11"/>
      <c r="W102" s="12"/>
    </row>
    <row r="103" spans="1:23" ht="47.25" customHeight="1">
      <c r="A103" s="15"/>
      <c r="B103" s="422" t="s">
        <v>136</v>
      </c>
      <c r="C103" s="423"/>
      <c r="D103" s="424"/>
      <c r="E103" s="144"/>
      <c r="F103" s="8"/>
      <c r="G103" s="299"/>
      <c r="H103" s="226">
        <f>H104+H105</f>
        <v>319.16958999999997</v>
      </c>
      <c r="I103" s="226"/>
      <c r="J103" s="299"/>
      <c r="K103" s="226">
        <f>K104+K105</f>
        <v>337.60564</v>
      </c>
      <c r="L103" s="226"/>
      <c r="M103" s="299"/>
      <c r="N103" s="226">
        <f>N104+N105</f>
        <v>376.69856000000004</v>
      </c>
      <c r="O103" s="226"/>
      <c r="P103" s="299"/>
      <c r="Q103" s="226">
        <f>Q104+Q105</f>
        <v>370.23392</v>
      </c>
      <c r="R103" s="226"/>
      <c r="S103" s="226">
        <f>S104+S105</f>
        <v>1403.71</v>
      </c>
      <c r="U103" s="12"/>
      <c r="V103" s="11"/>
      <c r="W103" s="12"/>
    </row>
    <row r="104" spans="1:23" ht="45.75" customHeight="1">
      <c r="A104" s="15"/>
      <c r="B104" s="422"/>
      <c r="C104" s="423"/>
      <c r="D104" s="424"/>
      <c r="E104" s="144" t="s">
        <v>71</v>
      </c>
      <c r="F104" s="8"/>
      <c r="G104" s="300">
        <v>0.821</v>
      </c>
      <c r="H104" s="226">
        <f>G104*H161</f>
        <v>42.65916</v>
      </c>
      <c r="I104" s="226"/>
      <c r="J104" s="299">
        <v>0.85</v>
      </c>
      <c r="K104" s="226">
        <f>J104*H161</f>
        <v>44.166</v>
      </c>
      <c r="L104" s="226"/>
      <c r="M104" s="300">
        <v>0.95</v>
      </c>
      <c r="N104" s="226">
        <f>M104*J161</f>
        <v>51.337999999999994</v>
      </c>
      <c r="O104" s="226"/>
      <c r="P104" s="300">
        <v>0.936</v>
      </c>
      <c r="Q104" s="226">
        <f>P104*J161</f>
        <v>50.58144</v>
      </c>
      <c r="R104" s="253">
        <f>G104+J104+M104+P104</f>
        <v>3.5569999999999995</v>
      </c>
      <c r="S104" s="226">
        <v>188.75</v>
      </c>
      <c r="U104" s="12"/>
      <c r="V104" s="11"/>
      <c r="W104" s="12"/>
    </row>
    <row r="105" spans="1:23" ht="38.25" customHeight="1">
      <c r="A105" s="15"/>
      <c r="B105" s="422"/>
      <c r="C105" s="423"/>
      <c r="D105" s="424"/>
      <c r="E105" s="144" t="s">
        <v>2</v>
      </c>
      <c r="F105" s="8"/>
      <c r="G105" s="300">
        <v>0.049</v>
      </c>
      <c r="H105" s="226">
        <f>G105*H163</f>
        <v>276.51043</v>
      </c>
      <c r="I105" s="226"/>
      <c r="J105" s="300">
        <v>0.052</v>
      </c>
      <c r="K105" s="226">
        <f>J105*H163</f>
        <v>293.43964</v>
      </c>
      <c r="L105" s="226"/>
      <c r="M105" s="300">
        <v>0.057</v>
      </c>
      <c r="N105" s="226">
        <f>M105*J163</f>
        <v>325.36056</v>
      </c>
      <c r="O105" s="226"/>
      <c r="P105" s="300">
        <v>0.056</v>
      </c>
      <c r="Q105" s="226">
        <f>P105*J163</f>
        <v>319.65248</v>
      </c>
      <c r="R105" s="253">
        <f>G105+J105+M105+P105</f>
        <v>0.214</v>
      </c>
      <c r="S105" s="226">
        <v>1214.96</v>
      </c>
      <c r="U105" s="12"/>
      <c r="V105" s="11"/>
      <c r="W105" s="12"/>
    </row>
    <row r="106" spans="1:23" ht="46.5" customHeight="1">
      <c r="A106" s="15"/>
      <c r="B106" s="422" t="s">
        <v>137</v>
      </c>
      <c r="C106" s="423"/>
      <c r="D106" s="424"/>
      <c r="E106" s="144"/>
      <c r="F106" s="8"/>
      <c r="G106" s="299"/>
      <c r="H106" s="226">
        <v>33691.82</v>
      </c>
      <c r="I106" s="226"/>
      <c r="J106" s="299"/>
      <c r="K106" s="226">
        <f>K107+K108</f>
        <v>16221.111369999999</v>
      </c>
      <c r="L106" s="226"/>
      <c r="M106" s="299"/>
      <c r="N106" s="226">
        <v>2761.75</v>
      </c>
      <c r="O106" s="226"/>
      <c r="P106" s="299"/>
      <c r="Q106" s="226">
        <f>Q107+Q108</f>
        <v>28867.272</v>
      </c>
      <c r="R106" s="226"/>
      <c r="S106" s="226">
        <f>S107+S108</f>
        <v>81541.94901999999</v>
      </c>
      <c r="U106" s="12"/>
      <c r="V106" s="11"/>
      <c r="W106" s="12"/>
    </row>
    <row r="107" spans="1:23" ht="36.75" customHeight="1">
      <c r="A107" s="15"/>
      <c r="B107" s="523"/>
      <c r="C107" s="524"/>
      <c r="D107" s="525"/>
      <c r="E107" s="144" t="s">
        <v>71</v>
      </c>
      <c r="F107" s="8"/>
      <c r="G107" s="300">
        <v>1.681</v>
      </c>
      <c r="H107" s="226">
        <f>G107*H161</f>
        <v>87.34476000000001</v>
      </c>
      <c r="I107" s="226"/>
      <c r="J107" s="300">
        <v>1.251</v>
      </c>
      <c r="K107" s="226">
        <f>J107*H161</f>
        <v>65.00196</v>
      </c>
      <c r="L107" s="226"/>
      <c r="M107" s="300">
        <v>0.299</v>
      </c>
      <c r="N107" s="226">
        <f>M107*J161</f>
        <v>16.15796</v>
      </c>
      <c r="O107" s="226"/>
      <c r="P107" s="300">
        <v>1.718</v>
      </c>
      <c r="Q107" s="226">
        <f>P107*J161</f>
        <v>92.84071999999999</v>
      </c>
      <c r="R107" s="253">
        <f>G107+J107+M107+P107</f>
        <v>4.949</v>
      </c>
      <c r="S107" s="226">
        <v>261.34</v>
      </c>
      <c r="U107" s="12"/>
      <c r="V107" s="11"/>
      <c r="W107" s="12"/>
    </row>
    <row r="108" spans="1:23" ht="46.5" customHeight="1">
      <c r="A108" s="15"/>
      <c r="B108" s="523"/>
      <c r="C108" s="524"/>
      <c r="D108" s="525"/>
      <c r="E108" s="144" t="s">
        <v>2</v>
      </c>
      <c r="F108" s="8"/>
      <c r="G108" s="300">
        <v>5.955</v>
      </c>
      <c r="H108" s="226">
        <f>G108*H163</f>
        <v>33604.48185</v>
      </c>
      <c r="I108" s="226"/>
      <c r="J108" s="300">
        <v>2.863</v>
      </c>
      <c r="K108" s="226">
        <f>J108*H163</f>
        <v>16156.10941</v>
      </c>
      <c r="L108" s="226"/>
      <c r="M108" s="300">
        <v>0.481</v>
      </c>
      <c r="N108" s="226">
        <f>M108*J163</f>
        <v>2745.58648</v>
      </c>
      <c r="O108" s="226"/>
      <c r="P108" s="300">
        <v>5.041</v>
      </c>
      <c r="Q108" s="226">
        <f>P108*J163</f>
        <v>28774.43128</v>
      </c>
      <c r="R108" s="253">
        <f>G108+J108+M108+P108</f>
        <v>14.34</v>
      </c>
      <c r="S108" s="226">
        <f>H108+K108+N108+Q108</f>
        <v>81280.60901999999</v>
      </c>
      <c r="U108" s="12"/>
      <c r="V108" s="11"/>
      <c r="W108" s="12"/>
    </row>
    <row r="109" spans="1:23" s="97" customFormat="1" ht="45" customHeight="1">
      <c r="A109" s="91">
        <v>4</v>
      </c>
      <c r="B109" s="515" t="s">
        <v>43</v>
      </c>
      <c r="C109" s="516"/>
      <c r="D109" s="517"/>
      <c r="E109" s="142"/>
      <c r="F109" s="98">
        <v>31</v>
      </c>
      <c r="G109" s="93"/>
      <c r="H109" s="93">
        <f>H115+H118</f>
        <v>334102.9593</v>
      </c>
      <c r="I109" s="93"/>
      <c r="J109" s="93"/>
      <c r="K109" s="93">
        <f>K115+K118</f>
        <v>334102.9593</v>
      </c>
      <c r="L109" s="93"/>
      <c r="M109" s="93"/>
      <c r="N109" s="93">
        <f>N115+N118</f>
        <v>340062.2472</v>
      </c>
      <c r="O109" s="93"/>
      <c r="P109" s="93"/>
      <c r="Q109" s="93">
        <f>Q115+Q118</f>
        <v>340062.2472</v>
      </c>
      <c r="R109" s="93"/>
      <c r="S109" s="93">
        <v>1348330.42</v>
      </c>
      <c r="T109" s="94"/>
      <c r="U109" s="95">
        <f>37.94*P109</f>
        <v>0</v>
      </c>
      <c r="V109" s="96">
        <f>H109+K109+N109+Q109</f>
        <v>1348330.413</v>
      </c>
      <c r="W109" s="95">
        <f>G109+J109+M109+P109</f>
        <v>0</v>
      </c>
    </row>
    <row r="110" spans="1:23" ht="41.25" customHeight="1" hidden="1">
      <c r="A110" s="15"/>
      <c r="B110" s="422" t="s">
        <v>45</v>
      </c>
      <c r="C110" s="423"/>
      <c r="D110" s="424"/>
      <c r="E110" s="133"/>
      <c r="F110" s="15">
        <v>51</v>
      </c>
      <c r="G110" s="60"/>
      <c r="H110" s="226">
        <f>H113+H116</f>
        <v>77380.2432</v>
      </c>
      <c r="I110" s="226"/>
      <c r="J110" s="226"/>
      <c r="K110" s="226">
        <f>K113+K116</f>
        <v>77380.2432</v>
      </c>
      <c r="L110" s="226"/>
      <c r="M110" s="226"/>
      <c r="N110" s="226">
        <f>N113+N116</f>
        <v>80481.1968</v>
      </c>
      <c r="O110" s="226"/>
      <c r="P110" s="226"/>
      <c r="Q110" s="226">
        <f>Q113+Q116</f>
        <v>80481.1968</v>
      </c>
      <c r="R110" s="226"/>
      <c r="S110" s="226">
        <f>S111+S112</f>
        <v>2450981.124</v>
      </c>
      <c r="U110" s="12">
        <f>37.94*P110</f>
        <v>0</v>
      </c>
      <c r="V110" s="11">
        <f>H110+K110+N110+Q110</f>
        <v>315722.88</v>
      </c>
      <c r="W110" s="12">
        <f>G110+J110+M110+P110</f>
        <v>0</v>
      </c>
    </row>
    <row r="111" spans="1:23" ht="36.75" customHeight="1" hidden="1">
      <c r="A111" s="15"/>
      <c r="B111" s="523"/>
      <c r="C111" s="524"/>
      <c r="D111" s="525"/>
      <c r="E111" s="144" t="s">
        <v>71</v>
      </c>
      <c r="F111" s="8"/>
      <c r="G111" s="226"/>
      <c r="H111" s="226">
        <f>H114+H117</f>
        <v>274083.90989999997</v>
      </c>
      <c r="I111" s="226"/>
      <c r="J111" s="226"/>
      <c r="K111" s="226">
        <f>K114+K117</f>
        <v>274083.90989999997</v>
      </c>
      <c r="L111" s="226"/>
      <c r="M111" s="226"/>
      <c r="N111" s="226">
        <f>N114+N117</f>
        <v>277241.44560000004</v>
      </c>
      <c r="O111" s="226"/>
      <c r="P111" s="226"/>
      <c r="Q111" s="226">
        <f>Q114+Q117</f>
        <v>277241.44560000004</v>
      </c>
      <c r="R111" s="226">
        <f aca="true" t="shared" si="15" ref="R111:S113">G111+J111+M111+P111</f>
        <v>0</v>
      </c>
      <c r="S111" s="226">
        <f t="shared" si="15"/>
        <v>1102650.711</v>
      </c>
      <c r="U111" s="12"/>
      <c r="V111" s="11"/>
      <c r="W111" s="12"/>
    </row>
    <row r="112" spans="1:23" ht="36.75" customHeight="1" hidden="1">
      <c r="A112" s="15"/>
      <c r="B112" s="523"/>
      <c r="C112" s="524"/>
      <c r="D112" s="525"/>
      <c r="E112" s="144" t="s">
        <v>2</v>
      </c>
      <c r="F112" s="8"/>
      <c r="G112" s="226"/>
      <c r="H112" s="226">
        <f>H115+H118</f>
        <v>334102.9593</v>
      </c>
      <c r="I112" s="226"/>
      <c r="J112" s="226"/>
      <c r="K112" s="226">
        <f>K115+K118</f>
        <v>334102.9593</v>
      </c>
      <c r="L112" s="226"/>
      <c r="M112" s="226"/>
      <c r="N112" s="226">
        <f>N115+N118</f>
        <v>340062.2472</v>
      </c>
      <c r="O112" s="226"/>
      <c r="P112" s="226"/>
      <c r="Q112" s="226">
        <f>Q115+Q118</f>
        <v>340062.2472</v>
      </c>
      <c r="R112" s="226">
        <f t="shared" si="15"/>
        <v>0</v>
      </c>
      <c r="S112" s="226">
        <f t="shared" si="15"/>
        <v>1348330.413</v>
      </c>
      <c r="U112" s="12"/>
      <c r="V112" s="11"/>
      <c r="W112" s="12"/>
    </row>
    <row r="113" spans="1:23" ht="36.75" customHeight="1">
      <c r="A113" s="15"/>
      <c r="B113" s="333"/>
      <c r="C113" s="334"/>
      <c r="D113" s="335"/>
      <c r="E113" s="332" t="s">
        <v>71</v>
      </c>
      <c r="F113" s="8"/>
      <c r="G113" s="60">
        <f>G116+G119</f>
        <v>1218.96</v>
      </c>
      <c r="H113" s="60">
        <f>H116+H119</f>
        <v>73901.0016</v>
      </c>
      <c r="I113" s="226"/>
      <c r="J113" s="60">
        <f>J116+J119</f>
        <v>1218.96</v>
      </c>
      <c r="K113" s="60">
        <f>K116+K119</f>
        <v>73901.0016</v>
      </c>
      <c r="L113" s="60"/>
      <c r="M113" s="60">
        <f>M116+M119</f>
        <v>1218.96</v>
      </c>
      <c r="N113" s="60">
        <f>N116+N119</f>
        <v>76862.6784</v>
      </c>
      <c r="O113" s="60"/>
      <c r="P113" s="60">
        <f>P116+P119</f>
        <v>1218.96</v>
      </c>
      <c r="Q113" s="60">
        <f>Q116+Q119</f>
        <v>76862.6784</v>
      </c>
      <c r="R113" s="60">
        <f t="shared" si="15"/>
        <v>4875.84</v>
      </c>
      <c r="S113" s="60">
        <f t="shared" si="15"/>
        <v>301527.36</v>
      </c>
      <c r="U113" s="12"/>
      <c r="V113" s="11"/>
      <c r="W113" s="12"/>
    </row>
    <row r="114" spans="1:23" ht="36.75" customHeight="1">
      <c r="A114" s="15"/>
      <c r="B114" s="333"/>
      <c r="C114" s="334"/>
      <c r="D114" s="335"/>
      <c r="E114" s="332" t="s">
        <v>2</v>
      </c>
      <c r="F114" s="8"/>
      <c r="G114" s="60">
        <f>G117+G120</f>
        <v>46.11</v>
      </c>
      <c r="H114" s="60">
        <f>H117+H120</f>
        <v>260201.95769999997</v>
      </c>
      <c r="I114" s="226"/>
      <c r="J114" s="60">
        <f>J117+J120</f>
        <v>46.11</v>
      </c>
      <c r="K114" s="60">
        <f>K117+K120</f>
        <v>260201.95769999997</v>
      </c>
      <c r="L114" s="60"/>
      <c r="M114" s="60">
        <f>M117+M120</f>
        <v>46.11</v>
      </c>
      <c r="N114" s="60">
        <f>N117+N120</f>
        <v>263199.5688</v>
      </c>
      <c r="O114" s="60"/>
      <c r="P114" s="60">
        <f>P117+P120</f>
        <v>46.11</v>
      </c>
      <c r="Q114" s="60">
        <f>Q117+Q120</f>
        <v>263199.5688</v>
      </c>
      <c r="R114" s="60">
        <f>G114+J114+M114+P114</f>
        <v>184.44</v>
      </c>
      <c r="S114" s="60">
        <v>1046803.06</v>
      </c>
      <c r="U114" s="12"/>
      <c r="V114" s="11"/>
      <c r="W114" s="12"/>
    </row>
    <row r="115" spans="1:23" ht="57.75" customHeight="1">
      <c r="A115" s="15"/>
      <c r="B115" s="523" t="s">
        <v>138</v>
      </c>
      <c r="C115" s="555"/>
      <c r="D115" s="556"/>
      <c r="E115" s="335"/>
      <c r="F115" s="8"/>
      <c r="G115" s="226"/>
      <c r="H115" s="226">
        <f>H116+H117</f>
        <v>17361.1938</v>
      </c>
      <c r="I115" s="226"/>
      <c r="J115" s="226"/>
      <c r="K115" s="226">
        <f>K116+K117</f>
        <v>17361.1938</v>
      </c>
      <c r="L115" s="226"/>
      <c r="M115" s="226"/>
      <c r="N115" s="226">
        <f>N116+N117</f>
        <v>17660.3952</v>
      </c>
      <c r="O115" s="226"/>
      <c r="P115" s="226"/>
      <c r="Q115" s="226">
        <f>Q116+Q117</f>
        <v>17660.3952</v>
      </c>
      <c r="R115" s="226"/>
      <c r="S115" s="226">
        <f>S116+S117</f>
        <v>70043.178</v>
      </c>
      <c r="U115" s="12"/>
      <c r="V115" s="11"/>
      <c r="W115" s="12"/>
    </row>
    <row r="116" spans="1:23" ht="36.75" customHeight="1">
      <c r="A116" s="15"/>
      <c r="B116" s="523"/>
      <c r="C116" s="555"/>
      <c r="D116" s="556"/>
      <c r="E116" s="335" t="s">
        <v>71</v>
      </c>
      <c r="F116" s="8"/>
      <c r="G116" s="226">
        <v>66.96</v>
      </c>
      <c r="H116" s="226">
        <f>G116*H161</f>
        <v>3479.2416</v>
      </c>
      <c r="I116" s="226"/>
      <c r="J116" s="226">
        <v>66.96</v>
      </c>
      <c r="K116" s="226">
        <f>J116*H161</f>
        <v>3479.2416</v>
      </c>
      <c r="L116" s="226"/>
      <c r="M116" s="226">
        <v>66.96</v>
      </c>
      <c r="N116" s="226">
        <f>M116*J161</f>
        <v>3618.5183999999995</v>
      </c>
      <c r="O116" s="226"/>
      <c r="P116" s="226">
        <v>66.96</v>
      </c>
      <c r="Q116" s="226">
        <f>P116*J161</f>
        <v>3618.5183999999995</v>
      </c>
      <c r="R116" s="226">
        <f>G116+J116+M116+P116</f>
        <v>267.84</v>
      </c>
      <c r="S116" s="226">
        <f>H116+K116+N116+Q116</f>
        <v>14195.519999999999</v>
      </c>
      <c r="U116" s="12"/>
      <c r="V116" s="11"/>
      <c r="W116" s="12"/>
    </row>
    <row r="117" spans="1:23" ht="36.75" customHeight="1">
      <c r="A117" s="15"/>
      <c r="B117" s="523"/>
      <c r="C117" s="555"/>
      <c r="D117" s="556"/>
      <c r="E117" s="335" t="s">
        <v>2</v>
      </c>
      <c r="F117" s="8"/>
      <c r="G117" s="226">
        <v>2.46</v>
      </c>
      <c r="H117" s="226">
        <f>G117*H163</f>
        <v>13881.9522</v>
      </c>
      <c r="I117" s="226"/>
      <c r="J117" s="226">
        <v>2.46</v>
      </c>
      <c r="K117" s="226">
        <f>J117*H163</f>
        <v>13881.9522</v>
      </c>
      <c r="L117" s="226"/>
      <c r="M117" s="226">
        <v>2.46</v>
      </c>
      <c r="N117" s="226">
        <f>M117*J163</f>
        <v>14041.8768</v>
      </c>
      <c r="O117" s="226"/>
      <c r="P117" s="226">
        <v>2.46</v>
      </c>
      <c r="Q117" s="226">
        <f>P117*J163</f>
        <v>14041.8768</v>
      </c>
      <c r="R117" s="226">
        <f>G117+J117+M117+P117</f>
        <v>9.84</v>
      </c>
      <c r="S117" s="226">
        <f>H117+K117+N117+Q117</f>
        <v>55847.657999999996</v>
      </c>
      <c r="U117" s="12"/>
      <c r="V117" s="11"/>
      <c r="W117" s="12"/>
    </row>
    <row r="118" spans="1:23" ht="48" customHeight="1">
      <c r="A118" s="15"/>
      <c r="B118" s="523" t="s">
        <v>139</v>
      </c>
      <c r="C118" s="555"/>
      <c r="D118" s="556"/>
      <c r="E118" s="335"/>
      <c r="F118" s="8"/>
      <c r="G118" s="226"/>
      <c r="H118" s="226">
        <f>H119+H120</f>
        <v>316741.7655</v>
      </c>
      <c r="I118" s="226"/>
      <c r="J118" s="226"/>
      <c r="K118" s="226">
        <f>K119+K120</f>
        <v>316741.7655</v>
      </c>
      <c r="L118" s="226"/>
      <c r="M118" s="226"/>
      <c r="N118" s="226">
        <f>N119+N120</f>
        <v>322401.85199999996</v>
      </c>
      <c r="O118" s="226"/>
      <c r="P118" s="226"/>
      <c r="Q118" s="226">
        <f>Q119+Q120</f>
        <v>322401.85199999996</v>
      </c>
      <c r="R118" s="226"/>
      <c r="S118" s="226">
        <f>S119+S120</f>
        <v>1278287.235</v>
      </c>
      <c r="U118" s="12"/>
      <c r="V118" s="11"/>
      <c r="W118" s="12"/>
    </row>
    <row r="119" spans="1:23" ht="36.75" customHeight="1">
      <c r="A119" s="15"/>
      <c r="B119" s="523"/>
      <c r="C119" s="555"/>
      <c r="D119" s="556"/>
      <c r="E119" s="335" t="s">
        <v>71</v>
      </c>
      <c r="F119" s="8"/>
      <c r="G119" s="226">
        <v>1152</v>
      </c>
      <c r="H119" s="226">
        <f>G119*H162</f>
        <v>70421.76000000001</v>
      </c>
      <c r="I119" s="226"/>
      <c r="J119" s="226">
        <v>1152</v>
      </c>
      <c r="K119" s="226">
        <f>J119*H162</f>
        <v>70421.76000000001</v>
      </c>
      <c r="L119" s="226"/>
      <c r="M119" s="226">
        <v>1152</v>
      </c>
      <c r="N119" s="226">
        <f>M119*J162</f>
        <v>73244.16</v>
      </c>
      <c r="O119" s="226"/>
      <c r="P119" s="226">
        <v>1152</v>
      </c>
      <c r="Q119" s="226">
        <f>P119*J162</f>
        <v>73244.16</v>
      </c>
      <c r="R119" s="226">
        <f>G119+J119+M119+P119</f>
        <v>4608</v>
      </c>
      <c r="S119" s="226">
        <f>H119+K119+N119+Q119</f>
        <v>287331.84</v>
      </c>
      <c r="U119" s="12"/>
      <c r="V119" s="11"/>
      <c r="W119" s="12"/>
    </row>
    <row r="120" spans="1:23" ht="36.75" customHeight="1">
      <c r="A120" s="15"/>
      <c r="B120" s="523"/>
      <c r="C120" s="555"/>
      <c r="D120" s="556"/>
      <c r="E120" s="335" t="s">
        <v>2</v>
      </c>
      <c r="F120" s="8"/>
      <c r="G120" s="226">
        <v>43.65</v>
      </c>
      <c r="H120" s="226">
        <f>G120*H164</f>
        <v>246320.00549999997</v>
      </c>
      <c r="I120" s="226"/>
      <c r="J120" s="226">
        <v>43.65</v>
      </c>
      <c r="K120" s="226">
        <f>J120*H164</f>
        <v>246320.00549999997</v>
      </c>
      <c r="L120" s="226"/>
      <c r="M120" s="226">
        <v>43.65</v>
      </c>
      <c r="N120" s="226">
        <f>M120*J164</f>
        <v>249157.69199999998</v>
      </c>
      <c r="O120" s="226"/>
      <c r="P120" s="226">
        <v>43.65</v>
      </c>
      <c r="Q120" s="226">
        <f>P120*J164</f>
        <v>249157.69199999998</v>
      </c>
      <c r="R120" s="226">
        <f>G120+J120+M120+P120</f>
        <v>174.6</v>
      </c>
      <c r="S120" s="226">
        <f>H120+K120+N120+Q120</f>
        <v>990955.395</v>
      </c>
      <c r="U120" s="12"/>
      <c r="V120" s="11"/>
      <c r="W120" s="12"/>
    </row>
    <row r="121" spans="1:23" s="97" customFormat="1" ht="48" customHeight="1">
      <c r="A121" s="91">
        <v>5</v>
      </c>
      <c r="B121" s="515" t="s">
        <v>47</v>
      </c>
      <c r="C121" s="516"/>
      <c r="D121" s="517"/>
      <c r="E121" s="92" t="s">
        <v>80</v>
      </c>
      <c r="F121" s="98"/>
      <c r="G121" s="93"/>
      <c r="H121" s="93">
        <v>41941.18</v>
      </c>
      <c r="I121" s="93"/>
      <c r="J121" s="93"/>
      <c r="K121" s="93">
        <f>K124+K127+K130+K133</f>
        <v>42389.46126</v>
      </c>
      <c r="L121" s="93"/>
      <c r="M121" s="93"/>
      <c r="N121" s="93">
        <f>N124+N127+N130+N133</f>
        <v>22739.213119999997</v>
      </c>
      <c r="O121" s="93"/>
      <c r="P121" s="93"/>
      <c r="Q121" s="93">
        <v>42369.98</v>
      </c>
      <c r="R121" s="93"/>
      <c r="S121" s="93">
        <f>S124+S127+S130+S133</f>
        <v>149439.83187</v>
      </c>
      <c r="T121" s="94"/>
      <c r="U121" s="95"/>
      <c r="V121" s="96"/>
      <c r="W121" s="95"/>
    </row>
    <row r="122" spans="1:23" ht="38.25" customHeight="1">
      <c r="A122" s="15"/>
      <c r="B122" s="518"/>
      <c r="C122" s="519"/>
      <c r="D122" s="520"/>
      <c r="E122" s="133" t="s">
        <v>71</v>
      </c>
      <c r="F122" s="8"/>
      <c r="G122" s="60">
        <f>G125+G128+G131+G134</f>
        <v>76.1</v>
      </c>
      <c r="H122" s="60">
        <f>H125+H128+H131+H134</f>
        <v>4110.046</v>
      </c>
      <c r="I122" s="60"/>
      <c r="J122" s="60">
        <f>J125+J128+J131+J134</f>
        <v>76.874</v>
      </c>
      <c r="K122" s="60">
        <f>K125+K128+K131+K134</f>
        <v>4191.52804</v>
      </c>
      <c r="L122" s="60"/>
      <c r="M122" s="60">
        <f>M125+M128+M131+M134</f>
        <v>48.019999999999996</v>
      </c>
      <c r="N122" s="60">
        <f>N125+N128+N131+N134</f>
        <v>2738.1008</v>
      </c>
      <c r="O122" s="60"/>
      <c r="P122" s="60">
        <f>P125+P128+P131+P134</f>
        <v>77.64</v>
      </c>
      <c r="Q122" s="60">
        <v>4405.54</v>
      </c>
      <c r="R122" s="60">
        <f>G122+J122+M122+P122</f>
        <v>278.63399999999996</v>
      </c>
      <c r="S122" s="60">
        <v>15445.22</v>
      </c>
      <c r="U122" s="12"/>
      <c r="V122" s="11"/>
      <c r="W122" s="12"/>
    </row>
    <row r="123" spans="1:23" ht="38.25" customHeight="1">
      <c r="A123" s="15"/>
      <c r="B123" s="518"/>
      <c r="C123" s="519"/>
      <c r="D123" s="520"/>
      <c r="E123" s="133" t="s">
        <v>2</v>
      </c>
      <c r="F123" s="8"/>
      <c r="G123" s="60">
        <f>G126+G129+G132+G135</f>
        <v>6.704000000000001</v>
      </c>
      <c r="H123" s="60">
        <v>37831.13</v>
      </c>
      <c r="I123" s="60"/>
      <c r="J123" s="60">
        <f>J126+J129+J132+J135</f>
        <v>6.769</v>
      </c>
      <c r="K123" s="60">
        <v>38197.93</v>
      </c>
      <c r="L123" s="60"/>
      <c r="M123" s="60">
        <f>M126+M129+M132+M135</f>
        <v>3.504</v>
      </c>
      <c r="N123" s="60">
        <f>N126+N129+N132+N135</f>
        <v>20001.11232</v>
      </c>
      <c r="O123" s="60"/>
      <c r="P123" s="60">
        <f>P126+P129+P132+P135</f>
        <v>6.651</v>
      </c>
      <c r="Q123" s="60">
        <f>Q126+Q129+Q132+Q135</f>
        <v>37964.44008</v>
      </c>
      <c r="R123" s="60">
        <f>G123+J123+M123+P123</f>
        <v>23.628</v>
      </c>
      <c r="S123" s="60">
        <f>H123+K123+N123+Q123</f>
        <v>133994.61239999998</v>
      </c>
      <c r="U123" s="12"/>
      <c r="V123" s="11"/>
      <c r="W123" s="12"/>
    </row>
    <row r="124" spans="1:23" ht="41.25" customHeight="1">
      <c r="A124" s="15"/>
      <c r="B124" s="422" t="s">
        <v>48</v>
      </c>
      <c r="C124" s="423"/>
      <c r="D124" s="424"/>
      <c r="E124" s="134"/>
      <c r="F124" s="8"/>
      <c r="G124" s="226"/>
      <c r="H124" s="226">
        <f>H125+H126</f>
        <v>1360.1499</v>
      </c>
      <c r="I124" s="226"/>
      <c r="J124" s="226"/>
      <c r="K124" s="226">
        <f>K125+K126</f>
        <v>1163.3395699999999</v>
      </c>
      <c r="L124" s="226"/>
      <c r="M124" s="226"/>
      <c r="N124" s="226">
        <f>N125+N126</f>
        <v>1786.5232</v>
      </c>
      <c r="O124" s="226"/>
      <c r="P124" s="226"/>
      <c r="Q124" s="226">
        <f>Q125+Q126</f>
        <v>3759.9604</v>
      </c>
      <c r="R124" s="226"/>
      <c r="S124" s="226">
        <f>S125+S126</f>
        <v>8069.97307</v>
      </c>
      <c r="U124" s="12"/>
      <c r="V124" s="11"/>
      <c r="W124" s="12"/>
    </row>
    <row r="125" spans="1:23" ht="38.25" customHeight="1">
      <c r="A125" s="15"/>
      <c r="B125" s="523"/>
      <c r="C125" s="524"/>
      <c r="D125" s="525"/>
      <c r="E125" s="144" t="s">
        <v>71</v>
      </c>
      <c r="F125" s="8"/>
      <c r="G125" s="226">
        <v>3.37</v>
      </c>
      <c r="H125" s="226">
        <f>G125*H161</f>
        <v>175.1052</v>
      </c>
      <c r="I125" s="226"/>
      <c r="J125" s="299">
        <v>2.949</v>
      </c>
      <c r="K125" s="226">
        <f>J125*H161</f>
        <v>153.23004</v>
      </c>
      <c r="L125" s="226"/>
      <c r="M125" s="226">
        <v>4.54</v>
      </c>
      <c r="N125" s="226">
        <f>M125*J161</f>
        <v>245.3416</v>
      </c>
      <c r="O125" s="226"/>
      <c r="P125" s="226">
        <v>9.37</v>
      </c>
      <c r="Q125" s="226">
        <f>P125*J161</f>
        <v>506.35479999999995</v>
      </c>
      <c r="R125" s="226">
        <f>G125+J125+M125+P125</f>
        <v>20.229</v>
      </c>
      <c r="S125" s="226">
        <f>H125+K125+N125+Q125</f>
        <v>1080.03164</v>
      </c>
      <c r="U125" s="12"/>
      <c r="V125" s="11"/>
      <c r="W125" s="12"/>
    </row>
    <row r="126" spans="1:23" ht="36.75" customHeight="1">
      <c r="A126" s="15"/>
      <c r="B126" s="523"/>
      <c r="C126" s="524"/>
      <c r="D126" s="525"/>
      <c r="E126" s="144" t="s">
        <v>2</v>
      </c>
      <c r="F126" s="8"/>
      <c r="G126" s="226">
        <v>0.21</v>
      </c>
      <c r="H126" s="226">
        <f>G126*H163</f>
        <v>1185.0447</v>
      </c>
      <c r="I126" s="226"/>
      <c r="J126" s="299">
        <v>0.179</v>
      </c>
      <c r="K126" s="226">
        <f>J126*H163</f>
        <v>1010.10953</v>
      </c>
      <c r="L126" s="226"/>
      <c r="M126" s="226">
        <v>0.27</v>
      </c>
      <c r="N126" s="226">
        <f>M126*J163</f>
        <v>1541.1816000000001</v>
      </c>
      <c r="O126" s="226"/>
      <c r="P126" s="226">
        <v>0.57</v>
      </c>
      <c r="Q126" s="226">
        <f>P126*J163</f>
        <v>3253.6056</v>
      </c>
      <c r="R126" s="226">
        <f>G126+J126+M126+P126</f>
        <v>1.229</v>
      </c>
      <c r="S126" s="226">
        <f>H126+K126+N126+Q126</f>
        <v>6989.94143</v>
      </c>
      <c r="U126" s="12"/>
      <c r="V126" s="11"/>
      <c r="W126" s="12"/>
    </row>
    <row r="127" spans="1:23" ht="35.25" customHeight="1">
      <c r="A127" s="15"/>
      <c r="B127" s="422" t="s">
        <v>49</v>
      </c>
      <c r="C127" s="423"/>
      <c r="D127" s="424"/>
      <c r="E127" s="134"/>
      <c r="F127" s="8"/>
      <c r="G127" s="226"/>
      <c r="H127" s="226">
        <f>H128+H129</f>
        <v>23805.411599999996</v>
      </c>
      <c r="I127" s="226"/>
      <c r="J127" s="226"/>
      <c r="K127" s="226">
        <v>25683.86</v>
      </c>
      <c r="L127" s="226"/>
      <c r="M127" s="226"/>
      <c r="N127" s="226">
        <f>N128+N129</f>
        <v>10763.506959999999</v>
      </c>
      <c r="O127" s="226"/>
      <c r="P127" s="226"/>
      <c r="Q127" s="226">
        <f>Q128+Q129</f>
        <v>21191.96336</v>
      </c>
      <c r="R127" s="226"/>
      <c r="S127" s="226">
        <f>S128+S129</f>
        <v>81444.74419999999</v>
      </c>
      <c r="U127" s="12"/>
      <c r="V127" s="11"/>
      <c r="W127" s="12"/>
    </row>
    <row r="128" spans="1:23" ht="31.5" customHeight="1">
      <c r="A128" s="15"/>
      <c r="B128" s="523"/>
      <c r="C128" s="524"/>
      <c r="D128" s="525"/>
      <c r="E128" s="144" t="s">
        <v>71</v>
      </c>
      <c r="F128" s="8"/>
      <c r="G128" s="226">
        <v>35</v>
      </c>
      <c r="H128" s="226">
        <f>25*H161+10*H162</f>
        <v>1910.3000000000002</v>
      </c>
      <c r="I128" s="226"/>
      <c r="J128" s="299">
        <v>50.395</v>
      </c>
      <c r="K128" s="226">
        <f>35.395*H161+15*H162</f>
        <v>2756.0742</v>
      </c>
      <c r="L128" s="226"/>
      <c r="M128" s="226">
        <v>24.5</v>
      </c>
      <c r="N128" s="226">
        <f>14.5*J161+10*J162</f>
        <v>1419.38</v>
      </c>
      <c r="O128" s="226"/>
      <c r="P128" s="226">
        <v>36.5</v>
      </c>
      <c r="Q128" s="226">
        <f>21.5*J161+15*J162</f>
        <v>2115.56</v>
      </c>
      <c r="R128" s="226">
        <f>G128+J128+M128+P128</f>
        <v>146.395</v>
      </c>
      <c r="S128" s="226">
        <f>H128+K128+N128+Q128</f>
        <v>8201.3142</v>
      </c>
      <c r="U128" s="12"/>
      <c r="V128" s="11"/>
      <c r="W128" s="12"/>
    </row>
    <row r="129" spans="1:23" ht="33" customHeight="1">
      <c r="A129" s="15"/>
      <c r="B129" s="523"/>
      <c r="C129" s="524"/>
      <c r="D129" s="525"/>
      <c r="E129" s="144" t="s">
        <v>2</v>
      </c>
      <c r="F129" s="8"/>
      <c r="G129" s="226">
        <v>3.88</v>
      </c>
      <c r="H129" s="226">
        <f>G129*H163</f>
        <v>21895.111599999997</v>
      </c>
      <c r="I129" s="226"/>
      <c r="J129" s="226">
        <v>4.063</v>
      </c>
      <c r="K129" s="226">
        <f>J129*H163</f>
        <v>22927.79341</v>
      </c>
      <c r="L129" s="226"/>
      <c r="M129" s="226">
        <v>1.637</v>
      </c>
      <c r="N129" s="226">
        <f>M129*J163</f>
        <v>9344.12696</v>
      </c>
      <c r="O129" s="226"/>
      <c r="P129" s="226">
        <v>3.342</v>
      </c>
      <c r="Q129" s="226">
        <f>P129*J163</f>
        <v>19076.40336</v>
      </c>
      <c r="R129" s="226">
        <f>G129+J129+M129+P129</f>
        <v>12.922</v>
      </c>
      <c r="S129" s="226">
        <v>73243.43</v>
      </c>
      <c r="U129" s="12"/>
      <c r="V129" s="11"/>
      <c r="W129" s="12"/>
    </row>
    <row r="130" spans="1:23" ht="36.75" customHeight="1">
      <c r="A130" s="15"/>
      <c r="B130" s="422" t="s">
        <v>50</v>
      </c>
      <c r="C130" s="423"/>
      <c r="D130" s="424"/>
      <c r="E130" s="134"/>
      <c r="F130" s="8"/>
      <c r="G130" s="226"/>
      <c r="H130" s="226">
        <f>H131+H132</f>
        <v>6785.8521</v>
      </c>
      <c r="I130" s="226"/>
      <c r="J130" s="226"/>
      <c r="K130" s="226">
        <f>K131+K132</f>
        <v>6000.1786999999995</v>
      </c>
      <c r="L130" s="226"/>
      <c r="M130" s="226"/>
      <c r="N130" s="226">
        <f>N131+N132</f>
        <v>5286.6232</v>
      </c>
      <c r="O130" s="226"/>
      <c r="P130" s="226"/>
      <c r="Q130" s="226">
        <f>Q131+Q132</f>
        <v>6891.8024000000005</v>
      </c>
      <c r="R130" s="226"/>
      <c r="S130" s="226">
        <f>S131+S132</f>
        <v>24964.445</v>
      </c>
      <c r="U130" s="12"/>
      <c r="V130" s="11"/>
      <c r="W130" s="12"/>
    </row>
    <row r="131" spans="1:23" ht="36.75" customHeight="1">
      <c r="A131" s="15"/>
      <c r="B131" s="523"/>
      <c r="C131" s="524"/>
      <c r="D131" s="525"/>
      <c r="E131" s="144" t="s">
        <v>71</v>
      </c>
      <c r="F131" s="8"/>
      <c r="G131" s="226">
        <v>17.5</v>
      </c>
      <c r="H131" s="226">
        <f>10.5*H161+7*H162</f>
        <v>973.49</v>
      </c>
      <c r="I131" s="226"/>
      <c r="J131" s="226">
        <v>15.5</v>
      </c>
      <c r="K131" s="226">
        <f>9*H161+6.5*H162</f>
        <v>864.985</v>
      </c>
      <c r="L131" s="226"/>
      <c r="M131" s="226">
        <v>13.5</v>
      </c>
      <c r="N131" s="226">
        <f>8.5*J161+5*J162</f>
        <v>777.24</v>
      </c>
      <c r="O131" s="226"/>
      <c r="P131" s="226">
        <v>17.5</v>
      </c>
      <c r="Q131" s="226">
        <f>10.5*J161+7*J162</f>
        <v>1012.48</v>
      </c>
      <c r="R131" s="226">
        <f>G131+J131+M131+P131</f>
        <v>64</v>
      </c>
      <c r="S131" s="226">
        <f>H131+K131+N131+Q131</f>
        <v>3628.195</v>
      </c>
      <c r="U131" s="12"/>
      <c r="V131" s="11"/>
      <c r="W131" s="12"/>
    </row>
    <row r="132" spans="1:23" ht="35.25" customHeight="1">
      <c r="A132" s="15"/>
      <c r="B132" s="523"/>
      <c r="C132" s="524"/>
      <c r="D132" s="525"/>
      <c r="E132" s="144" t="s">
        <v>2</v>
      </c>
      <c r="F132" s="8"/>
      <c r="G132" s="226">
        <v>1.03</v>
      </c>
      <c r="H132" s="226">
        <f>G132*H163</f>
        <v>5812.3621</v>
      </c>
      <c r="I132" s="226"/>
      <c r="J132" s="226">
        <v>0.91</v>
      </c>
      <c r="K132" s="226">
        <f>J132*H163</f>
        <v>5135.1937</v>
      </c>
      <c r="L132" s="226"/>
      <c r="M132" s="226">
        <v>0.79</v>
      </c>
      <c r="N132" s="226">
        <f>M132*J163</f>
        <v>4509.3832</v>
      </c>
      <c r="O132" s="226"/>
      <c r="P132" s="226">
        <v>1.03</v>
      </c>
      <c r="Q132" s="226">
        <f>P132*J163</f>
        <v>5879.3224</v>
      </c>
      <c r="R132" s="226">
        <f>G132+J132+M132+P132</f>
        <v>3.76</v>
      </c>
      <c r="S132" s="226">
        <v>21336.25</v>
      </c>
      <c r="U132" s="12"/>
      <c r="V132" s="11"/>
      <c r="W132" s="12"/>
    </row>
    <row r="133" spans="1:23" ht="33" customHeight="1">
      <c r="A133" s="15"/>
      <c r="B133" s="511" t="s">
        <v>40</v>
      </c>
      <c r="C133" s="511"/>
      <c r="D133" s="511"/>
      <c r="E133" s="139"/>
      <c r="F133" s="8"/>
      <c r="G133" s="226"/>
      <c r="H133" s="226">
        <f>H134+H135</f>
        <v>9989.77368</v>
      </c>
      <c r="I133" s="226"/>
      <c r="J133" s="226"/>
      <c r="K133" s="226">
        <f>K134+K135</f>
        <v>9542.082989999999</v>
      </c>
      <c r="L133" s="226"/>
      <c r="M133" s="226"/>
      <c r="N133" s="226">
        <f>N134+N135</f>
        <v>4902.55976</v>
      </c>
      <c r="O133" s="226"/>
      <c r="P133" s="226"/>
      <c r="Q133" s="226">
        <f>Q134+Q135</f>
        <v>10526.25952</v>
      </c>
      <c r="R133" s="226"/>
      <c r="S133" s="226">
        <f>S134+S135</f>
        <v>34960.6696</v>
      </c>
      <c r="U133" s="12"/>
      <c r="V133" s="11"/>
      <c r="W133" s="12"/>
    </row>
    <row r="134" spans="1:23" ht="33" customHeight="1">
      <c r="A134" s="15"/>
      <c r="B134" s="523"/>
      <c r="C134" s="524"/>
      <c r="D134" s="525"/>
      <c r="E134" s="144" t="s">
        <v>71</v>
      </c>
      <c r="F134" s="8"/>
      <c r="G134" s="226">
        <v>20.23</v>
      </c>
      <c r="H134" s="226">
        <f>G134*H161</f>
        <v>1051.1508000000001</v>
      </c>
      <c r="I134" s="226"/>
      <c r="J134" s="254">
        <v>8.03</v>
      </c>
      <c r="K134" s="226">
        <f>J134*H161</f>
        <v>417.23879999999997</v>
      </c>
      <c r="L134" s="226"/>
      <c r="M134" s="226">
        <v>5.48</v>
      </c>
      <c r="N134" s="226">
        <f>M134*J161</f>
        <v>296.1392</v>
      </c>
      <c r="O134" s="226"/>
      <c r="P134" s="226">
        <v>14.27</v>
      </c>
      <c r="Q134" s="226">
        <f>P134*J161</f>
        <v>771.1508</v>
      </c>
      <c r="R134" s="226">
        <f>G134+J134+M134+P134</f>
        <v>48.00999999999999</v>
      </c>
      <c r="S134" s="226">
        <f>H134+K134+N134+Q134</f>
        <v>2535.6796</v>
      </c>
      <c r="U134" s="12"/>
      <c r="V134" s="11"/>
      <c r="W134" s="12"/>
    </row>
    <row r="135" spans="1:23" ht="31.5" customHeight="1">
      <c r="A135" s="15"/>
      <c r="B135" s="523"/>
      <c r="C135" s="524"/>
      <c r="D135" s="525"/>
      <c r="E135" s="144" t="s">
        <v>2</v>
      </c>
      <c r="F135" s="8"/>
      <c r="G135" s="226">
        <v>1.584</v>
      </c>
      <c r="H135" s="226">
        <f>G135*H163</f>
        <v>8938.62288</v>
      </c>
      <c r="I135" s="226"/>
      <c r="J135" s="226">
        <v>1.617</v>
      </c>
      <c r="K135" s="226">
        <f>J135*H163</f>
        <v>9124.84419</v>
      </c>
      <c r="L135" s="226"/>
      <c r="M135" s="226">
        <v>0.807</v>
      </c>
      <c r="N135" s="226">
        <f>M135*J163</f>
        <v>4606.4205600000005</v>
      </c>
      <c r="O135" s="226"/>
      <c r="P135" s="226">
        <v>1.709</v>
      </c>
      <c r="Q135" s="226">
        <f>P135*J163</f>
        <v>9755.10872</v>
      </c>
      <c r="R135" s="226">
        <f>G135+J135+M135+P135</f>
        <v>5.7170000000000005</v>
      </c>
      <c r="S135" s="226">
        <v>32424.99</v>
      </c>
      <c r="U135" s="12"/>
      <c r="V135" s="11"/>
      <c r="W135" s="12"/>
    </row>
    <row r="136" spans="1:23" s="97" customFormat="1" ht="43.5" customHeight="1">
      <c r="A136" s="91">
        <v>6</v>
      </c>
      <c r="B136" s="515" t="s">
        <v>53</v>
      </c>
      <c r="C136" s="516"/>
      <c r="D136" s="517"/>
      <c r="E136" s="92" t="s">
        <v>80</v>
      </c>
      <c r="F136" s="98"/>
      <c r="G136" s="93"/>
      <c r="H136" s="93">
        <f>H139+H142+H145</f>
        <v>1183925.8377999999</v>
      </c>
      <c r="I136" s="93"/>
      <c r="J136" s="93"/>
      <c r="K136" s="93">
        <f>K139+K142+K145</f>
        <v>1197706.0578</v>
      </c>
      <c r="L136" s="93"/>
      <c r="M136" s="93"/>
      <c r="N136" s="93">
        <f>N139+N142+N145</f>
        <v>1183186.0572</v>
      </c>
      <c r="O136" s="93"/>
      <c r="P136" s="93"/>
      <c r="Q136" s="93">
        <f>Q139+Q142+Q145</f>
        <v>1210753.7371999999</v>
      </c>
      <c r="R136" s="93"/>
      <c r="S136" s="93">
        <f>S139+S142+S145</f>
        <v>4775571.7</v>
      </c>
      <c r="T136" s="94"/>
      <c r="U136" s="95"/>
      <c r="V136" s="96"/>
      <c r="W136" s="95"/>
    </row>
    <row r="137" spans="1:23" ht="43.5" customHeight="1">
      <c r="A137" s="15"/>
      <c r="B137" s="518"/>
      <c r="C137" s="519"/>
      <c r="D137" s="520"/>
      <c r="E137" s="143" t="s">
        <v>71</v>
      </c>
      <c r="F137" s="8"/>
      <c r="G137" s="60">
        <f>G140+G143+G146</f>
        <v>3225.73</v>
      </c>
      <c r="H137" s="60">
        <f>H140+H143+H146</f>
        <v>167608.9308</v>
      </c>
      <c r="I137" s="60"/>
      <c r="J137" s="60">
        <f>J140+J143+J146</f>
        <v>3273.73</v>
      </c>
      <c r="K137" s="60">
        <f>K140+K143+K146</f>
        <v>170103.01080000002</v>
      </c>
      <c r="L137" s="60"/>
      <c r="M137" s="60">
        <f>M140+M143+M146</f>
        <v>3293.73</v>
      </c>
      <c r="N137" s="60">
        <f>N140+N143+N146</f>
        <v>177993.1692</v>
      </c>
      <c r="O137" s="60"/>
      <c r="P137" s="60">
        <f>P140+P143+P146</f>
        <v>3275.73</v>
      </c>
      <c r="Q137" s="60">
        <f>Q140+Q143+Q146</f>
        <v>177020.4492</v>
      </c>
      <c r="R137" s="60">
        <f>G137+J137+M137+P137</f>
        <v>13068.92</v>
      </c>
      <c r="S137" s="60">
        <f>S140+S143+S146</f>
        <v>692725.56</v>
      </c>
      <c r="U137" s="12"/>
      <c r="V137" s="11"/>
      <c r="W137" s="12"/>
    </row>
    <row r="138" spans="1:23" ht="43.5" customHeight="1">
      <c r="A138" s="15"/>
      <c r="B138" s="518"/>
      <c r="C138" s="519"/>
      <c r="D138" s="520"/>
      <c r="E138" s="143" t="s">
        <v>73</v>
      </c>
      <c r="F138" s="8"/>
      <c r="G138" s="60">
        <f>G141+G144+G147</f>
        <v>180.1</v>
      </c>
      <c r="H138" s="60">
        <f>H141+H144+H147</f>
        <v>1016316.9069999999</v>
      </c>
      <c r="I138" s="60"/>
      <c r="J138" s="60">
        <f>J141+J144+J147</f>
        <v>182.1</v>
      </c>
      <c r="K138" s="60">
        <f>K141+K144+K147</f>
        <v>1027603.0469999999</v>
      </c>
      <c r="L138" s="60"/>
      <c r="M138" s="60">
        <f>M141+M144+M147</f>
        <v>176.1</v>
      </c>
      <c r="N138" s="60">
        <f>N141+N144+N147</f>
        <v>1005192.8879999999</v>
      </c>
      <c r="O138" s="60"/>
      <c r="P138" s="60">
        <f>P141+P144+P147</f>
        <v>181.1</v>
      </c>
      <c r="Q138" s="60">
        <f>Q141+Q144+Q147</f>
        <v>1033733.288</v>
      </c>
      <c r="R138" s="60">
        <f>G138+J138+M138+P138</f>
        <v>719.4</v>
      </c>
      <c r="S138" s="60">
        <f>S141+S144+S147</f>
        <v>4082846.14</v>
      </c>
      <c r="U138" s="12"/>
      <c r="V138" s="11"/>
      <c r="W138" s="12"/>
    </row>
    <row r="139" spans="1:23" ht="37.5" customHeight="1">
      <c r="A139" s="15"/>
      <c r="B139" s="422" t="s">
        <v>140</v>
      </c>
      <c r="C139" s="423"/>
      <c r="D139" s="424"/>
      <c r="E139" s="134"/>
      <c r="F139" s="8"/>
      <c r="G139" s="226"/>
      <c r="H139" s="226">
        <f>H140+H141</f>
        <v>18643.89</v>
      </c>
      <c r="I139" s="226"/>
      <c r="J139" s="226"/>
      <c r="K139" s="226">
        <f>K140+K141</f>
        <v>12896.9</v>
      </c>
      <c r="L139" s="226"/>
      <c r="M139" s="226"/>
      <c r="N139" s="226">
        <f>N140+N141</f>
        <v>7383.32</v>
      </c>
      <c r="O139" s="226"/>
      <c r="P139" s="226"/>
      <c r="Q139" s="226">
        <f>Q140+Q141</f>
        <v>18907.559999999998</v>
      </c>
      <c r="R139" s="226"/>
      <c r="S139" s="226">
        <f>S140+S141</f>
        <v>57831.67</v>
      </c>
      <c r="U139" s="12"/>
      <c r="V139" s="11"/>
      <c r="W139" s="12"/>
    </row>
    <row r="140" spans="1:23" ht="42.75" customHeight="1">
      <c r="A140" s="15"/>
      <c r="B140" s="523"/>
      <c r="C140" s="524"/>
      <c r="D140" s="525"/>
      <c r="E140" s="144" t="s">
        <v>71</v>
      </c>
      <c r="F140" s="8"/>
      <c r="G140" s="226">
        <v>33</v>
      </c>
      <c r="H140" s="226">
        <f>G140*H161</f>
        <v>1714.68</v>
      </c>
      <c r="I140" s="226"/>
      <c r="J140" s="226">
        <v>31</v>
      </c>
      <c r="K140" s="226">
        <f>J140*H161</f>
        <v>1610.76</v>
      </c>
      <c r="L140" s="226"/>
      <c r="M140" s="226">
        <v>31</v>
      </c>
      <c r="N140" s="226">
        <f>M140*J161</f>
        <v>1675.24</v>
      </c>
      <c r="O140" s="226"/>
      <c r="P140" s="226">
        <v>33</v>
      </c>
      <c r="Q140" s="226">
        <f>P140*J161</f>
        <v>1783.32</v>
      </c>
      <c r="R140" s="226">
        <f>G140+J140+M140+P140</f>
        <v>128</v>
      </c>
      <c r="S140" s="226">
        <f>H140+K140+N140+Q140</f>
        <v>6784</v>
      </c>
      <c r="U140" s="12"/>
      <c r="V140" s="11"/>
      <c r="W140" s="12"/>
    </row>
    <row r="141" spans="1:23" ht="35.25" customHeight="1">
      <c r="A141" s="15"/>
      <c r="B141" s="523"/>
      <c r="C141" s="524"/>
      <c r="D141" s="525"/>
      <c r="E141" s="144" t="s">
        <v>2</v>
      </c>
      <c r="F141" s="8"/>
      <c r="G141" s="226">
        <v>3</v>
      </c>
      <c r="H141" s="226">
        <f>G141*H163</f>
        <v>16929.21</v>
      </c>
      <c r="I141" s="226"/>
      <c r="J141" s="226">
        <v>2</v>
      </c>
      <c r="K141" s="226">
        <f>J141*H163</f>
        <v>11286.14</v>
      </c>
      <c r="L141" s="226"/>
      <c r="M141" s="226">
        <v>1</v>
      </c>
      <c r="N141" s="226">
        <f>M141*J163</f>
        <v>5708.08</v>
      </c>
      <c r="O141" s="226"/>
      <c r="P141" s="226">
        <v>3</v>
      </c>
      <c r="Q141" s="226">
        <f>P141*J163</f>
        <v>17124.239999999998</v>
      </c>
      <c r="R141" s="226">
        <f>G141+J141+M141+P141</f>
        <v>9</v>
      </c>
      <c r="S141" s="226">
        <f>H141+K141+N141+Q141</f>
        <v>51047.67</v>
      </c>
      <c r="U141" s="12"/>
      <c r="V141" s="11"/>
      <c r="W141" s="12"/>
    </row>
    <row r="142" spans="1:23" ht="33" customHeight="1">
      <c r="A142" s="15"/>
      <c r="B142" s="422" t="s">
        <v>55</v>
      </c>
      <c r="C142" s="423"/>
      <c r="D142" s="424"/>
      <c r="E142" s="134"/>
      <c r="F142" s="8"/>
      <c r="G142" s="226"/>
      <c r="H142" s="226">
        <f>H143+H144</f>
        <v>44697.49</v>
      </c>
      <c r="I142" s="226"/>
      <c r="J142" s="226"/>
      <c r="K142" s="226">
        <f>K143+K144</f>
        <v>64224.7</v>
      </c>
      <c r="L142" s="226"/>
      <c r="M142" s="226"/>
      <c r="N142" s="226">
        <f>N143+N144</f>
        <v>37727.2</v>
      </c>
      <c r="O142" s="226"/>
      <c r="P142" s="226"/>
      <c r="Q142" s="226">
        <f>Q143+Q144</f>
        <v>53770.64</v>
      </c>
      <c r="R142" s="226"/>
      <c r="S142" s="226">
        <f>S143+S144</f>
        <v>200420.02999999997</v>
      </c>
      <c r="U142" s="12"/>
      <c r="V142" s="11"/>
      <c r="W142" s="12"/>
    </row>
    <row r="143" spans="1:23" ht="35.25" customHeight="1">
      <c r="A143" s="15"/>
      <c r="B143" s="523"/>
      <c r="C143" s="524"/>
      <c r="D143" s="525"/>
      <c r="E143" s="144" t="s">
        <v>71</v>
      </c>
      <c r="F143" s="8"/>
      <c r="G143" s="226">
        <v>100</v>
      </c>
      <c r="H143" s="226">
        <f>G143*H161</f>
        <v>5196</v>
      </c>
      <c r="I143" s="226"/>
      <c r="J143" s="226">
        <v>150</v>
      </c>
      <c r="K143" s="226">
        <f>J143*H161</f>
        <v>7794</v>
      </c>
      <c r="L143" s="226"/>
      <c r="M143" s="226">
        <v>170</v>
      </c>
      <c r="N143" s="226">
        <f>M143*J161</f>
        <v>9186.8</v>
      </c>
      <c r="O143" s="226"/>
      <c r="P143" s="226">
        <v>150</v>
      </c>
      <c r="Q143" s="226">
        <f>P143*J161</f>
        <v>8106</v>
      </c>
      <c r="R143" s="226">
        <f>G143+J143+M143+P143</f>
        <v>570</v>
      </c>
      <c r="S143" s="226">
        <f>H143+K143+N143+Q143</f>
        <v>30282.8</v>
      </c>
      <c r="U143" s="12"/>
      <c r="V143" s="11"/>
      <c r="W143" s="12"/>
    </row>
    <row r="144" spans="1:23" ht="33" customHeight="1">
      <c r="A144" s="15"/>
      <c r="B144" s="523"/>
      <c r="C144" s="524"/>
      <c r="D144" s="525"/>
      <c r="E144" s="144" t="s">
        <v>2</v>
      </c>
      <c r="F144" s="8"/>
      <c r="G144" s="226">
        <v>7</v>
      </c>
      <c r="H144" s="226">
        <f>G144*H164</f>
        <v>39501.49</v>
      </c>
      <c r="I144" s="226"/>
      <c r="J144" s="226">
        <v>10</v>
      </c>
      <c r="K144" s="226">
        <f>J144*H164</f>
        <v>56430.7</v>
      </c>
      <c r="L144" s="226"/>
      <c r="M144" s="226">
        <v>5</v>
      </c>
      <c r="N144" s="226">
        <f>M144*J164</f>
        <v>28540.4</v>
      </c>
      <c r="O144" s="226"/>
      <c r="P144" s="226">
        <v>8</v>
      </c>
      <c r="Q144" s="226">
        <f>P144*J164</f>
        <v>45664.64</v>
      </c>
      <c r="R144" s="226">
        <f>G144+J144+M144+P144</f>
        <v>30</v>
      </c>
      <c r="S144" s="226">
        <f>H144+K144+N144+Q144</f>
        <v>170137.22999999998</v>
      </c>
      <c r="U144" s="12"/>
      <c r="V144" s="11"/>
      <c r="W144" s="12"/>
    </row>
    <row r="145" spans="1:23" ht="42.75" customHeight="1">
      <c r="A145" s="15"/>
      <c r="B145" s="399" t="s">
        <v>84</v>
      </c>
      <c r="C145" s="474"/>
      <c r="D145" s="475"/>
      <c r="E145" s="158"/>
      <c r="F145" s="8"/>
      <c r="G145" s="226"/>
      <c r="H145" s="226">
        <f>SUM(H146:H147)</f>
        <v>1120584.4578</v>
      </c>
      <c r="I145" s="226"/>
      <c r="J145" s="226"/>
      <c r="K145" s="226">
        <f>SUM(K146:K147)</f>
        <v>1120584.4578</v>
      </c>
      <c r="L145" s="226"/>
      <c r="M145" s="226"/>
      <c r="N145" s="226">
        <f>SUM(N146:N147)</f>
        <v>1138075.5372</v>
      </c>
      <c r="O145" s="226"/>
      <c r="P145" s="226"/>
      <c r="Q145" s="226">
        <f>SUM(Q146:Q147)</f>
        <v>1138075.5372</v>
      </c>
      <c r="R145" s="226"/>
      <c r="S145" s="226">
        <f>SUM(S146:S147)</f>
        <v>4517320</v>
      </c>
      <c r="U145" s="12"/>
      <c r="V145" s="11"/>
      <c r="W145" s="12"/>
    </row>
    <row r="146" spans="1:23" ht="39" customHeight="1">
      <c r="A146" s="15"/>
      <c r="B146" s="523"/>
      <c r="C146" s="524"/>
      <c r="D146" s="525"/>
      <c r="E146" s="159" t="s">
        <v>71</v>
      </c>
      <c r="F146" s="8"/>
      <c r="G146" s="226">
        <v>3092.73</v>
      </c>
      <c r="H146" s="226">
        <f>SUM(G146)*H161</f>
        <v>160698.2508</v>
      </c>
      <c r="I146" s="226"/>
      <c r="J146" s="226">
        <v>3092.73</v>
      </c>
      <c r="K146" s="226">
        <f>SUM(J146)*H161</f>
        <v>160698.2508</v>
      </c>
      <c r="L146" s="226"/>
      <c r="M146" s="226">
        <v>3092.73</v>
      </c>
      <c r="N146" s="226">
        <f>SUM(M146)*J161</f>
        <v>167131.1292</v>
      </c>
      <c r="O146" s="226"/>
      <c r="P146" s="226">
        <v>3092.73</v>
      </c>
      <c r="Q146" s="226">
        <f>SUM(P146)*J161</f>
        <v>167131.1292</v>
      </c>
      <c r="R146" s="226">
        <f>SUM(G146)+J146+M146+P146</f>
        <v>12370.92</v>
      </c>
      <c r="S146" s="226">
        <f>SUM(H146)+K146+N146+Q146</f>
        <v>655658.76</v>
      </c>
      <c r="U146" s="12"/>
      <c r="V146" s="11"/>
      <c r="W146" s="12"/>
    </row>
    <row r="147" spans="1:23" ht="45" customHeight="1">
      <c r="A147" s="15"/>
      <c r="B147" s="523"/>
      <c r="C147" s="524"/>
      <c r="D147" s="525"/>
      <c r="E147" s="159" t="s">
        <v>2</v>
      </c>
      <c r="F147" s="8"/>
      <c r="G147" s="226">
        <v>170.1</v>
      </c>
      <c r="H147" s="226">
        <f>SUM(G147)*H163</f>
        <v>959886.2069999999</v>
      </c>
      <c r="I147" s="226"/>
      <c r="J147" s="226">
        <v>170.1</v>
      </c>
      <c r="K147" s="226">
        <f>SUM(J147)*H163</f>
        <v>959886.2069999999</v>
      </c>
      <c r="L147" s="226"/>
      <c r="M147" s="226">
        <v>170.1</v>
      </c>
      <c r="N147" s="226">
        <f>SUM(M147)*J163</f>
        <v>970944.4079999999</v>
      </c>
      <c r="O147" s="226"/>
      <c r="P147" s="226">
        <v>170.1</v>
      </c>
      <c r="Q147" s="226">
        <f>SUM(P147)*J163</f>
        <v>970944.4079999999</v>
      </c>
      <c r="R147" s="226">
        <f>SUM(G147)+J147+M147+P147</f>
        <v>680.4</v>
      </c>
      <c r="S147" s="226">
        <v>3861661.24</v>
      </c>
      <c r="U147" s="12"/>
      <c r="V147" s="11"/>
      <c r="W147" s="12"/>
    </row>
    <row r="148" spans="1:23" ht="45" customHeight="1">
      <c r="A148" s="35">
        <v>7</v>
      </c>
      <c r="B148" s="410" t="s">
        <v>85</v>
      </c>
      <c r="C148" s="411"/>
      <c r="D148" s="412"/>
      <c r="E148" s="92" t="s">
        <v>80</v>
      </c>
      <c r="F148" s="8"/>
      <c r="G148" s="281"/>
      <c r="H148" s="281">
        <f>H151+H154</f>
        <v>5346.2381</v>
      </c>
      <c r="I148" s="281"/>
      <c r="J148" s="281"/>
      <c r="K148" s="281">
        <f>K151+K154</f>
        <v>4755.2204</v>
      </c>
      <c r="L148" s="281"/>
      <c r="M148" s="281"/>
      <c r="N148" s="281">
        <f>N151+N154</f>
        <v>5087.2724</v>
      </c>
      <c r="O148" s="281"/>
      <c r="P148" s="281"/>
      <c r="Q148" s="281">
        <f>Q151+Q154</f>
        <v>5483.7972</v>
      </c>
      <c r="R148" s="281"/>
      <c r="S148" s="281">
        <f>S151+S154</f>
        <v>20672.5281</v>
      </c>
      <c r="U148" s="12"/>
      <c r="V148" s="11"/>
      <c r="W148" s="12"/>
    </row>
    <row r="149" spans="1:23" ht="45" customHeight="1">
      <c r="A149" s="35"/>
      <c r="B149" s="213"/>
      <c r="C149" s="214"/>
      <c r="D149" s="215"/>
      <c r="E149" s="219" t="s">
        <v>71</v>
      </c>
      <c r="F149" s="8"/>
      <c r="G149" s="60">
        <f>G152+G155</f>
        <v>12.75</v>
      </c>
      <c r="H149" s="60">
        <f>H152+H155</f>
        <v>662.49</v>
      </c>
      <c r="I149" s="60">
        <f aca="true" t="shared" si="16" ref="I149:Q150">I152+I155</f>
        <v>0</v>
      </c>
      <c r="J149" s="60">
        <f t="shared" si="16"/>
        <v>11.15</v>
      </c>
      <c r="K149" s="60">
        <f t="shared" si="16"/>
        <v>579.354</v>
      </c>
      <c r="L149" s="60">
        <f t="shared" si="16"/>
        <v>0</v>
      </c>
      <c r="M149" s="60">
        <f t="shared" si="16"/>
        <v>11.75</v>
      </c>
      <c r="N149" s="60">
        <f t="shared" si="16"/>
        <v>634.9699999999999</v>
      </c>
      <c r="O149" s="60">
        <f t="shared" si="16"/>
        <v>0</v>
      </c>
      <c r="P149" s="60">
        <f t="shared" si="16"/>
        <v>12.75</v>
      </c>
      <c r="Q149" s="60">
        <f t="shared" si="16"/>
        <v>689.01</v>
      </c>
      <c r="R149" s="60">
        <f aca="true" t="shared" si="17" ref="R149:S156">SUM(G149)+J149+M149+P149</f>
        <v>48.4</v>
      </c>
      <c r="S149" s="60">
        <f>S152+S155</f>
        <v>2565.824</v>
      </c>
      <c r="U149" s="12"/>
      <c r="V149" s="11"/>
      <c r="W149" s="12"/>
    </row>
    <row r="150" spans="1:23" ht="45" customHeight="1">
      <c r="A150" s="35"/>
      <c r="B150" s="213"/>
      <c r="C150" s="214"/>
      <c r="D150" s="215"/>
      <c r="E150" s="219" t="s">
        <v>73</v>
      </c>
      <c r="F150" s="8"/>
      <c r="G150" s="60">
        <f>G153+G156</f>
        <v>0.83</v>
      </c>
      <c r="H150" s="60">
        <f>H153+H156</f>
        <v>4683.7481</v>
      </c>
      <c r="I150" s="60">
        <f t="shared" si="16"/>
        <v>0</v>
      </c>
      <c r="J150" s="60">
        <f t="shared" si="16"/>
        <v>0.74</v>
      </c>
      <c r="K150" s="60">
        <f t="shared" si="16"/>
        <v>4175.8718</v>
      </c>
      <c r="L150" s="60">
        <f t="shared" si="16"/>
        <v>0</v>
      </c>
      <c r="M150" s="60">
        <f t="shared" si="16"/>
        <v>0.78</v>
      </c>
      <c r="N150" s="60">
        <f t="shared" si="16"/>
        <v>4452.3024</v>
      </c>
      <c r="O150" s="60">
        <f t="shared" si="16"/>
        <v>0</v>
      </c>
      <c r="P150" s="60">
        <f t="shared" si="16"/>
        <v>0.84</v>
      </c>
      <c r="Q150" s="60">
        <f t="shared" si="16"/>
        <v>4794.7872</v>
      </c>
      <c r="R150" s="60">
        <f t="shared" si="17"/>
        <v>3.1899999999999995</v>
      </c>
      <c r="S150" s="60">
        <f>S153+S156</f>
        <v>18106.709499999997</v>
      </c>
      <c r="U150" s="12"/>
      <c r="V150" s="11"/>
      <c r="W150" s="12"/>
    </row>
    <row r="151" spans="1:23" ht="45" customHeight="1">
      <c r="A151" s="35"/>
      <c r="B151" s="399" t="s">
        <v>86</v>
      </c>
      <c r="C151" s="474"/>
      <c r="D151" s="475"/>
      <c r="E151" s="220"/>
      <c r="F151" s="8"/>
      <c r="G151" s="226"/>
      <c r="H151" s="226">
        <f>SUM(H152:H153)</f>
        <v>724.6577</v>
      </c>
      <c r="I151" s="226"/>
      <c r="J151" s="226"/>
      <c r="K151" s="226">
        <v>133.64</v>
      </c>
      <c r="L151" s="226"/>
      <c r="M151" s="226"/>
      <c r="N151" s="226">
        <f>SUM(N152:N153)</f>
        <v>396.5248</v>
      </c>
      <c r="O151" s="226"/>
      <c r="P151" s="226"/>
      <c r="Q151" s="226">
        <f>SUM(Q152:Q153)</f>
        <v>793.0496</v>
      </c>
      <c r="R151" s="226"/>
      <c r="S151" s="226">
        <f t="shared" si="17"/>
        <v>2047.8721</v>
      </c>
      <c r="U151" s="12"/>
      <c r="V151" s="11"/>
      <c r="W151" s="12"/>
    </row>
    <row r="152" spans="1:23" ht="45" customHeight="1">
      <c r="A152" s="35"/>
      <c r="B152" s="216"/>
      <c r="C152" s="217"/>
      <c r="D152" s="218"/>
      <c r="E152" s="220" t="s">
        <v>71</v>
      </c>
      <c r="F152" s="8"/>
      <c r="G152" s="226">
        <v>2</v>
      </c>
      <c r="H152" s="226">
        <f>SUM(G152)*H161</f>
        <v>103.92</v>
      </c>
      <c r="I152" s="226"/>
      <c r="J152" s="226">
        <v>0.4</v>
      </c>
      <c r="K152" s="226">
        <f>SUM(J152)*H161</f>
        <v>20.784000000000002</v>
      </c>
      <c r="L152" s="226"/>
      <c r="M152" s="226">
        <v>1</v>
      </c>
      <c r="N152" s="226">
        <f>SUM(M152)*J161</f>
        <v>54.04</v>
      </c>
      <c r="O152" s="226"/>
      <c r="P152" s="226">
        <v>2</v>
      </c>
      <c r="Q152" s="226">
        <f>SUM(P152)*J161</f>
        <v>108.08</v>
      </c>
      <c r="R152" s="226">
        <f t="shared" si="17"/>
        <v>5.4</v>
      </c>
      <c r="S152" s="226">
        <f t="shared" si="17"/>
        <v>286.824</v>
      </c>
      <c r="U152" s="12"/>
      <c r="V152" s="11"/>
      <c r="W152" s="12"/>
    </row>
    <row r="153" spans="1:23" ht="45" customHeight="1">
      <c r="A153" s="35"/>
      <c r="B153" s="216"/>
      <c r="C153" s="217"/>
      <c r="D153" s="218"/>
      <c r="E153" s="220" t="s">
        <v>2</v>
      </c>
      <c r="F153" s="8"/>
      <c r="G153" s="226">
        <v>0.11</v>
      </c>
      <c r="H153" s="226">
        <f>SUM(G153)*H163</f>
        <v>620.7377</v>
      </c>
      <c r="I153" s="226"/>
      <c r="J153" s="226">
        <v>0.02</v>
      </c>
      <c r="K153" s="226">
        <f>SUM(J153)*H163</f>
        <v>112.8614</v>
      </c>
      <c r="L153" s="226"/>
      <c r="M153" s="226">
        <v>0.06</v>
      </c>
      <c r="N153" s="226">
        <f>SUM(M153)*J163</f>
        <v>342.4848</v>
      </c>
      <c r="O153" s="226"/>
      <c r="P153" s="226">
        <v>0.12</v>
      </c>
      <c r="Q153" s="226">
        <f>SUM(P153)*J163</f>
        <v>684.9696</v>
      </c>
      <c r="R153" s="226">
        <f t="shared" si="17"/>
        <v>0.31</v>
      </c>
      <c r="S153" s="226">
        <f t="shared" si="17"/>
        <v>1761.0535</v>
      </c>
      <c r="U153" s="12"/>
      <c r="V153" s="11"/>
      <c r="W153" s="12"/>
    </row>
    <row r="154" spans="1:23" ht="45" customHeight="1">
      <c r="A154" s="35"/>
      <c r="B154" s="399" t="s">
        <v>87</v>
      </c>
      <c r="C154" s="474"/>
      <c r="D154" s="475"/>
      <c r="E154" s="220"/>
      <c r="F154" s="8"/>
      <c r="G154" s="226"/>
      <c r="H154" s="226">
        <f>SUM(H155:H156)</f>
        <v>4621.5804</v>
      </c>
      <c r="I154" s="226"/>
      <c r="J154" s="226"/>
      <c r="K154" s="226">
        <f>SUM(K155:K156)</f>
        <v>4621.5804</v>
      </c>
      <c r="L154" s="226"/>
      <c r="M154" s="226"/>
      <c r="N154" s="226">
        <f>SUM(N155:N156)</f>
        <v>4690.7476</v>
      </c>
      <c r="O154" s="226"/>
      <c r="P154" s="226"/>
      <c r="Q154" s="226">
        <f>SUM(Q155:Q156)</f>
        <v>4690.7476</v>
      </c>
      <c r="R154" s="226"/>
      <c r="S154" s="226">
        <f>SUM(H154)+K154+N154+Q154</f>
        <v>18624.656</v>
      </c>
      <c r="U154" s="12"/>
      <c r="V154" s="11"/>
      <c r="W154" s="12"/>
    </row>
    <row r="155" spans="1:23" ht="45" customHeight="1">
      <c r="A155" s="35"/>
      <c r="B155" s="216"/>
      <c r="C155" s="217"/>
      <c r="D155" s="218"/>
      <c r="E155" s="220" t="s">
        <v>71</v>
      </c>
      <c r="F155" s="8"/>
      <c r="G155" s="226">
        <v>10.75</v>
      </c>
      <c r="H155" s="226">
        <f>SUM(G155)*H161</f>
        <v>558.57</v>
      </c>
      <c r="I155" s="226"/>
      <c r="J155" s="226">
        <v>10.75</v>
      </c>
      <c r="K155" s="226">
        <f>SUM(J155)*H161</f>
        <v>558.57</v>
      </c>
      <c r="L155" s="226"/>
      <c r="M155" s="226">
        <v>10.75</v>
      </c>
      <c r="N155" s="226">
        <f>SUM(M155)*J161</f>
        <v>580.93</v>
      </c>
      <c r="O155" s="226"/>
      <c r="P155" s="226">
        <v>10.75</v>
      </c>
      <c r="Q155" s="226">
        <f>SUM(P155)*J161</f>
        <v>580.93</v>
      </c>
      <c r="R155" s="226">
        <f t="shared" si="17"/>
        <v>43</v>
      </c>
      <c r="S155" s="226">
        <f t="shared" si="17"/>
        <v>2279</v>
      </c>
      <c r="U155" s="12"/>
      <c r="V155" s="11"/>
      <c r="W155" s="12"/>
    </row>
    <row r="156" spans="1:23" ht="45" customHeight="1">
      <c r="A156" s="35"/>
      <c r="B156" s="216"/>
      <c r="C156" s="217"/>
      <c r="D156" s="218"/>
      <c r="E156" s="220" t="s">
        <v>2</v>
      </c>
      <c r="F156" s="8"/>
      <c r="G156" s="226">
        <v>0.72</v>
      </c>
      <c r="H156" s="226">
        <f>SUM(G156)*H163</f>
        <v>4063.0103999999997</v>
      </c>
      <c r="I156" s="226"/>
      <c r="J156" s="226">
        <v>0.72</v>
      </c>
      <c r="K156" s="226">
        <f>SUM(J156)*H163</f>
        <v>4063.0103999999997</v>
      </c>
      <c r="L156" s="226"/>
      <c r="M156" s="226">
        <v>0.72</v>
      </c>
      <c r="N156" s="226">
        <f>SUM(M156)*J163</f>
        <v>4109.817599999999</v>
      </c>
      <c r="O156" s="226"/>
      <c r="P156" s="226">
        <v>0.72</v>
      </c>
      <c r="Q156" s="226">
        <f>SUM(P156)*J163</f>
        <v>4109.817599999999</v>
      </c>
      <c r="R156" s="226">
        <f t="shared" si="17"/>
        <v>2.88</v>
      </c>
      <c r="S156" s="226">
        <f t="shared" si="17"/>
        <v>16345.655999999999</v>
      </c>
      <c r="U156" s="12"/>
      <c r="V156" s="11"/>
      <c r="W156" s="12"/>
    </row>
    <row r="157" spans="1:23" ht="40.5" customHeight="1">
      <c r="A157" s="61"/>
      <c r="B157" s="512" t="s">
        <v>19</v>
      </c>
      <c r="C157" s="512"/>
      <c r="D157" s="512"/>
      <c r="E157" s="140"/>
      <c r="F157" s="15">
        <f>SUM(F70:F110)</f>
        <v>1552.1</v>
      </c>
      <c r="G157" s="60"/>
      <c r="H157" s="62">
        <v>2045390.12</v>
      </c>
      <c r="I157" s="60">
        <f>SUM(I70:I110)</f>
        <v>0</v>
      </c>
      <c r="J157" s="60">
        <f>J70+J73+J94+J109+J121+J136</f>
        <v>0</v>
      </c>
      <c r="K157" s="60">
        <f>K70+K73+K94+K109+K121+K136+K148</f>
        <v>2065787.49772</v>
      </c>
      <c r="L157" s="60">
        <f>SUM(L70:L110)</f>
        <v>0</v>
      </c>
      <c r="M157" s="60">
        <f>M70+M73+M94+M109+M121+M136</f>
        <v>0</v>
      </c>
      <c r="N157" s="60">
        <f>N70+N73+N94+N109+N121+N136+N148</f>
        <v>1893973.1572799997</v>
      </c>
      <c r="O157" s="60">
        <f>SUM(O70:O110)</f>
        <v>0</v>
      </c>
      <c r="P157" s="60">
        <f>P70+P73+P94+P109+P121+P136</f>
        <v>0</v>
      </c>
      <c r="Q157" s="60">
        <v>2167134.93</v>
      </c>
      <c r="R157" s="60">
        <f>R70+R73+R94+R109+R121+R136</f>
        <v>0</v>
      </c>
      <c r="S157" s="60">
        <f>S70+S73+S94+S109+S121+S136+S148</f>
        <v>8172285.71209</v>
      </c>
      <c r="U157" s="12"/>
      <c r="V157" s="12"/>
      <c r="W157" s="12"/>
    </row>
    <row r="158" spans="1:23" ht="40.5" customHeight="1">
      <c r="A158" s="61"/>
      <c r="B158" s="318"/>
      <c r="C158" s="319"/>
      <c r="D158" s="320"/>
      <c r="E158" s="331" t="s">
        <v>71</v>
      </c>
      <c r="F158" s="15"/>
      <c r="G158" s="60">
        <f>G71+G74+G95+G113+G122+G137+G149</f>
        <v>5680.889</v>
      </c>
      <c r="H158" s="62">
        <f>H71+H74+H95+H113+H122+H137+H149</f>
        <v>309226.26785</v>
      </c>
      <c r="I158" s="60"/>
      <c r="J158" s="60">
        <v>5822.46</v>
      </c>
      <c r="K158" s="60">
        <f>K71+K74+K95+K113+K122+K137+K149</f>
        <v>317541.85190000007</v>
      </c>
      <c r="L158" s="60"/>
      <c r="M158" s="60">
        <f>M71+M74+M95+M113+M122+M137+M149</f>
        <v>5381.492</v>
      </c>
      <c r="N158" s="60">
        <f>N71+N74+N95+N113+N122+N137+N149</f>
        <v>304489.76839999994</v>
      </c>
      <c r="O158" s="60"/>
      <c r="P158" s="60">
        <f aca="true" t="shared" si="18" ref="P158:S159">P71+P74+P95+P113+P122+P137+P149</f>
        <v>5907.485</v>
      </c>
      <c r="Q158" s="60">
        <f t="shared" si="18"/>
        <v>334926.87684000004</v>
      </c>
      <c r="R158" s="60">
        <f t="shared" si="18"/>
        <v>22792.333000000002</v>
      </c>
      <c r="S158" s="60">
        <f t="shared" si="18"/>
        <v>1266184.774</v>
      </c>
      <c r="U158" s="12"/>
      <c r="V158" s="12"/>
      <c r="W158" s="12"/>
    </row>
    <row r="159" spans="1:23" ht="40.5" customHeight="1">
      <c r="A159" s="61"/>
      <c r="B159" s="318"/>
      <c r="C159" s="319"/>
      <c r="D159" s="320"/>
      <c r="E159" s="331" t="s">
        <v>2</v>
      </c>
      <c r="F159" s="15"/>
      <c r="G159" s="60">
        <f>G72+G75+G96+G114+G123+G138+G150</f>
        <v>307.66299999999995</v>
      </c>
      <c r="H159" s="62">
        <v>1736163.85</v>
      </c>
      <c r="I159" s="60"/>
      <c r="J159" s="60">
        <f>J72+J75+J96+J114+J123+J138+J150</f>
        <v>309.80400000000003</v>
      </c>
      <c r="K159" s="60">
        <f>K72+K75+K96+K114+K123+K138+K150</f>
        <v>1748245.64745</v>
      </c>
      <c r="L159" s="60"/>
      <c r="M159" s="60">
        <f>M72+M75+M96+M114+M123+M138+M150</f>
        <v>278.462</v>
      </c>
      <c r="N159" s="60">
        <f>N72+N75+N96+N114+N123+N138+N150</f>
        <v>1589483.3903199998</v>
      </c>
      <c r="O159" s="60"/>
      <c r="P159" s="60">
        <f t="shared" si="18"/>
        <v>320.98499999999996</v>
      </c>
      <c r="Q159" s="60">
        <f t="shared" si="18"/>
        <v>1832208.0495999998</v>
      </c>
      <c r="R159" s="60">
        <f t="shared" si="18"/>
        <v>1216.914</v>
      </c>
      <c r="S159" s="60">
        <f t="shared" si="18"/>
        <v>6906100.944019999</v>
      </c>
      <c r="U159" s="12"/>
      <c r="V159" s="12"/>
      <c r="W159" s="12"/>
    </row>
    <row r="160" spans="1:23" ht="68.25" customHeight="1">
      <c r="A160" s="54"/>
      <c r="B160" s="526" t="s">
        <v>8</v>
      </c>
      <c r="C160" s="527"/>
      <c r="D160" s="528"/>
      <c r="E160" s="146"/>
      <c r="F160" s="484" t="s">
        <v>123</v>
      </c>
      <c r="G160" s="484"/>
      <c r="H160" s="484"/>
      <c r="I160" s="484"/>
      <c r="J160" s="484"/>
      <c r="K160" s="484"/>
      <c r="L160" s="484"/>
      <c r="M160" s="484"/>
      <c r="N160" s="484"/>
      <c r="O160" s="484"/>
      <c r="P160" s="484"/>
      <c r="Q160" s="484"/>
      <c r="R160" s="484"/>
      <c r="S160" s="484"/>
      <c r="U160" s="12"/>
      <c r="V160" s="12"/>
      <c r="W160" s="12"/>
    </row>
    <row r="161" spans="1:19" ht="24.75" customHeight="1">
      <c r="A161" s="152"/>
      <c r="B161" s="150"/>
      <c r="C161" s="150"/>
      <c r="D161" s="186"/>
      <c r="E161" s="186"/>
      <c r="F161" s="176" t="s">
        <v>18</v>
      </c>
      <c r="G161" s="176" t="s">
        <v>18</v>
      </c>
      <c r="H161" s="187">
        <v>51.96</v>
      </c>
      <c r="I161" s="187" t="s">
        <v>16</v>
      </c>
      <c r="J161" s="187">
        <v>54.04</v>
      </c>
      <c r="K161" s="188"/>
      <c r="L161" s="188"/>
      <c r="M161" s="188"/>
      <c r="N161" s="188"/>
      <c r="O161" s="40"/>
      <c r="P161" s="40"/>
      <c r="Q161" s="40"/>
      <c r="R161" s="40"/>
      <c r="S161" s="40"/>
    </row>
    <row r="162" spans="1:19" ht="55.5" customHeight="1">
      <c r="A162" s="152"/>
      <c r="B162" s="150"/>
      <c r="C162" s="150"/>
      <c r="D162" s="186"/>
      <c r="E162" s="186"/>
      <c r="F162" s="176" t="s">
        <v>13</v>
      </c>
      <c r="G162" s="176" t="s">
        <v>32</v>
      </c>
      <c r="H162" s="187">
        <v>61.13</v>
      </c>
      <c r="I162" s="187"/>
      <c r="J162" s="187">
        <v>63.58</v>
      </c>
      <c r="K162" s="188"/>
      <c r="L162" s="188"/>
      <c r="M162" s="189" t="s">
        <v>74</v>
      </c>
      <c r="N162" s="188" t="s">
        <v>75</v>
      </c>
      <c r="O162" s="40"/>
      <c r="P162" s="40" t="s">
        <v>13</v>
      </c>
      <c r="Q162" s="40"/>
      <c r="R162" s="40"/>
      <c r="S162" s="40"/>
    </row>
    <row r="163" spans="1:19" ht="24" customHeight="1">
      <c r="A163" s="152"/>
      <c r="B163" s="150"/>
      <c r="C163" s="150"/>
      <c r="D163" s="186"/>
      <c r="E163" s="186"/>
      <c r="F163" s="176"/>
      <c r="G163" s="176"/>
      <c r="H163" s="190">
        <v>5643.07</v>
      </c>
      <c r="I163" s="190"/>
      <c r="J163" s="190">
        <v>5708.08</v>
      </c>
      <c r="K163" s="188"/>
      <c r="L163" s="188"/>
      <c r="M163" s="188" t="s">
        <v>76</v>
      </c>
      <c r="N163" s="188">
        <v>0.06054</v>
      </c>
      <c r="O163" s="40"/>
      <c r="P163" s="40">
        <v>0.05688</v>
      </c>
      <c r="Q163" s="39"/>
      <c r="R163" s="39"/>
      <c r="S163" s="161"/>
    </row>
    <row r="164" spans="1:19" ht="30.75" customHeight="1">
      <c r="A164" s="152"/>
      <c r="B164" s="150"/>
      <c r="C164" s="150"/>
      <c r="D164" s="186"/>
      <c r="E164" s="186"/>
      <c r="F164" s="176"/>
      <c r="G164" s="176"/>
      <c r="H164" s="190">
        <v>5643.07</v>
      </c>
      <c r="I164" s="190"/>
      <c r="J164" s="190">
        <v>5708.08</v>
      </c>
      <c r="K164" s="188"/>
      <c r="L164" s="188"/>
      <c r="M164" s="188" t="s">
        <v>77</v>
      </c>
      <c r="N164" s="188">
        <v>0.06054</v>
      </c>
      <c r="O164" s="40"/>
      <c r="P164" s="40">
        <v>0.05688</v>
      </c>
      <c r="Q164" s="557"/>
      <c r="R164" s="557"/>
      <c r="S164" s="557"/>
    </row>
    <row r="165" spans="1:19" ht="15" customHeight="1">
      <c r="A165" s="152"/>
      <c r="B165" s="150"/>
      <c r="C165" s="150"/>
      <c r="D165" s="186"/>
      <c r="E165" s="186"/>
      <c r="F165" s="176"/>
      <c r="G165" s="176"/>
      <c r="H165" s="190"/>
      <c r="I165" s="190"/>
      <c r="J165" s="190"/>
      <c r="K165" s="188"/>
      <c r="L165" s="188"/>
      <c r="M165" s="188"/>
      <c r="N165" s="188"/>
      <c r="O165" s="40"/>
      <c r="P165" s="40"/>
      <c r="Q165" s="557"/>
      <c r="R165" s="557"/>
      <c r="S165" s="557"/>
    </row>
    <row r="166" spans="1:19" ht="13.5" customHeight="1">
      <c r="A166" s="152"/>
      <c r="B166" s="150"/>
      <c r="C166" s="150"/>
      <c r="D166" s="186"/>
      <c r="E166" s="186"/>
      <c r="F166" s="176"/>
      <c r="G166" s="176"/>
      <c r="H166" s="176"/>
      <c r="I166" s="176"/>
      <c r="J166" s="176"/>
      <c r="K166" s="188"/>
      <c r="L166" s="188"/>
      <c r="M166" s="188"/>
      <c r="N166" s="188"/>
      <c r="O166" s="40"/>
      <c r="P166" s="40"/>
      <c r="Q166" s="557"/>
      <c r="R166" s="557"/>
      <c r="S166" s="557"/>
    </row>
    <row r="167" spans="1:19" ht="15.75" customHeight="1">
      <c r="A167" s="152"/>
      <c r="B167" s="150"/>
      <c r="C167" s="150"/>
      <c r="D167" s="186"/>
      <c r="E167" s="186"/>
      <c r="F167" s="176"/>
      <c r="G167" s="176"/>
      <c r="H167" s="176"/>
      <c r="I167" s="176"/>
      <c r="J167" s="176"/>
      <c r="K167" s="188"/>
      <c r="L167" s="188"/>
      <c r="M167" s="188"/>
      <c r="N167" s="188"/>
      <c r="O167" s="40"/>
      <c r="P167" s="40"/>
      <c r="Q167" s="40"/>
      <c r="R167" s="40"/>
      <c r="S167" s="40"/>
    </row>
    <row r="168" spans="1:23" ht="26.25" customHeight="1" hidden="1">
      <c r="A168" s="566" t="s">
        <v>63</v>
      </c>
      <c r="B168" s="566"/>
      <c r="C168" s="566"/>
      <c r="D168" s="566"/>
      <c r="E168" s="566"/>
      <c r="F168" s="566"/>
      <c r="G168" s="566"/>
      <c r="H168" s="566"/>
      <c r="I168" s="566"/>
      <c r="J168" s="566"/>
      <c r="K168" s="566"/>
      <c r="L168" s="566"/>
      <c r="M168" s="566"/>
      <c r="N168" s="566"/>
      <c r="O168" s="566"/>
      <c r="P168" s="566"/>
      <c r="Q168" s="566"/>
      <c r="R168" s="566"/>
      <c r="S168" s="566"/>
      <c r="U168" s="12"/>
      <c r="V168" s="12"/>
      <c r="W168" s="12"/>
    </row>
    <row r="169" spans="1:19" ht="35.25" hidden="1">
      <c r="A169" s="484" t="s">
        <v>15</v>
      </c>
      <c r="B169" s="485" t="s">
        <v>0</v>
      </c>
      <c r="C169" s="486"/>
      <c r="D169" s="487"/>
      <c r="E169" s="128"/>
      <c r="F169" s="409" t="s">
        <v>1</v>
      </c>
      <c r="G169" s="409"/>
      <c r="H169" s="409"/>
      <c r="I169" s="409" t="s">
        <v>3</v>
      </c>
      <c r="J169" s="409"/>
      <c r="K169" s="409"/>
      <c r="L169" s="409" t="s">
        <v>4</v>
      </c>
      <c r="M169" s="409"/>
      <c r="N169" s="409"/>
      <c r="O169" s="409" t="s">
        <v>6</v>
      </c>
      <c r="P169" s="409"/>
      <c r="Q169" s="409"/>
      <c r="R169" s="409" t="s">
        <v>7</v>
      </c>
      <c r="S169" s="409"/>
    </row>
    <row r="170" spans="1:19" ht="35.25" hidden="1">
      <c r="A170" s="484"/>
      <c r="B170" s="488"/>
      <c r="C170" s="489"/>
      <c r="D170" s="490"/>
      <c r="E170" s="63"/>
      <c r="G170" s="125" t="s">
        <v>10</v>
      </c>
      <c r="H170" s="125" t="s">
        <v>5</v>
      </c>
      <c r="I170" s="125" t="s">
        <v>10</v>
      </c>
      <c r="J170" s="125" t="s">
        <v>10</v>
      </c>
      <c r="K170" s="125" t="s">
        <v>5</v>
      </c>
      <c r="L170" s="125" t="s">
        <v>10</v>
      </c>
      <c r="M170" s="125" t="s">
        <v>10</v>
      </c>
      <c r="N170" s="125" t="s">
        <v>5</v>
      </c>
      <c r="O170" s="125" t="s">
        <v>10</v>
      </c>
      <c r="P170" s="125" t="s">
        <v>10</v>
      </c>
      <c r="Q170" s="125" t="s">
        <v>5</v>
      </c>
      <c r="R170" s="125" t="s">
        <v>10</v>
      </c>
      <c r="S170" s="125" t="s">
        <v>5</v>
      </c>
    </row>
    <row r="171" spans="1:22" ht="32.25" customHeight="1" hidden="1">
      <c r="A171" s="15">
        <v>1</v>
      </c>
      <c r="B171" s="496" t="s">
        <v>33</v>
      </c>
      <c r="C171" s="497"/>
      <c r="D171" s="498"/>
      <c r="E171" s="133"/>
      <c r="F171" s="15">
        <v>14.8</v>
      </c>
      <c r="G171" s="9">
        <v>3.3</v>
      </c>
      <c r="H171" s="9">
        <f>G171*J194</f>
        <v>97.152</v>
      </c>
      <c r="I171" s="9">
        <v>14.8</v>
      </c>
      <c r="J171" s="9">
        <v>3.3</v>
      </c>
      <c r="K171" s="9">
        <f>J171*J194</f>
        <v>97.152</v>
      </c>
      <c r="L171" s="9">
        <v>15</v>
      </c>
      <c r="M171" s="9">
        <v>3.4</v>
      </c>
      <c r="N171" s="9">
        <f>M171*J194</f>
        <v>100.096</v>
      </c>
      <c r="O171" s="9">
        <v>15</v>
      </c>
      <c r="P171" s="9">
        <v>3.3</v>
      </c>
      <c r="Q171" s="9">
        <f>P171*J194</f>
        <v>97.152</v>
      </c>
      <c r="R171" s="9">
        <f>G171+J171+M171+P171</f>
        <v>13.3</v>
      </c>
      <c r="S171" s="9">
        <f>H171+K171+N171+Q171</f>
        <v>391.55199999999996</v>
      </c>
      <c r="T171" s="67" t="s">
        <v>21</v>
      </c>
      <c r="U171" s="13"/>
      <c r="V171" s="13"/>
    </row>
    <row r="172" spans="1:22" ht="32.25" customHeight="1" hidden="1">
      <c r="A172" s="15">
        <v>2</v>
      </c>
      <c r="B172" s="496" t="s">
        <v>41</v>
      </c>
      <c r="C172" s="497"/>
      <c r="D172" s="498"/>
      <c r="E172" s="133"/>
      <c r="F172" s="8"/>
      <c r="G172" s="9">
        <f>G173+G174+G175+G176+G177+G178</f>
        <v>4062.7</v>
      </c>
      <c r="H172" s="9">
        <f>H173+H174+H175+H176+H177+H178</f>
        <v>130684.578</v>
      </c>
      <c r="I172" s="9"/>
      <c r="J172" s="9">
        <f>J173+J174+J175+J176+J177+J178</f>
        <v>3746</v>
      </c>
      <c r="K172" s="9">
        <f>K173+K174+K175+K176+K177+K178</f>
        <v>121933.6</v>
      </c>
      <c r="L172" s="9"/>
      <c r="M172" s="9">
        <f>M173+M174+M175+M176+M177+M178</f>
        <v>3920.1</v>
      </c>
      <c r="N172" s="9">
        <f>N173+N174+N175+N176+N177+N178</f>
        <v>126797.51400000001</v>
      </c>
      <c r="O172" s="9"/>
      <c r="P172" s="9">
        <f>P173+P174+P175+P176+P177+P178</f>
        <v>3955.8</v>
      </c>
      <c r="Q172" s="9">
        <f>Q173+Q174+Q175+Q176+Q177+Q178</f>
        <v>128166.672</v>
      </c>
      <c r="R172" s="9">
        <f>R173+R174+R175+R176+R177+R178</f>
        <v>15684.6</v>
      </c>
      <c r="S172" s="9">
        <f>S173+S174+S175+S176+S177+S178</f>
        <v>507582.364</v>
      </c>
      <c r="U172" s="13"/>
      <c r="V172" s="13"/>
    </row>
    <row r="173" spans="1:22" ht="25.5" customHeight="1" hidden="1">
      <c r="A173" s="15"/>
      <c r="B173" s="422" t="s">
        <v>34</v>
      </c>
      <c r="C173" s="423"/>
      <c r="D173" s="424"/>
      <c r="E173" s="134"/>
      <c r="F173" s="8">
        <v>3068.8</v>
      </c>
      <c r="G173" s="16">
        <v>520</v>
      </c>
      <c r="H173" s="16">
        <f>G173*J194</f>
        <v>15308.800000000001</v>
      </c>
      <c r="I173" s="16">
        <v>2511</v>
      </c>
      <c r="J173" s="16">
        <v>185</v>
      </c>
      <c r="K173" s="16">
        <f>J173*J194</f>
        <v>5446.400000000001</v>
      </c>
      <c r="L173" s="16">
        <v>2511</v>
      </c>
      <c r="M173" s="16">
        <v>590</v>
      </c>
      <c r="N173" s="16">
        <f>M173*J194</f>
        <v>17369.600000000002</v>
      </c>
      <c r="O173" s="16">
        <v>2511</v>
      </c>
      <c r="P173" s="16">
        <v>342</v>
      </c>
      <c r="Q173" s="16">
        <f>P173*J194</f>
        <v>10068.48</v>
      </c>
      <c r="R173" s="16">
        <f aca="true" t="shared" si="19" ref="R173:S179">G173+J173+M173+P173</f>
        <v>1637</v>
      </c>
      <c r="S173" s="16">
        <f t="shared" si="19"/>
        <v>48193.28</v>
      </c>
      <c r="T173" s="67" t="s">
        <v>21</v>
      </c>
      <c r="U173" s="13"/>
      <c r="V173" s="13"/>
    </row>
    <row r="174" spans="1:22" ht="27.75" customHeight="1" hidden="1">
      <c r="A174" s="31"/>
      <c r="B174" s="508" t="s">
        <v>35</v>
      </c>
      <c r="C174" s="509"/>
      <c r="D174" s="510"/>
      <c r="E174" s="138"/>
      <c r="F174" s="50">
        <v>609</v>
      </c>
      <c r="G174" s="34">
        <v>516</v>
      </c>
      <c r="H174" s="34">
        <f>G174*J194</f>
        <v>15191.04</v>
      </c>
      <c r="I174" s="34">
        <v>609</v>
      </c>
      <c r="J174" s="34">
        <v>516</v>
      </c>
      <c r="K174" s="34">
        <f>J174*J194</f>
        <v>15191.04</v>
      </c>
      <c r="L174" s="34">
        <v>609</v>
      </c>
      <c r="M174" s="34">
        <v>516</v>
      </c>
      <c r="N174" s="34">
        <f>M174*J194</f>
        <v>15191.04</v>
      </c>
      <c r="O174" s="34">
        <v>609</v>
      </c>
      <c r="P174" s="34">
        <v>516</v>
      </c>
      <c r="Q174" s="34">
        <f>P174*J194</f>
        <v>15191.04</v>
      </c>
      <c r="R174" s="34">
        <f t="shared" si="19"/>
        <v>2064</v>
      </c>
      <c r="S174" s="34">
        <f t="shared" si="19"/>
        <v>60764.16</v>
      </c>
      <c r="T174" s="67" t="s">
        <v>21</v>
      </c>
      <c r="U174" s="13"/>
      <c r="V174" s="13"/>
    </row>
    <row r="175" spans="1:22" ht="26.25" customHeight="1" hidden="1">
      <c r="A175" s="15"/>
      <c r="B175" s="422" t="s">
        <v>36</v>
      </c>
      <c r="C175" s="423"/>
      <c r="D175" s="424"/>
      <c r="E175" s="134"/>
      <c r="F175" s="8">
        <v>725.1</v>
      </c>
      <c r="G175" s="16">
        <v>616</v>
      </c>
      <c r="H175" s="16">
        <f>G175*J195</f>
        <v>22490.16</v>
      </c>
      <c r="I175" s="16">
        <v>885.2</v>
      </c>
      <c r="J175" s="16">
        <v>752</v>
      </c>
      <c r="K175" s="16">
        <f>J175*J195</f>
        <v>27455.519999999997</v>
      </c>
      <c r="L175" s="16">
        <v>727.3</v>
      </c>
      <c r="M175" s="16">
        <v>618</v>
      </c>
      <c r="N175" s="16">
        <f>M175*J195</f>
        <v>22563.18</v>
      </c>
      <c r="O175" s="16">
        <v>892.61</v>
      </c>
      <c r="P175" s="16">
        <v>759</v>
      </c>
      <c r="Q175" s="16">
        <f>P175*J195</f>
        <v>27711.09</v>
      </c>
      <c r="R175" s="16">
        <f t="shared" si="19"/>
        <v>2745</v>
      </c>
      <c r="S175" s="16">
        <f t="shared" si="19"/>
        <v>100219.94999999998</v>
      </c>
      <c r="T175" s="67" t="s">
        <v>21</v>
      </c>
      <c r="U175" s="13"/>
      <c r="V175" s="13"/>
    </row>
    <row r="176" spans="1:22" ht="24" customHeight="1" hidden="1">
      <c r="A176" s="15"/>
      <c r="B176" s="511" t="s">
        <v>37</v>
      </c>
      <c r="C176" s="511"/>
      <c r="D176" s="511"/>
      <c r="E176" s="139"/>
      <c r="F176" s="8">
        <v>1639</v>
      </c>
      <c r="G176" s="16">
        <v>951</v>
      </c>
      <c r="H176" s="16">
        <f>G176*J195</f>
        <v>34721.009999999995</v>
      </c>
      <c r="I176" s="16">
        <v>1584</v>
      </c>
      <c r="J176" s="16">
        <v>896</v>
      </c>
      <c r="K176" s="16">
        <f>J176*J195</f>
        <v>32712.96</v>
      </c>
      <c r="L176" s="16">
        <v>1344</v>
      </c>
      <c r="M176" s="16">
        <v>993</v>
      </c>
      <c r="N176" s="16">
        <f>M176*J195</f>
        <v>36254.43</v>
      </c>
      <c r="O176" s="16">
        <v>1639</v>
      </c>
      <c r="P176" s="16">
        <v>897</v>
      </c>
      <c r="Q176" s="16">
        <f>P176*J195</f>
        <v>32749.469999999998</v>
      </c>
      <c r="R176" s="16">
        <f t="shared" si="19"/>
        <v>3737</v>
      </c>
      <c r="S176" s="16">
        <f t="shared" si="19"/>
        <v>136437.87</v>
      </c>
      <c r="T176" s="67" t="s">
        <v>21</v>
      </c>
      <c r="U176" s="13"/>
      <c r="V176" s="13"/>
    </row>
    <row r="177" spans="1:22" ht="24.75" customHeight="1" hidden="1">
      <c r="A177" s="15"/>
      <c r="B177" s="511" t="s">
        <v>38</v>
      </c>
      <c r="C177" s="511"/>
      <c r="D177" s="511"/>
      <c r="E177" s="139"/>
      <c r="F177" s="8">
        <v>53.7</v>
      </c>
      <c r="G177" s="16">
        <v>1393</v>
      </c>
      <c r="H177" s="16">
        <f>G177*J194</f>
        <v>41009.92</v>
      </c>
      <c r="I177" s="16">
        <v>43.6</v>
      </c>
      <c r="J177" s="16">
        <v>1346</v>
      </c>
      <c r="K177" s="16">
        <f>J177*J194</f>
        <v>39626.240000000005</v>
      </c>
      <c r="L177" s="16">
        <v>43.8</v>
      </c>
      <c r="M177" s="16">
        <v>1142</v>
      </c>
      <c r="N177" s="16">
        <f>M177*J194</f>
        <v>33620.48</v>
      </c>
      <c r="O177" s="16">
        <v>43.8</v>
      </c>
      <c r="P177" s="16">
        <v>1393</v>
      </c>
      <c r="Q177" s="16">
        <f>P177*J194</f>
        <v>41009.92</v>
      </c>
      <c r="R177" s="16">
        <f t="shared" si="19"/>
        <v>5274</v>
      </c>
      <c r="S177" s="16">
        <f t="shared" si="19"/>
        <v>155266.56</v>
      </c>
      <c r="T177" s="67" t="s">
        <v>21</v>
      </c>
      <c r="U177" s="13"/>
      <c r="V177" s="13"/>
    </row>
    <row r="178" spans="1:22" ht="54.75" customHeight="1" hidden="1">
      <c r="A178" s="15"/>
      <c r="B178" s="511" t="s">
        <v>39</v>
      </c>
      <c r="C178" s="511"/>
      <c r="D178" s="511"/>
      <c r="E178" s="139"/>
      <c r="F178" s="8">
        <v>51</v>
      </c>
      <c r="G178" s="16">
        <v>66.7</v>
      </c>
      <c r="H178" s="16">
        <f>G178*J194</f>
        <v>1963.6480000000001</v>
      </c>
      <c r="I178" s="16">
        <v>48</v>
      </c>
      <c r="J178" s="16">
        <v>51</v>
      </c>
      <c r="K178" s="16">
        <f>J178*J194</f>
        <v>1501.44</v>
      </c>
      <c r="L178" s="16">
        <v>48</v>
      </c>
      <c r="M178" s="16">
        <v>61.1</v>
      </c>
      <c r="N178" s="16">
        <f>M178*J194</f>
        <v>1798.784</v>
      </c>
      <c r="O178" s="16">
        <v>51</v>
      </c>
      <c r="P178" s="16">
        <v>48.8</v>
      </c>
      <c r="Q178" s="16">
        <f>P178*J194</f>
        <v>1436.672</v>
      </c>
      <c r="R178" s="16">
        <f t="shared" si="19"/>
        <v>227.60000000000002</v>
      </c>
      <c r="S178" s="16">
        <f t="shared" si="19"/>
        <v>6700.544</v>
      </c>
      <c r="T178" s="67" t="s">
        <v>21</v>
      </c>
      <c r="U178" s="13"/>
      <c r="V178" s="13"/>
    </row>
    <row r="179" spans="1:22" ht="24" customHeight="1" hidden="1">
      <c r="A179" s="15">
        <v>3</v>
      </c>
      <c r="B179" s="496" t="s">
        <v>42</v>
      </c>
      <c r="C179" s="497"/>
      <c r="D179" s="498"/>
      <c r="E179" s="133"/>
      <c r="F179" s="8">
        <v>76.86</v>
      </c>
      <c r="G179" s="9">
        <v>201</v>
      </c>
      <c r="H179" s="9">
        <f>G179*J194</f>
        <v>5917.4400000000005</v>
      </c>
      <c r="I179" s="9">
        <v>76.86</v>
      </c>
      <c r="J179" s="9">
        <v>201</v>
      </c>
      <c r="K179" s="9">
        <f>J179*J194</f>
        <v>5917.4400000000005</v>
      </c>
      <c r="L179" s="9">
        <v>76.86</v>
      </c>
      <c r="M179" s="9">
        <v>201</v>
      </c>
      <c r="N179" s="9">
        <f>M179*J194</f>
        <v>5917.4400000000005</v>
      </c>
      <c r="O179" s="9">
        <v>76.86</v>
      </c>
      <c r="P179" s="9">
        <v>201</v>
      </c>
      <c r="Q179" s="9">
        <f>P179*J194</f>
        <v>5917.4400000000005</v>
      </c>
      <c r="R179" s="9">
        <f t="shared" si="19"/>
        <v>804</v>
      </c>
      <c r="S179" s="9">
        <f t="shared" si="19"/>
        <v>23669.760000000002</v>
      </c>
      <c r="T179" s="67" t="s">
        <v>21</v>
      </c>
      <c r="U179" s="13"/>
      <c r="V179" s="13"/>
    </row>
    <row r="180" spans="1:22" ht="30.75" customHeight="1" hidden="1">
      <c r="A180" s="15">
        <v>4</v>
      </c>
      <c r="B180" s="496" t="s">
        <v>43</v>
      </c>
      <c r="C180" s="497"/>
      <c r="D180" s="498"/>
      <c r="E180" s="133"/>
      <c r="F180" s="8">
        <v>172</v>
      </c>
      <c r="G180" s="9">
        <f>G181</f>
        <v>23.4</v>
      </c>
      <c r="H180" s="9">
        <f>H181</f>
        <v>688.896</v>
      </c>
      <c r="I180" s="9"/>
      <c r="J180" s="9">
        <f>J181</f>
        <v>23.4</v>
      </c>
      <c r="K180" s="9">
        <f>K181</f>
        <v>688.896</v>
      </c>
      <c r="L180" s="9"/>
      <c r="M180" s="9">
        <f>M181</f>
        <v>23.4</v>
      </c>
      <c r="N180" s="9">
        <f>N181</f>
        <v>688.896</v>
      </c>
      <c r="O180" s="9"/>
      <c r="P180" s="9">
        <f>P181</f>
        <v>23.1</v>
      </c>
      <c r="Q180" s="9">
        <f>Q181</f>
        <v>680.0640000000001</v>
      </c>
      <c r="R180" s="9">
        <f>R181</f>
        <v>93.29999999999998</v>
      </c>
      <c r="S180" s="9">
        <f>S181</f>
        <v>2746.7520000000004</v>
      </c>
      <c r="T180" s="67" t="s">
        <v>21</v>
      </c>
      <c r="U180" s="13"/>
      <c r="V180" s="13"/>
    </row>
    <row r="181" spans="1:22" ht="30.75" customHeight="1" hidden="1">
      <c r="A181" s="15"/>
      <c r="B181" s="422" t="s">
        <v>44</v>
      </c>
      <c r="C181" s="423"/>
      <c r="D181" s="424"/>
      <c r="E181" s="134"/>
      <c r="F181" s="8"/>
      <c r="G181" s="16">
        <v>23.4</v>
      </c>
      <c r="H181" s="16">
        <f>G181*J194</f>
        <v>688.896</v>
      </c>
      <c r="I181" s="16"/>
      <c r="J181" s="16">
        <v>23.4</v>
      </c>
      <c r="K181" s="16">
        <f>J181*J194</f>
        <v>688.896</v>
      </c>
      <c r="L181" s="16"/>
      <c r="M181" s="16">
        <v>23.4</v>
      </c>
      <c r="N181" s="16">
        <f>M181*J194</f>
        <v>688.896</v>
      </c>
      <c r="O181" s="16"/>
      <c r="P181" s="16">
        <v>23.1</v>
      </c>
      <c r="Q181" s="16">
        <f>P181*J194</f>
        <v>680.0640000000001</v>
      </c>
      <c r="R181" s="16">
        <f>G181+J181+M181+P181</f>
        <v>93.29999999999998</v>
      </c>
      <c r="S181" s="16">
        <f>H181+K181+N181+Q181</f>
        <v>2746.7520000000004</v>
      </c>
      <c r="U181" s="13"/>
      <c r="V181" s="13"/>
    </row>
    <row r="182" spans="1:22" ht="30.75" customHeight="1" hidden="1">
      <c r="A182" s="15">
        <v>5</v>
      </c>
      <c r="B182" s="496" t="s">
        <v>47</v>
      </c>
      <c r="C182" s="497"/>
      <c r="D182" s="498"/>
      <c r="E182" s="133"/>
      <c r="F182" s="8"/>
      <c r="G182" s="9">
        <f>G183+G184+G185+G186+G187+G188</f>
        <v>127.91</v>
      </c>
      <c r="H182" s="9">
        <f>H183+H184+H185+H186+H187+H188</f>
        <v>3854.7524000000003</v>
      </c>
      <c r="I182" s="9"/>
      <c r="J182" s="9">
        <f>J183+J184+J185+J187+J188+J186</f>
        <v>122.46000000000001</v>
      </c>
      <c r="K182" s="9">
        <f>K183+K184+K185+K186+K187+K188</f>
        <v>3672.3874</v>
      </c>
      <c r="L182" s="9"/>
      <c r="M182" s="9">
        <f>M183+M184+M185+M186+M187+M188</f>
        <v>110.28999999999999</v>
      </c>
      <c r="N182" s="9">
        <f>N183+N184+N185+N186+N187+N188</f>
        <v>3314.1026</v>
      </c>
      <c r="O182" s="9"/>
      <c r="P182" s="9">
        <f>P183+P184+P185+P186+P187+P188</f>
        <v>122.81</v>
      </c>
      <c r="Q182" s="9">
        <f>Q183+Q184+Q185+Q186+Q187+Q188</f>
        <v>3701.0734</v>
      </c>
      <c r="R182" s="9">
        <f>R183+R184+R185+R186+R187+R188</f>
        <v>483.46999999999997</v>
      </c>
      <c r="S182" s="9">
        <f>S183+S184+S185+S186+S187+S188</f>
        <v>14542.3158</v>
      </c>
      <c r="U182" s="13"/>
      <c r="V182" s="13"/>
    </row>
    <row r="183" spans="1:22" ht="30.75" customHeight="1" hidden="1">
      <c r="A183" s="15"/>
      <c r="B183" s="422" t="s">
        <v>48</v>
      </c>
      <c r="C183" s="423"/>
      <c r="D183" s="424"/>
      <c r="E183" s="134"/>
      <c r="F183" s="8"/>
      <c r="G183" s="16">
        <v>7.71</v>
      </c>
      <c r="H183" s="16">
        <f>G183*J194</f>
        <v>226.9824</v>
      </c>
      <c r="I183" s="16"/>
      <c r="J183" s="16">
        <v>6.36</v>
      </c>
      <c r="K183" s="16">
        <f>J183*J194</f>
        <v>187.2384</v>
      </c>
      <c r="L183" s="16"/>
      <c r="M183" s="16">
        <v>3.69</v>
      </c>
      <c r="N183" s="16">
        <f>M183*J194</f>
        <v>108.6336</v>
      </c>
      <c r="O183" s="16"/>
      <c r="P183" s="16">
        <v>6.11</v>
      </c>
      <c r="Q183" s="16">
        <f>P183*J194</f>
        <v>179.87840000000003</v>
      </c>
      <c r="R183" s="16">
        <f aca="true" t="shared" si="20" ref="R183:S188">G183+J183+M183+P183</f>
        <v>23.87</v>
      </c>
      <c r="S183" s="16">
        <f t="shared" si="20"/>
        <v>702.7328000000001</v>
      </c>
      <c r="U183" s="13"/>
      <c r="V183" s="13"/>
    </row>
    <row r="184" spans="1:22" ht="30.75" customHeight="1" hidden="1">
      <c r="A184" s="15"/>
      <c r="B184" s="422" t="s">
        <v>49</v>
      </c>
      <c r="C184" s="423"/>
      <c r="D184" s="424"/>
      <c r="E184" s="134"/>
      <c r="F184" s="8"/>
      <c r="G184" s="16">
        <v>40</v>
      </c>
      <c r="H184" s="16">
        <f>G184*J194</f>
        <v>1177.6000000000001</v>
      </c>
      <c r="I184" s="16"/>
      <c r="J184" s="16">
        <v>40</v>
      </c>
      <c r="K184" s="16">
        <f>J184*J194</f>
        <v>1177.6000000000001</v>
      </c>
      <c r="L184" s="16"/>
      <c r="M184" s="16">
        <v>40</v>
      </c>
      <c r="N184" s="16">
        <f>M184*J194</f>
        <v>1177.6000000000001</v>
      </c>
      <c r="O184" s="16"/>
      <c r="P184" s="16">
        <v>40</v>
      </c>
      <c r="Q184" s="16">
        <f>P184*J194</f>
        <v>1177.6000000000001</v>
      </c>
      <c r="R184" s="16">
        <f t="shared" si="20"/>
        <v>160</v>
      </c>
      <c r="S184" s="16">
        <f t="shared" si="20"/>
        <v>4710.400000000001</v>
      </c>
      <c r="U184" s="13"/>
      <c r="V184" s="13"/>
    </row>
    <row r="185" spans="1:22" ht="30.75" customHeight="1" hidden="1">
      <c r="A185" s="15"/>
      <c r="B185" s="422" t="s">
        <v>50</v>
      </c>
      <c r="C185" s="423"/>
      <c r="D185" s="424"/>
      <c r="E185" s="134"/>
      <c r="F185" s="8"/>
      <c r="G185" s="16">
        <v>27.6</v>
      </c>
      <c r="H185" s="36">
        <f>G185*J194</f>
        <v>812.5440000000001</v>
      </c>
      <c r="I185" s="16"/>
      <c r="J185" s="16">
        <v>27.6</v>
      </c>
      <c r="K185" s="16">
        <f>J185*J194</f>
        <v>812.5440000000001</v>
      </c>
      <c r="L185" s="16"/>
      <c r="M185" s="16">
        <v>27.6</v>
      </c>
      <c r="N185" s="16">
        <f>M185*J194</f>
        <v>812.5440000000001</v>
      </c>
      <c r="O185" s="16"/>
      <c r="P185" s="16">
        <v>27.6</v>
      </c>
      <c r="Q185" s="16">
        <f>P185*J194</f>
        <v>812.5440000000001</v>
      </c>
      <c r="R185" s="16">
        <f t="shared" si="20"/>
        <v>110.4</v>
      </c>
      <c r="S185" s="16">
        <f t="shared" si="20"/>
        <v>3250.1760000000004</v>
      </c>
      <c r="U185" s="13"/>
      <c r="V185" s="13"/>
    </row>
    <row r="186" spans="1:22" ht="30.75" customHeight="1" hidden="1">
      <c r="A186" s="15"/>
      <c r="B186" s="511" t="s">
        <v>40</v>
      </c>
      <c r="C186" s="511"/>
      <c r="D186" s="511"/>
      <c r="E186" s="139"/>
      <c r="F186" s="8"/>
      <c r="G186" s="16">
        <v>40</v>
      </c>
      <c r="H186" s="16">
        <f>G186*J194</f>
        <v>1177.6000000000001</v>
      </c>
      <c r="I186" s="16"/>
      <c r="J186" s="16">
        <v>39</v>
      </c>
      <c r="K186" s="16">
        <f>J186*J194</f>
        <v>1148.16</v>
      </c>
      <c r="L186" s="16"/>
      <c r="M186" s="16">
        <v>29.5</v>
      </c>
      <c r="N186" s="16">
        <f>M186*J194</f>
        <v>868.48</v>
      </c>
      <c r="O186" s="16"/>
      <c r="P186" s="16">
        <v>37</v>
      </c>
      <c r="Q186" s="16">
        <f>P186*J194</f>
        <v>1089.28</v>
      </c>
      <c r="R186" s="16">
        <f t="shared" si="20"/>
        <v>145.5</v>
      </c>
      <c r="S186" s="16">
        <f t="shared" si="20"/>
        <v>4283.52</v>
      </c>
      <c r="U186" s="13"/>
      <c r="V186" s="13"/>
    </row>
    <row r="187" spans="1:22" ht="30.75" customHeight="1" hidden="1">
      <c r="A187" s="15"/>
      <c r="B187" s="511" t="s">
        <v>51</v>
      </c>
      <c r="C187" s="511"/>
      <c r="D187" s="511"/>
      <c r="E187" s="139"/>
      <c r="F187" s="8"/>
      <c r="G187" s="16">
        <v>4.6</v>
      </c>
      <c r="H187" s="16">
        <f>G187*J195</f>
        <v>167.94599999999997</v>
      </c>
      <c r="I187" s="16"/>
      <c r="J187" s="16">
        <v>1.5</v>
      </c>
      <c r="K187" s="16">
        <f>J187*J195</f>
        <v>54.765</v>
      </c>
      <c r="L187" s="16"/>
      <c r="M187" s="16">
        <v>1.5</v>
      </c>
      <c r="N187" s="16">
        <f>M187*J195</f>
        <v>54.765</v>
      </c>
      <c r="O187" s="16"/>
      <c r="P187" s="16">
        <v>4.1</v>
      </c>
      <c r="Q187" s="16">
        <f>P187*J195</f>
        <v>149.69099999999997</v>
      </c>
      <c r="R187" s="16">
        <f t="shared" si="20"/>
        <v>11.7</v>
      </c>
      <c r="S187" s="16">
        <f t="shared" si="20"/>
        <v>427.1669999999999</v>
      </c>
      <c r="U187" s="13"/>
      <c r="V187" s="13"/>
    </row>
    <row r="188" spans="1:22" ht="30.75" customHeight="1" hidden="1">
      <c r="A188" s="15"/>
      <c r="B188" s="511" t="s">
        <v>52</v>
      </c>
      <c r="C188" s="511"/>
      <c r="D188" s="511"/>
      <c r="E188" s="139"/>
      <c r="F188" s="8"/>
      <c r="G188" s="16">
        <v>8</v>
      </c>
      <c r="H188" s="16">
        <f>G188*J195</f>
        <v>292.08</v>
      </c>
      <c r="I188" s="16"/>
      <c r="J188" s="16">
        <v>8</v>
      </c>
      <c r="K188" s="16">
        <f>J188*J195</f>
        <v>292.08</v>
      </c>
      <c r="L188" s="16"/>
      <c r="M188" s="16">
        <v>8</v>
      </c>
      <c r="N188" s="16">
        <f>M188*J195</f>
        <v>292.08</v>
      </c>
      <c r="O188" s="16"/>
      <c r="P188" s="16">
        <v>8</v>
      </c>
      <c r="Q188" s="16">
        <f>P188*J195</f>
        <v>292.08</v>
      </c>
      <c r="R188" s="16">
        <f t="shared" si="20"/>
        <v>32</v>
      </c>
      <c r="S188" s="16">
        <f t="shared" si="20"/>
        <v>1168.32</v>
      </c>
      <c r="U188" s="13"/>
      <c r="V188" s="13"/>
    </row>
    <row r="189" spans="1:22" ht="30.75" customHeight="1" hidden="1">
      <c r="A189" s="15">
        <v>6</v>
      </c>
      <c r="B189" s="496" t="s">
        <v>53</v>
      </c>
      <c r="C189" s="497"/>
      <c r="D189" s="498"/>
      <c r="E189" s="133"/>
      <c r="F189" s="8"/>
      <c r="G189" s="9">
        <f>G190+G191</f>
        <v>428.14000000000004</v>
      </c>
      <c r="H189" s="9">
        <f>H190+H191</f>
        <v>12604.4416</v>
      </c>
      <c r="I189" s="9"/>
      <c r="J189" s="9">
        <f>J190+J191</f>
        <v>444.5</v>
      </c>
      <c r="K189" s="9">
        <f>K190+K191</f>
        <v>13086.08</v>
      </c>
      <c r="L189" s="9"/>
      <c r="M189" s="9">
        <f>M190+M191</f>
        <v>216.12</v>
      </c>
      <c r="N189" s="9">
        <f>N190+N191</f>
        <v>6362.5728</v>
      </c>
      <c r="O189" s="9"/>
      <c r="P189" s="9">
        <f>P190+P191</f>
        <v>423.71000000000004</v>
      </c>
      <c r="Q189" s="9">
        <f>Q190+Q191</f>
        <v>12474.022400000002</v>
      </c>
      <c r="R189" s="9">
        <f>R190+R191</f>
        <v>1512.47</v>
      </c>
      <c r="S189" s="9">
        <f>S190+S191</f>
        <v>44527.1168</v>
      </c>
      <c r="U189" s="13"/>
      <c r="V189" s="13"/>
    </row>
    <row r="190" spans="1:22" ht="30.75" customHeight="1" hidden="1">
      <c r="A190" s="8"/>
      <c r="B190" s="422" t="s">
        <v>54</v>
      </c>
      <c r="C190" s="423"/>
      <c r="D190" s="424"/>
      <c r="E190" s="134"/>
      <c r="F190" s="8"/>
      <c r="G190" s="16">
        <v>27.6</v>
      </c>
      <c r="H190" s="16">
        <f>G190*J194</f>
        <v>812.5440000000001</v>
      </c>
      <c r="I190" s="16"/>
      <c r="J190" s="16">
        <v>44.5</v>
      </c>
      <c r="K190" s="16">
        <f>J190*J194</f>
        <v>1310.0800000000002</v>
      </c>
      <c r="L190" s="16"/>
      <c r="M190" s="16">
        <v>74.6</v>
      </c>
      <c r="N190" s="16">
        <f>M190*J194</f>
        <v>2196.2239999999997</v>
      </c>
      <c r="O190" s="16"/>
      <c r="P190" s="16">
        <v>23.1</v>
      </c>
      <c r="Q190" s="16">
        <f>P190*J194</f>
        <v>680.0640000000001</v>
      </c>
      <c r="R190" s="16">
        <f>G190+J190+M190+P190</f>
        <v>169.79999999999998</v>
      </c>
      <c r="S190" s="16">
        <f>H190+K190+N190+Q190</f>
        <v>4998.912</v>
      </c>
      <c r="U190" s="13"/>
      <c r="V190" s="13"/>
    </row>
    <row r="191" spans="1:22" ht="30.75" customHeight="1" hidden="1">
      <c r="A191" s="8"/>
      <c r="B191" s="422" t="s">
        <v>55</v>
      </c>
      <c r="C191" s="423"/>
      <c r="D191" s="424"/>
      <c r="E191" s="134"/>
      <c r="F191" s="8"/>
      <c r="G191" s="16">
        <v>400.54</v>
      </c>
      <c r="H191" s="16">
        <f>G191*J194</f>
        <v>11791.8976</v>
      </c>
      <c r="I191" s="16"/>
      <c r="J191" s="16">
        <v>400</v>
      </c>
      <c r="K191" s="16">
        <f>J191*J194</f>
        <v>11776</v>
      </c>
      <c r="L191" s="16"/>
      <c r="M191" s="16">
        <v>141.52</v>
      </c>
      <c r="N191" s="16">
        <f>M191*J194</f>
        <v>4166.348800000001</v>
      </c>
      <c r="O191" s="16"/>
      <c r="P191" s="16">
        <v>400.61</v>
      </c>
      <c r="Q191" s="16">
        <f>P191*J194</f>
        <v>11793.958400000001</v>
      </c>
      <c r="R191" s="16">
        <f>G191+J191+M191+P191</f>
        <v>1342.67</v>
      </c>
      <c r="S191" s="16">
        <f>H191+K191+N191+Q191</f>
        <v>39528.2048</v>
      </c>
      <c r="U191" s="13"/>
      <c r="V191" s="13"/>
    </row>
    <row r="192" spans="1:23" ht="35.25" hidden="1">
      <c r="A192" s="54"/>
      <c r="B192" s="499" t="s">
        <v>19</v>
      </c>
      <c r="C192" s="500"/>
      <c r="D192" s="501"/>
      <c r="E192" s="135"/>
      <c r="F192" s="15" t="e">
        <f>F171+#REF!+#REF!+F173+F174+F175+#REF!+F176+F177+F178+F179+F180+#REF!</f>
        <v>#REF!</v>
      </c>
      <c r="G192" s="9">
        <f>G171+G172+G179+G180+G182+G189</f>
        <v>4846.45</v>
      </c>
      <c r="H192" s="9">
        <f>H171+H172+H179+H180+H182+H189</f>
        <v>153847.25999999998</v>
      </c>
      <c r="I192" s="9" t="e">
        <f>I171+I173+I174+I175+#REF!+I176+I177+I178+I179+I180</f>
        <v>#REF!</v>
      </c>
      <c r="J192" s="9">
        <f>J171+J172+J179+J180+J182+J189</f>
        <v>4540.66</v>
      </c>
      <c r="K192" s="9">
        <f>K171+K172+K179+K180+K182+K189</f>
        <v>145395.55539999998</v>
      </c>
      <c r="L192" s="9" t="e">
        <f>L171+L173+L174+L175+#REF!+L176+L177+L178+L179+L180</f>
        <v>#REF!</v>
      </c>
      <c r="M192" s="9">
        <f>M171+M172+M179+M180+M182+M189</f>
        <v>4474.3099999999995</v>
      </c>
      <c r="N192" s="9">
        <f>N171+N172+N179+N180+N182+N189</f>
        <v>143180.62140000003</v>
      </c>
      <c r="O192" s="9" t="e">
        <f>O171+O173+O174+O175+#REF!+O176+O177+O178+O179+O180</f>
        <v>#REF!</v>
      </c>
      <c r="P192" s="9">
        <f>P171+P172+P179+P180+P182+P189</f>
        <v>4729.720000000001</v>
      </c>
      <c r="Q192" s="9">
        <f>Q171+Q172+Q179+Q180+Q182+Q189</f>
        <v>151036.4238</v>
      </c>
      <c r="R192" s="9">
        <f>R171+R172+R179+R180+R182+R189</f>
        <v>18591.140000000003</v>
      </c>
      <c r="S192" s="9">
        <f>S171+S172+S179+S180+S182+S189</f>
        <v>593459.8605999999</v>
      </c>
      <c r="U192" s="12"/>
      <c r="V192" s="12"/>
      <c r="W192" s="12"/>
    </row>
    <row r="193" spans="1:23" ht="35.25" hidden="1">
      <c r="A193" s="54"/>
      <c r="B193" s="513" t="s">
        <v>17</v>
      </c>
      <c r="C193" s="513"/>
      <c r="D193" s="513"/>
      <c r="E193" s="141"/>
      <c r="F193" s="484" t="s">
        <v>60</v>
      </c>
      <c r="G193" s="484"/>
      <c r="H193" s="484"/>
      <c r="I193" s="484"/>
      <c r="J193" s="484"/>
      <c r="K193" s="484"/>
      <c r="L193" s="484"/>
      <c r="M193" s="484"/>
      <c r="N193" s="484"/>
      <c r="O193" s="484"/>
      <c r="P193" s="484"/>
      <c r="Q193" s="484"/>
      <c r="R193" s="484"/>
      <c r="S193" s="484"/>
      <c r="U193" s="12"/>
      <c r="V193" s="12"/>
      <c r="W193" s="12"/>
    </row>
    <row r="194" spans="1:23" ht="25.5" customHeight="1" hidden="1">
      <c r="A194" s="47"/>
      <c r="B194" s="47"/>
      <c r="C194" s="47"/>
      <c r="D194" s="43"/>
      <c r="E194" s="43"/>
      <c r="F194" s="43"/>
      <c r="G194" s="6"/>
      <c r="H194" s="2" t="s">
        <v>12</v>
      </c>
      <c r="I194" s="2"/>
      <c r="J194" s="2">
        <v>29.44</v>
      </c>
      <c r="K194" s="1"/>
      <c r="L194" s="43"/>
      <c r="M194" s="43"/>
      <c r="N194" s="43"/>
      <c r="O194" s="43"/>
      <c r="P194" s="43"/>
      <c r="Q194" s="43"/>
      <c r="R194" s="43"/>
      <c r="S194" s="51"/>
      <c r="U194" s="12"/>
      <c r="V194" s="12"/>
      <c r="W194" s="12"/>
    </row>
    <row r="195" spans="1:23" ht="33" customHeight="1" hidden="1">
      <c r="A195" s="47"/>
      <c r="B195" s="47"/>
      <c r="C195" s="47"/>
      <c r="D195" s="43"/>
      <c r="E195" s="43"/>
      <c r="F195" s="43"/>
      <c r="G195" s="6"/>
      <c r="H195" s="2" t="s">
        <v>13</v>
      </c>
      <c r="I195" s="2"/>
      <c r="J195" s="2">
        <v>36.51</v>
      </c>
      <c r="K195" s="1"/>
      <c r="L195" s="43"/>
      <c r="M195" s="43"/>
      <c r="N195" s="43"/>
      <c r="O195" s="43"/>
      <c r="P195" s="43"/>
      <c r="Q195" s="45"/>
      <c r="R195" s="45"/>
      <c r="S195" s="51"/>
      <c r="U195" s="12"/>
      <c r="V195" s="12"/>
      <c r="W195" s="12"/>
    </row>
    <row r="196" spans="1:23" ht="34.5" customHeight="1" hidden="1">
      <c r="A196" s="566" t="s">
        <v>64</v>
      </c>
      <c r="B196" s="566"/>
      <c r="C196" s="566"/>
      <c r="D196" s="566"/>
      <c r="E196" s="566"/>
      <c r="F196" s="566"/>
      <c r="G196" s="566"/>
      <c r="H196" s="566"/>
      <c r="I196" s="566"/>
      <c r="J196" s="566"/>
      <c r="K196" s="566"/>
      <c r="L196" s="566"/>
      <c r="M196" s="566"/>
      <c r="N196" s="566"/>
      <c r="O196" s="566"/>
      <c r="P196" s="566"/>
      <c r="Q196" s="566"/>
      <c r="R196" s="566"/>
      <c r="S196" s="566"/>
      <c r="U196" s="12"/>
      <c r="V196" s="12"/>
      <c r="W196" s="12"/>
    </row>
    <row r="197" spans="1:23" ht="35.25" hidden="1">
      <c r="A197" s="484" t="s">
        <v>15</v>
      </c>
      <c r="B197" s="485" t="s">
        <v>0</v>
      </c>
      <c r="C197" s="486"/>
      <c r="D197" s="487"/>
      <c r="E197" s="128"/>
      <c r="F197" s="409" t="s">
        <v>1</v>
      </c>
      <c r="G197" s="409"/>
      <c r="H197" s="409"/>
      <c r="I197" s="409" t="s">
        <v>3</v>
      </c>
      <c r="J197" s="409"/>
      <c r="K197" s="409"/>
      <c r="L197" s="409" t="s">
        <v>4</v>
      </c>
      <c r="M197" s="409"/>
      <c r="N197" s="409"/>
      <c r="O197" s="409" t="s">
        <v>6</v>
      </c>
      <c r="P197" s="409"/>
      <c r="Q197" s="409"/>
      <c r="R197" s="409" t="s">
        <v>7</v>
      </c>
      <c r="S197" s="409"/>
      <c r="U197" s="12"/>
      <c r="V197" s="12"/>
      <c r="W197" s="12"/>
    </row>
    <row r="198" spans="1:23" ht="35.25" hidden="1">
      <c r="A198" s="484"/>
      <c r="B198" s="488"/>
      <c r="C198" s="489"/>
      <c r="D198" s="490"/>
      <c r="E198" s="129"/>
      <c r="F198" s="125" t="s">
        <v>10</v>
      </c>
      <c r="G198" s="125" t="s">
        <v>10</v>
      </c>
      <c r="H198" s="125" t="s">
        <v>5</v>
      </c>
      <c r="I198" s="125" t="s">
        <v>10</v>
      </c>
      <c r="J198" s="125" t="s">
        <v>10</v>
      </c>
      <c r="K198" s="125" t="s">
        <v>5</v>
      </c>
      <c r="L198" s="125" t="s">
        <v>10</v>
      </c>
      <c r="M198" s="125" t="s">
        <v>10</v>
      </c>
      <c r="N198" s="125" t="s">
        <v>5</v>
      </c>
      <c r="O198" s="125" t="s">
        <v>10</v>
      </c>
      <c r="P198" s="125" t="s">
        <v>10</v>
      </c>
      <c r="Q198" s="125" t="s">
        <v>5</v>
      </c>
      <c r="R198" s="125" t="s">
        <v>10</v>
      </c>
      <c r="S198" s="125" t="s">
        <v>5</v>
      </c>
      <c r="U198" s="12"/>
      <c r="V198" s="12"/>
      <c r="W198" s="12"/>
    </row>
    <row r="199" spans="1:23" ht="25.5" customHeight="1" hidden="1">
      <c r="A199" s="15">
        <v>1</v>
      </c>
      <c r="B199" s="496" t="s">
        <v>33</v>
      </c>
      <c r="C199" s="497"/>
      <c r="D199" s="498"/>
      <c r="E199" s="133"/>
      <c r="F199" s="8">
        <v>17.5</v>
      </c>
      <c r="G199" s="9">
        <v>12.3</v>
      </c>
      <c r="H199" s="9">
        <f>G199*J222</f>
        <v>457.068</v>
      </c>
      <c r="I199" s="9">
        <v>17.5</v>
      </c>
      <c r="J199" s="9">
        <v>8.3</v>
      </c>
      <c r="K199" s="9">
        <f>J199*J222</f>
        <v>308.428</v>
      </c>
      <c r="L199" s="9">
        <v>17.5</v>
      </c>
      <c r="M199" s="9">
        <v>5.4</v>
      </c>
      <c r="N199" s="9">
        <f>M199*K222</f>
        <v>207.9</v>
      </c>
      <c r="O199" s="9">
        <v>17.5</v>
      </c>
      <c r="P199" s="9">
        <v>11.3</v>
      </c>
      <c r="Q199" s="9">
        <f>P199*K222</f>
        <v>435.05</v>
      </c>
      <c r="R199" s="9">
        <f>G199+J199+M199+P199</f>
        <v>37.3</v>
      </c>
      <c r="S199" s="9">
        <f>H199+K199+N199+Q199</f>
        <v>1408.446</v>
      </c>
      <c r="T199" s="67" t="s">
        <v>21</v>
      </c>
      <c r="U199" s="11">
        <f>41.08*P199</f>
        <v>464.204</v>
      </c>
      <c r="V199" s="11">
        <f>H199+K199+N199+Q199</f>
        <v>1408.446</v>
      </c>
      <c r="W199" s="12">
        <f aca="true" t="shared" si="21" ref="W199:W208">G199+J199+M199+P199</f>
        <v>37.3</v>
      </c>
    </row>
    <row r="200" spans="1:23" ht="25.5" customHeight="1" hidden="1">
      <c r="A200" s="15">
        <v>2</v>
      </c>
      <c r="B200" s="496" t="s">
        <v>41</v>
      </c>
      <c r="C200" s="497"/>
      <c r="D200" s="498"/>
      <c r="E200" s="133"/>
      <c r="F200" s="8"/>
      <c r="G200" s="9">
        <f>G201+G202+G203+G204+G205+G206</f>
        <v>5188.679999999999</v>
      </c>
      <c r="H200" s="9">
        <f>H201+H202+H204+H205+H206+H203</f>
        <v>136057.8288</v>
      </c>
      <c r="I200" s="9"/>
      <c r="J200" s="9">
        <f>J201+J202+J203+J204+J205+J206</f>
        <v>4597.45</v>
      </c>
      <c r="K200" s="9">
        <f>K201+K202+K203+K204+K205+K206</f>
        <v>119534.57199999999</v>
      </c>
      <c r="L200" s="9"/>
      <c r="M200" s="9">
        <f>M201+M202+M203+M204+M205+M206</f>
        <v>4948.61</v>
      </c>
      <c r="N200" s="9">
        <f>N201+N202+N203+N204+N205+N206</f>
        <v>134143.28500000003</v>
      </c>
      <c r="O200" s="9"/>
      <c r="P200" s="9">
        <f>P201+P202+P203+P204+P205+P206</f>
        <v>4697.63</v>
      </c>
      <c r="Q200" s="9">
        <f>Q201+Q202+Q203+Q204+Q205+Q206</f>
        <v>125820.235</v>
      </c>
      <c r="R200" s="9">
        <f>R201+R202+R204+R205+R206+R203</f>
        <v>19432.370000000003</v>
      </c>
      <c r="S200" s="9">
        <f>S201+S202+S203+S204+S205+S206</f>
        <v>515555.92079999996</v>
      </c>
      <c r="U200" s="11"/>
      <c r="V200" s="11"/>
      <c r="W200" s="12"/>
    </row>
    <row r="201" spans="1:23" ht="32.25" customHeight="1" hidden="1">
      <c r="A201" s="8"/>
      <c r="B201" s="422" t="s">
        <v>34</v>
      </c>
      <c r="C201" s="423"/>
      <c r="D201" s="424"/>
      <c r="E201" s="134"/>
      <c r="F201" s="8">
        <v>2715</v>
      </c>
      <c r="G201" s="16">
        <v>748.28</v>
      </c>
      <c r="H201" s="16">
        <f>G201*J222</f>
        <v>27806.084799999997</v>
      </c>
      <c r="I201" s="16">
        <v>2715</v>
      </c>
      <c r="J201" s="16">
        <v>409.15</v>
      </c>
      <c r="K201" s="16">
        <f>J201*J222</f>
        <v>15204.013999999997</v>
      </c>
      <c r="L201" s="16">
        <v>2715</v>
      </c>
      <c r="M201" s="16">
        <v>662.91</v>
      </c>
      <c r="N201" s="16">
        <f>M201*K222</f>
        <v>25522.035</v>
      </c>
      <c r="O201" s="16">
        <v>2715</v>
      </c>
      <c r="P201" s="16">
        <v>464.93</v>
      </c>
      <c r="Q201" s="16">
        <f>P201*K222</f>
        <v>17899.805</v>
      </c>
      <c r="R201" s="16">
        <f aca="true" t="shared" si="22" ref="R201:S207">G201+J201+M201+P201</f>
        <v>2285.2699999999995</v>
      </c>
      <c r="S201" s="16">
        <f t="shared" si="22"/>
        <v>86431.9388</v>
      </c>
      <c r="T201" s="67" t="s">
        <v>21</v>
      </c>
      <c r="U201" s="11">
        <f aca="true" t="shared" si="23" ref="U201:U208">41.08*P201</f>
        <v>19099.324399999998</v>
      </c>
      <c r="V201" s="11">
        <f aca="true" t="shared" si="24" ref="V201:V208">H201+K201+N201+Q201</f>
        <v>86431.9388</v>
      </c>
      <c r="W201" s="12">
        <f t="shared" si="21"/>
        <v>2285.2699999999995</v>
      </c>
    </row>
    <row r="202" spans="1:23" ht="33.75" customHeight="1" hidden="1">
      <c r="A202" s="8"/>
      <c r="B202" s="508" t="s">
        <v>35</v>
      </c>
      <c r="C202" s="509"/>
      <c r="D202" s="510"/>
      <c r="E202" s="138"/>
      <c r="F202" s="8">
        <v>816</v>
      </c>
      <c r="G202" s="16">
        <v>660</v>
      </c>
      <c r="H202" s="16">
        <f>G202*J222</f>
        <v>24525.6</v>
      </c>
      <c r="I202" s="16">
        <v>816</v>
      </c>
      <c r="J202" s="16">
        <v>660</v>
      </c>
      <c r="K202" s="16">
        <f>J202*J222</f>
        <v>24525.6</v>
      </c>
      <c r="L202" s="16">
        <v>816</v>
      </c>
      <c r="M202" s="16">
        <v>660</v>
      </c>
      <c r="N202" s="16">
        <f>M202*K222</f>
        <v>25410</v>
      </c>
      <c r="O202" s="16">
        <v>816</v>
      </c>
      <c r="P202" s="16">
        <v>660</v>
      </c>
      <c r="Q202" s="16">
        <f>P202*K222</f>
        <v>25410</v>
      </c>
      <c r="R202" s="16">
        <f t="shared" si="22"/>
        <v>2640</v>
      </c>
      <c r="S202" s="16">
        <f t="shared" si="22"/>
        <v>99871.2</v>
      </c>
      <c r="T202" s="67" t="s">
        <v>21</v>
      </c>
      <c r="U202" s="11">
        <f t="shared" si="23"/>
        <v>27112.8</v>
      </c>
      <c r="V202" s="11">
        <f t="shared" si="24"/>
        <v>99871.2</v>
      </c>
      <c r="W202" s="12">
        <f t="shared" si="21"/>
        <v>2640</v>
      </c>
    </row>
    <row r="203" spans="1:23" ht="34.5" customHeight="1" hidden="1">
      <c r="A203" s="8"/>
      <c r="B203" s="422" t="s">
        <v>36</v>
      </c>
      <c r="C203" s="423"/>
      <c r="D203" s="424"/>
      <c r="E203" s="134"/>
      <c r="F203" s="8">
        <v>910.2</v>
      </c>
      <c r="G203" s="16">
        <v>774</v>
      </c>
      <c r="H203" s="16">
        <f>G203*J223</f>
        <v>8196.66</v>
      </c>
      <c r="I203" s="16">
        <v>1072.5</v>
      </c>
      <c r="J203" s="16">
        <v>912</v>
      </c>
      <c r="K203" s="16">
        <f>J203*J223</f>
        <v>9658.08</v>
      </c>
      <c r="L203" s="16">
        <v>905.1</v>
      </c>
      <c r="M203" s="16">
        <v>769</v>
      </c>
      <c r="N203" s="16">
        <f>M203*K223</f>
        <v>8143.71</v>
      </c>
      <c r="O203" s="16">
        <v>1121.6</v>
      </c>
      <c r="P203" s="16">
        <v>940</v>
      </c>
      <c r="Q203" s="16">
        <f>P203*K223</f>
        <v>9954.6</v>
      </c>
      <c r="R203" s="16">
        <f t="shared" si="22"/>
        <v>3395</v>
      </c>
      <c r="S203" s="16">
        <f t="shared" si="22"/>
        <v>35953.049999999996</v>
      </c>
      <c r="T203" s="67" t="s">
        <v>21</v>
      </c>
      <c r="U203" s="11">
        <f>11.81*P203</f>
        <v>11101.4</v>
      </c>
      <c r="V203" s="11">
        <f t="shared" si="24"/>
        <v>35953.049999999996</v>
      </c>
      <c r="W203" s="12">
        <f t="shared" si="21"/>
        <v>3395</v>
      </c>
    </row>
    <row r="204" spans="1:23" ht="28.5" customHeight="1" hidden="1">
      <c r="A204" s="8"/>
      <c r="B204" s="511" t="s">
        <v>37</v>
      </c>
      <c r="C204" s="511"/>
      <c r="D204" s="511"/>
      <c r="E204" s="139"/>
      <c r="F204" s="8">
        <v>1845</v>
      </c>
      <c r="G204" s="16">
        <v>1362</v>
      </c>
      <c r="H204" s="16">
        <f>G204*J223</f>
        <v>14423.58</v>
      </c>
      <c r="I204" s="16">
        <v>1803</v>
      </c>
      <c r="J204" s="16">
        <v>1019</v>
      </c>
      <c r="K204" s="16">
        <f>J204*J223</f>
        <v>10791.21</v>
      </c>
      <c r="L204" s="16">
        <v>1803</v>
      </c>
      <c r="M204" s="16">
        <v>1251</v>
      </c>
      <c r="N204" s="16">
        <f>M204*K223</f>
        <v>13248.09</v>
      </c>
      <c r="O204" s="16">
        <v>1813.3</v>
      </c>
      <c r="P204" s="16">
        <v>1032</v>
      </c>
      <c r="Q204" s="16">
        <f>P204*K223</f>
        <v>10928.88</v>
      </c>
      <c r="R204" s="16">
        <f t="shared" si="22"/>
        <v>4664</v>
      </c>
      <c r="S204" s="16">
        <f t="shared" si="22"/>
        <v>49391.76</v>
      </c>
      <c r="T204" s="67" t="s">
        <v>21</v>
      </c>
      <c r="U204" s="11">
        <f t="shared" si="23"/>
        <v>42394.56</v>
      </c>
      <c r="V204" s="11">
        <f t="shared" si="24"/>
        <v>49391.76</v>
      </c>
      <c r="W204" s="12">
        <f t="shared" si="21"/>
        <v>4664</v>
      </c>
    </row>
    <row r="205" spans="1:23" ht="33" customHeight="1" hidden="1">
      <c r="A205" s="8"/>
      <c r="B205" s="511" t="s">
        <v>38</v>
      </c>
      <c r="C205" s="511"/>
      <c r="D205" s="511"/>
      <c r="E205" s="139"/>
      <c r="F205" s="8">
        <v>74.5</v>
      </c>
      <c r="G205" s="16">
        <v>1568</v>
      </c>
      <c r="H205" s="16">
        <f>G205*J222</f>
        <v>58266.88</v>
      </c>
      <c r="I205" s="16">
        <v>72.8</v>
      </c>
      <c r="J205" s="16">
        <v>1533</v>
      </c>
      <c r="K205" s="16">
        <f>J205*J222</f>
        <v>56966.27999999999</v>
      </c>
      <c r="L205" s="16">
        <v>72.9</v>
      </c>
      <c r="M205" s="16">
        <v>1533</v>
      </c>
      <c r="N205" s="16">
        <f>M205*K222</f>
        <v>59020.5</v>
      </c>
      <c r="O205" s="16">
        <v>72.9</v>
      </c>
      <c r="P205" s="16">
        <v>1541</v>
      </c>
      <c r="Q205" s="16">
        <f>P205*K222</f>
        <v>59328.5</v>
      </c>
      <c r="R205" s="16">
        <f t="shared" si="22"/>
        <v>6175</v>
      </c>
      <c r="S205" s="16">
        <f t="shared" si="22"/>
        <v>233582.15999999997</v>
      </c>
      <c r="T205" s="67" t="s">
        <v>21</v>
      </c>
      <c r="U205" s="11">
        <f t="shared" si="23"/>
        <v>63304.28</v>
      </c>
      <c r="V205" s="11">
        <f t="shared" si="24"/>
        <v>233582.15999999997</v>
      </c>
      <c r="W205" s="12">
        <f t="shared" si="21"/>
        <v>6175</v>
      </c>
    </row>
    <row r="206" spans="1:23" ht="44.25" customHeight="1" hidden="1">
      <c r="A206" s="8"/>
      <c r="B206" s="511" t="s">
        <v>39</v>
      </c>
      <c r="C206" s="511"/>
      <c r="D206" s="511"/>
      <c r="E206" s="139"/>
      <c r="F206" s="8">
        <v>88.6</v>
      </c>
      <c r="G206" s="16">
        <v>76.4</v>
      </c>
      <c r="H206" s="16">
        <f>G206*J222</f>
        <v>2839.024</v>
      </c>
      <c r="I206" s="16">
        <v>88.5</v>
      </c>
      <c r="J206" s="16">
        <v>64.3</v>
      </c>
      <c r="K206" s="16">
        <f>J206*J222</f>
        <v>2389.3879999999995</v>
      </c>
      <c r="L206" s="16">
        <v>88.5</v>
      </c>
      <c r="M206" s="16">
        <v>72.7</v>
      </c>
      <c r="N206" s="16">
        <f>M206*K222</f>
        <v>2798.9500000000003</v>
      </c>
      <c r="O206" s="16">
        <v>88.5</v>
      </c>
      <c r="P206" s="16">
        <v>59.7</v>
      </c>
      <c r="Q206" s="16">
        <f>P206*K222</f>
        <v>2298.4500000000003</v>
      </c>
      <c r="R206" s="16">
        <f>G206+J206+M206+P206</f>
        <v>273.09999999999997</v>
      </c>
      <c r="S206" s="16">
        <f t="shared" si="22"/>
        <v>10325.812</v>
      </c>
      <c r="T206" s="67" t="s">
        <v>21</v>
      </c>
      <c r="U206" s="11">
        <f t="shared" si="23"/>
        <v>2452.476</v>
      </c>
      <c r="V206" s="11">
        <f t="shared" si="24"/>
        <v>10325.812</v>
      </c>
      <c r="W206" s="12">
        <f t="shared" si="21"/>
        <v>273.09999999999997</v>
      </c>
    </row>
    <row r="207" spans="1:23" ht="51.75" customHeight="1" hidden="1">
      <c r="A207" s="15">
        <v>3</v>
      </c>
      <c r="B207" s="496" t="s">
        <v>42</v>
      </c>
      <c r="C207" s="497"/>
      <c r="D207" s="498"/>
      <c r="E207" s="133"/>
      <c r="F207" s="8">
        <v>118.05</v>
      </c>
      <c r="G207" s="9">
        <v>263</v>
      </c>
      <c r="H207" s="9">
        <f>G207*J222</f>
        <v>9773.08</v>
      </c>
      <c r="I207" s="9">
        <v>118.05</v>
      </c>
      <c r="J207" s="9">
        <v>252</v>
      </c>
      <c r="K207" s="9">
        <f>J207*J222</f>
        <v>9364.32</v>
      </c>
      <c r="L207" s="9">
        <v>118.05</v>
      </c>
      <c r="M207" s="9">
        <v>248</v>
      </c>
      <c r="N207" s="9">
        <f>M207*K222</f>
        <v>9548</v>
      </c>
      <c r="O207" s="9">
        <v>118.05</v>
      </c>
      <c r="P207" s="9">
        <v>268</v>
      </c>
      <c r="Q207" s="9">
        <f>P207*K222</f>
        <v>10318</v>
      </c>
      <c r="R207" s="9">
        <f t="shared" si="22"/>
        <v>1031</v>
      </c>
      <c r="S207" s="9">
        <f t="shared" si="22"/>
        <v>39003.4</v>
      </c>
      <c r="T207" s="67" t="s">
        <v>21</v>
      </c>
      <c r="U207" s="11">
        <f t="shared" si="23"/>
        <v>11009.439999999999</v>
      </c>
      <c r="V207" s="11">
        <f t="shared" si="24"/>
        <v>39003.4</v>
      </c>
      <c r="W207" s="12">
        <f t="shared" si="21"/>
        <v>1031</v>
      </c>
    </row>
    <row r="208" spans="1:23" ht="33.75" customHeight="1" hidden="1">
      <c r="A208" s="15">
        <v>4</v>
      </c>
      <c r="B208" s="496" t="s">
        <v>43</v>
      </c>
      <c r="C208" s="497"/>
      <c r="D208" s="498"/>
      <c r="E208" s="133"/>
      <c r="F208" s="8">
        <v>180</v>
      </c>
      <c r="G208" s="9">
        <f>G209</f>
        <v>23.4</v>
      </c>
      <c r="H208" s="9">
        <f>H209</f>
        <v>869.5439999999999</v>
      </c>
      <c r="I208" s="9"/>
      <c r="J208" s="9">
        <f>J209</f>
        <v>23.4</v>
      </c>
      <c r="K208" s="9">
        <f>K209</f>
        <v>869.5439999999999</v>
      </c>
      <c r="L208" s="9"/>
      <c r="M208" s="9">
        <f>M209</f>
        <v>23.4</v>
      </c>
      <c r="N208" s="9">
        <f>N209</f>
        <v>900.9</v>
      </c>
      <c r="O208" s="9"/>
      <c r="P208" s="9">
        <f>P209</f>
        <v>23.1</v>
      </c>
      <c r="Q208" s="9">
        <f>Q209</f>
        <v>889.35</v>
      </c>
      <c r="R208" s="9">
        <f>R209</f>
        <v>93.29999999999998</v>
      </c>
      <c r="S208" s="9">
        <f>S209</f>
        <v>3529.3379999999997</v>
      </c>
      <c r="T208" s="67" t="s">
        <v>21</v>
      </c>
      <c r="U208" s="11">
        <f t="shared" si="23"/>
        <v>948.948</v>
      </c>
      <c r="V208" s="11">
        <f t="shared" si="24"/>
        <v>3529.3379999999997</v>
      </c>
      <c r="W208" s="12">
        <f t="shared" si="21"/>
        <v>93.29999999999998</v>
      </c>
    </row>
    <row r="209" spans="1:23" ht="27.75" customHeight="1" hidden="1">
      <c r="A209" s="8"/>
      <c r="B209" s="422" t="s">
        <v>44</v>
      </c>
      <c r="C209" s="423"/>
      <c r="D209" s="424"/>
      <c r="E209" s="134"/>
      <c r="F209" s="8"/>
      <c r="G209" s="16">
        <v>23.4</v>
      </c>
      <c r="H209" s="16">
        <f>G209*J222</f>
        <v>869.5439999999999</v>
      </c>
      <c r="I209" s="16"/>
      <c r="J209" s="16">
        <v>23.4</v>
      </c>
      <c r="K209" s="16">
        <f>J209*J222</f>
        <v>869.5439999999999</v>
      </c>
      <c r="L209" s="16"/>
      <c r="M209" s="16">
        <v>23.4</v>
      </c>
      <c r="N209" s="16">
        <f>M209*K222</f>
        <v>900.9</v>
      </c>
      <c r="O209" s="16"/>
      <c r="P209" s="16">
        <v>23.1</v>
      </c>
      <c r="Q209" s="16">
        <f>P209*K222</f>
        <v>889.35</v>
      </c>
      <c r="R209" s="16">
        <f>G209+J209+M209+P209</f>
        <v>93.29999999999998</v>
      </c>
      <c r="S209" s="16">
        <f>H209+K209+N209+Q209</f>
        <v>3529.3379999999997</v>
      </c>
      <c r="U209" s="11"/>
      <c r="V209" s="11"/>
      <c r="W209" s="12"/>
    </row>
    <row r="210" spans="1:23" ht="33.75" customHeight="1" hidden="1">
      <c r="A210" s="15">
        <v>5</v>
      </c>
      <c r="B210" s="496" t="s">
        <v>47</v>
      </c>
      <c r="C210" s="497"/>
      <c r="D210" s="498"/>
      <c r="E210" s="133"/>
      <c r="F210" s="8"/>
      <c r="G210" s="9">
        <f>G211+G212+G213+G214+G215+G216</f>
        <v>189.14000000000001</v>
      </c>
      <c r="H210" s="9">
        <f>H211+H212+H213+H214+H215+H216</f>
        <v>6316.366399999999</v>
      </c>
      <c r="I210" s="9"/>
      <c r="J210" s="9">
        <f>J211+J212+J213+J214+J215+J216</f>
        <v>169.2</v>
      </c>
      <c r="K210" s="9">
        <f>K211+K212+K214+K216+K213+K215</f>
        <v>5710.902999999999</v>
      </c>
      <c r="L210" s="9"/>
      <c r="M210" s="9">
        <f>M211+M212+M213+M214+M215+M216</f>
        <v>143.23000000000002</v>
      </c>
      <c r="N210" s="9">
        <f>N211+N212+N213+N214+N215+N216</f>
        <v>4908.708</v>
      </c>
      <c r="O210" s="9"/>
      <c r="P210" s="9">
        <f>P211+P212+P213+P214+P215+P216</f>
        <v>174.28</v>
      </c>
      <c r="Q210" s="9">
        <f>Q211+Q212+Q213+Q214+Q215+Q216</f>
        <v>5942.255</v>
      </c>
      <c r="R210" s="9">
        <f>R211+R212+R213+R214+R215+R216</f>
        <v>675.85</v>
      </c>
      <c r="S210" s="9">
        <f>S211+S212+S213+S214+S215+S216</f>
        <v>22878.2324</v>
      </c>
      <c r="U210" s="11"/>
      <c r="V210" s="11"/>
      <c r="W210" s="12"/>
    </row>
    <row r="211" spans="1:23" ht="33.75" customHeight="1" hidden="1">
      <c r="A211" s="15"/>
      <c r="B211" s="422" t="s">
        <v>48</v>
      </c>
      <c r="C211" s="423"/>
      <c r="D211" s="424"/>
      <c r="E211" s="134"/>
      <c r="F211" s="8"/>
      <c r="G211" s="16">
        <v>8.64</v>
      </c>
      <c r="H211" s="16">
        <f>G211*J222</f>
        <v>321.06239999999997</v>
      </c>
      <c r="I211" s="16"/>
      <c r="J211" s="16">
        <v>8</v>
      </c>
      <c r="K211" s="16">
        <f>J211*J222</f>
        <v>297.28</v>
      </c>
      <c r="L211" s="16"/>
      <c r="M211" s="16">
        <v>5.23</v>
      </c>
      <c r="N211" s="16">
        <f>M211*K222</f>
        <v>201.35500000000002</v>
      </c>
      <c r="O211" s="16"/>
      <c r="P211" s="16">
        <v>7.48</v>
      </c>
      <c r="Q211" s="16">
        <f>P211*K222</f>
        <v>287.98</v>
      </c>
      <c r="R211" s="16">
        <f aca="true" t="shared" si="25" ref="R211:S216">G211+J211+M211+P211</f>
        <v>29.35</v>
      </c>
      <c r="S211" s="16">
        <f t="shared" si="25"/>
        <v>1107.6774</v>
      </c>
      <c r="U211" s="11"/>
      <c r="V211" s="11"/>
      <c r="W211" s="12"/>
    </row>
    <row r="212" spans="1:23" ht="33.75" customHeight="1" hidden="1">
      <c r="A212" s="15"/>
      <c r="B212" s="422" t="s">
        <v>49</v>
      </c>
      <c r="C212" s="423"/>
      <c r="D212" s="424"/>
      <c r="E212" s="134"/>
      <c r="F212" s="8"/>
      <c r="G212" s="16">
        <v>53.5</v>
      </c>
      <c r="H212" s="16">
        <f>G212*J222</f>
        <v>1988.0599999999997</v>
      </c>
      <c r="I212" s="16"/>
      <c r="J212" s="16">
        <v>52.5</v>
      </c>
      <c r="K212" s="16">
        <f>J212*J222</f>
        <v>1950.8999999999999</v>
      </c>
      <c r="L212" s="16"/>
      <c r="M212" s="16">
        <v>42.5</v>
      </c>
      <c r="N212" s="16">
        <f>M212*K222</f>
        <v>1636.25</v>
      </c>
      <c r="O212" s="16"/>
      <c r="P212" s="16">
        <v>51.5</v>
      </c>
      <c r="Q212" s="16">
        <f>P212*K222</f>
        <v>1982.75</v>
      </c>
      <c r="R212" s="16">
        <f t="shared" si="25"/>
        <v>200</v>
      </c>
      <c r="S212" s="16">
        <f t="shared" si="25"/>
        <v>7557.959999999999</v>
      </c>
      <c r="U212" s="11"/>
      <c r="V212" s="11"/>
      <c r="W212" s="12"/>
    </row>
    <row r="213" spans="1:23" ht="33.75" customHeight="1" hidden="1">
      <c r="A213" s="15"/>
      <c r="B213" s="422" t="s">
        <v>50</v>
      </c>
      <c r="C213" s="423"/>
      <c r="D213" s="424"/>
      <c r="E213" s="134"/>
      <c r="F213" s="8"/>
      <c r="G213" s="16">
        <v>40</v>
      </c>
      <c r="H213" s="16">
        <f>G213*J222</f>
        <v>1486.3999999999999</v>
      </c>
      <c r="I213" s="16"/>
      <c r="J213" s="16">
        <v>40</v>
      </c>
      <c r="K213" s="16">
        <f>J213*J222</f>
        <v>1486.3999999999999</v>
      </c>
      <c r="L213" s="16"/>
      <c r="M213" s="16">
        <v>38.9</v>
      </c>
      <c r="N213" s="16">
        <f>M213*K222</f>
        <v>1497.6499999999999</v>
      </c>
      <c r="O213" s="16"/>
      <c r="P213" s="16">
        <v>39.5</v>
      </c>
      <c r="Q213" s="16">
        <f>P213*K222</f>
        <v>1520.75</v>
      </c>
      <c r="R213" s="16">
        <f t="shared" si="25"/>
        <v>158.4</v>
      </c>
      <c r="S213" s="16">
        <f t="shared" si="25"/>
        <v>5991.2</v>
      </c>
      <c r="U213" s="11"/>
      <c r="V213" s="11"/>
      <c r="W213" s="12"/>
    </row>
    <row r="214" spans="1:23" ht="33.75" customHeight="1" hidden="1">
      <c r="A214" s="15"/>
      <c r="B214" s="511" t="s">
        <v>40</v>
      </c>
      <c r="C214" s="511"/>
      <c r="D214" s="511"/>
      <c r="E214" s="139"/>
      <c r="F214" s="8"/>
      <c r="G214" s="16">
        <v>60.2</v>
      </c>
      <c r="H214" s="16">
        <f>G214*J222</f>
        <v>2237.0319999999997</v>
      </c>
      <c r="I214" s="16"/>
      <c r="J214" s="16">
        <v>47</v>
      </c>
      <c r="K214" s="16">
        <f>J214*J222</f>
        <v>1746.5199999999998</v>
      </c>
      <c r="L214" s="16"/>
      <c r="M214" s="16">
        <v>34.9</v>
      </c>
      <c r="N214" s="16">
        <f>M214*K222</f>
        <v>1343.6499999999999</v>
      </c>
      <c r="O214" s="16"/>
      <c r="P214" s="16">
        <v>48.3</v>
      </c>
      <c r="Q214" s="16">
        <f>P214*K222</f>
        <v>1859.55</v>
      </c>
      <c r="R214" s="16">
        <f t="shared" si="25"/>
        <v>190.39999999999998</v>
      </c>
      <c r="S214" s="16">
        <f t="shared" si="25"/>
        <v>7186.7519999999995</v>
      </c>
      <c r="U214" s="11"/>
      <c r="V214" s="11"/>
      <c r="W214" s="12"/>
    </row>
    <row r="215" spans="1:23" ht="33.75" customHeight="1" hidden="1">
      <c r="A215" s="15"/>
      <c r="B215" s="511" t="s">
        <v>51</v>
      </c>
      <c r="C215" s="511"/>
      <c r="D215" s="511"/>
      <c r="E215" s="139"/>
      <c r="F215" s="8"/>
      <c r="G215" s="16">
        <v>7.3</v>
      </c>
      <c r="H215" s="16">
        <f>G215*J223</f>
        <v>77.307</v>
      </c>
      <c r="I215" s="16"/>
      <c r="J215" s="16">
        <v>2.2</v>
      </c>
      <c r="K215" s="16">
        <f>J215*J223</f>
        <v>23.298000000000002</v>
      </c>
      <c r="L215" s="16"/>
      <c r="M215" s="16">
        <v>2.2</v>
      </c>
      <c r="N215" s="16">
        <f>M215*K223</f>
        <v>23.298000000000002</v>
      </c>
      <c r="O215" s="16"/>
      <c r="P215" s="16">
        <v>8</v>
      </c>
      <c r="Q215" s="16">
        <f>P215*K223</f>
        <v>84.72</v>
      </c>
      <c r="R215" s="16">
        <f t="shared" si="25"/>
        <v>19.7</v>
      </c>
      <c r="S215" s="16">
        <f t="shared" si="25"/>
        <v>208.623</v>
      </c>
      <c r="U215" s="11"/>
      <c r="V215" s="11"/>
      <c r="W215" s="12"/>
    </row>
    <row r="216" spans="1:23" ht="33.75" customHeight="1" hidden="1">
      <c r="A216" s="15"/>
      <c r="B216" s="511" t="s">
        <v>52</v>
      </c>
      <c r="C216" s="511"/>
      <c r="D216" s="511"/>
      <c r="E216" s="139"/>
      <c r="F216" s="8"/>
      <c r="G216" s="16">
        <v>19.5</v>
      </c>
      <c r="H216" s="16">
        <f>G216*J223</f>
        <v>206.505</v>
      </c>
      <c r="I216" s="16"/>
      <c r="J216" s="16">
        <v>19.5</v>
      </c>
      <c r="K216" s="16">
        <f>J216*J223</f>
        <v>206.505</v>
      </c>
      <c r="L216" s="16"/>
      <c r="M216" s="16">
        <v>19.5</v>
      </c>
      <c r="N216" s="16">
        <f>M216*K223</f>
        <v>206.505</v>
      </c>
      <c r="O216" s="16"/>
      <c r="P216" s="16">
        <v>19.5</v>
      </c>
      <c r="Q216" s="16">
        <f>P216*K223</f>
        <v>206.505</v>
      </c>
      <c r="R216" s="16">
        <f t="shared" si="25"/>
        <v>78</v>
      </c>
      <c r="S216" s="16">
        <f t="shared" si="25"/>
        <v>826.02</v>
      </c>
      <c r="U216" s="11"/>
      <c r="V216" s="11"/>
      <c r="W216" s="12"/>
    </row>
    <row r="217" spans="1:23" ht="33.75" customHeight="1" hidden="1">
      <c r="A217" s="15">
        <v>6</v>
      </c>
      <c r="B217" s="496" t="s">
        <v>53</v>
      </c>
      <c r="C217" s="497"/>
      <c r="D217" s="498"/>
      <c r="E217" s="133"/>
      <c r="F217" s="8"/>
      <c r="G217" s="9">
        <f>G218+G219</f>
        <v>463.75</v>
      </c>
      <c r="H217" s="9">
        <f>H218+H219</f>
        <v>17232.949999999997</v>
      </c>
      <c r="I217" s="9"/>
      <c r="J217" s="9">
        <f>J218+J219</f>
        <v>564.53</v>
      </c>
      <c r="K217" s="9">
        <f>K218+K219</f>
        <v>20977.934799999995</v>
      </c>
      <c r="L217" s="9"/>
      <c r="M217" s="9">
        <f>M218+M219</f>
        <v>284.18</v>
      </c>
      <c r="N217" s="9">
        <f>N218+N219</f>
        <v>10940.93</v>
      </c>
      <c r="O217" s="9"/>
      <c r="P217" s="9">
        <f>P218+P219</f>
        <v>550.62</v>
      </c>
      <c r="Q217" s="9">
        <f>Q218+Q219</f>
        <v>21198.87</v>
      </c>
      <c r="R217" s="9">
        <f>R218+R219</f>
        <v>1863.08</v>
      </c>
      <c r="S217" s="9">
        <f>S218+S219</f>
        <v>70350.6848</v>
      </c>
      <c r="U217" s="11"/>
      <c r="V217" s="11"/>
      <c r="W217" s="12"/>
    </row>
    <row r="218" spans="1:23" ht="33.75" customHeight="1" hidden="1">
      <c r="A218" s="8"/>
      <c r="B218" s="422" t="s">
        <v>54</v>
      </c>
      <c r="C218" s="423"/>
      <c r="D218" s="424"/>
      <c r="E218" s="134"/>
      <c r="F218" s="8"/>
      <c r="G218" s="16">
        <v>45.6</v>
      </c>
      <c r="H218" s="16">
        <f>G218*J222</f>
        <v>1694.4959999999999</v>
      </c>
      <c r="I218" s="16"/>
      <c r="J218" s="16">
        <v>64.5</v>
      </c>
      <c r="K218" s="16">
        <f>J218*J222</f>
        <v>2396.8199999999997</v>
      </c>
      <c r="L218" s="16"/>
      <c r="M218" s="16">
        <v>113.6</v>
      </c>
      <c r="N218" s="16">
        <f>M218*K222</f>
        <v>4373.599999999999</v>
      </c>
      <c r="O218" s="16"/>
      <c r="P218" s="16">
        <v>50.1</v>
      </c>
      <c r="Q218" s="16">
        <f>P218*K222</f>
        <v>1928.8500000000001</v>
      </c>
      <c r="R218" s="16">
        <f>G218+J218+M218+P218</f>
        <v>273.8</v>
      </c>
      <c r="S218" s="16">
        <f>H218+K218+N218+Q218</f>
        <v>10393.766</v>
      </c>
      <c r="U218" s="11"/>
      <c r="V218" s="11"/>
      <c r="W218" s="12"/>
    </row>
    <row r="219" spans="1:23" ht="33.75" customHeight="1" hidden="1">
      <c r="A219" s="8"/>
      <c r="B219" s="422" t="s">
        <v>55</v>
      </c>
      <c r="C219" s="423"/>
      <c r="D219" s="424"/>
      <c r="E219" s="134"/>
      <c r="F219" s="8"/>
      <c r="G219" s="16">
        <v>418.15</v>
      </c>
      <c r="H219" s="16">
        <f>G219*J222</f>
        <v>15538.453999999998</v>
      </c>
      <c r="I219" s="16"/>
      <c r="J219" s="16">
        <v>500.03</v>
      </c>
      <c r="K219" s="16">
        <f>J219*J222</f>
        <v>18581.114799999996</v>
      </c>
      <c r="L219" s="16"/>
      <c r="M219" s="16">
        <v>170.58</v>
      </c>
      <c r="N219" s="16">
        <f>M219*K222</f>
        <v>6567.330000000001</v>
      </c>
      <c r="O219" s="16"/>
      <c r="P219" s="16">
        <v>500.52</v>
      </c>
      <c r="Q219" s="16">
        <f>P219*K222</f>
        <v>19270.02</v>
      </c>
      <c r="R219" s="16">
        <f>G219+J219+M219+P219</f>
        <v>1589.28</v>
      </c>
      <c r="S219" s="16">
        <f>H219+K219+N219+Q219</f>
        <v>59956.9188</v>
      </c>
      <c r="U219" s="11"/>
      <c r="V219" s="11"/>
      <c r="W219" s="12"/>
    </row>
    <row r="220" spans="1:23" ht="35.25" hidden="1">
      <c r="A220" s="64"/>
      <c r="B220" s="512" t="s">
        <v>19</v>
      </c>
      <c r="C220" s="512"/>
      <c r="D220" s="512"/>
      <c r="E220" s="140"/>
      <c r="F220" s="15">
        <f>SUM(F199:F208)</f>
        <v>6764.85</v>
      </c>
      <c r="G220" s="9">
        <f>G199+G200+G207+G208+G210+G217</f>
        <v>6140.2699999999995</v>
      </c>
      <c r="H220" s="9">
        <f>H199+H200+H207+H208+H210+H217</f>
        <v>170706.83719999995</v>
      </c>
      <c r="I220" s="9">
        <f>SUM(I199:I208)</f>
        <v>6703.35</v>
      </c>
      <c r="J220" s="9">
        <f>J199+J200+J207+J208+J210+J217</f>
        <v>5614.879999999999</v>
      </c>
      <c r="K220" s="9">
        <f>K199+K200+K207+K208+K210+K217</f>
        <v>156765.70179999995</v>
      </c>
      <c r="L220" s="9">
        <f>SUM(L199:L208)</f>
        <v>6536.05</v>
      </c>
      <c r="M220" s="9">
        <f>M199+M200+M207+M208+M210+M217</f>
        <v>5652.82</v>
      </c>
      <c r="N220" s="9">
        <f>N199+N200+N207+N208+N210+N217</f>
        <v>160649.72300000003</v>
      </c>
      <c r="O220" s="9">
        <f>SUM(O199:O208)</f>
        <v>6762.85</v>
      </c>
      <c r="P220" s="9">
        <f>P199+P200+P207+P208+P210+P217</f>
        <v>5724.93</v>
      </c>
      <c r="Q220" s="9">
        <f>Q199+Q200+Q207+Q208+Q210+Q217</f>
        <v>164603.76</v>
      </c>
      <c r="R220" s="9">
        <f>R199+R200+R207+R208+R210+R217</f>
        <v>23132.9</v>
      </c>
      <c r="S220" s="9">
        <f>S199+S200+S207+S208+S210+S217</f>
        <v>652726.022</v>
      </c>
      <c r="U220" s="53"/>
      <c r="V220" s="53"/>
      <c r="W220" s="53"/>
    </row>
    <row r="221" spans="1:19" ht="35.25" hidden="1">
      <c r="A221" s="54"/>
      <c r="B221" s="526" t="s">
        <v>8</v>
      </c>
      <c r="C221" s="527"/>
      <c r="D221" s="528"/>
      <c r="E221" s="146"/>
      <c r="F221" s="409" t="s">
        <v>61</v>
      </c>
      <c r="G221" s="409"/>
      <c r="H221" s="409"/>
      <c r="I221" s="409"/>
      <c r="J221" s="409"/>
      <c r="K221" s="409"/>
      <c r="L221" s="409"/>
      <c r="M221" s="409"/>
      <c r="N221" s="409"/>
      <c r="O221" s="409"/>
      <c r="P221" s="409"/>
      <c r="Q221" s="409"/>
      <c r="R221" s="409"/>
      <c r="S221" s="409"/>
    </row>
    <row r="222" spans="1:19" ht="35.25" hidden="1">
      <c r="A222" s="47"/>
      <c r="B222" s="43"/>
      <c r="C222" s="43"/>
      <c r="D222" s="43"/>
      <c r="E222" s="43"/>
      <c r="F222" s="43"/>
      <c r="G222" s="43"/>
      <c r="H222" s="2" t="s">
        <v>12</v>
      </c>
      <c r="I222" s="2"/>
      <c r="J222" s="2">
        <v>37.16</v>
      </c>
      <c r="K222" s="2">
        <v>38.5</v>
      </c>
      <c r="L222" s="6"/>
      <c r="M222" s="6"/>
      <c r="N222" s="43"/>
      <c r="O222" s="43"/>
      <c r="P222" s="43"/>
      <c r="Q222" s="43"/>
      <c r="R222" s="43"/>
      <c r="S222" s="43"/>
    </row>
    <row r="223" spans="1:19" ht="35.25" hidden="1">
      <c r="A223" s="47"/>
      <c r="B223" s="43"/>
      <c r="C223" s="43"/>
      <c r="D223" s="43"/>
      <c r="E223" s="43"/>
      <c r="F223" s="43"/>
      <c r="G223" s="43"/>
      <c r="H223" s="2" t="s">
        <v>20</v>
      </c>
      <c r="I223" s="2"/>
      <c r="J223" s="2">
        <v>10.59</v>
      </c>
      <c r="K223" s="2">
        <v>10.59</v>
      </c>
      <c r="L223" s="6"/>
      <c r="M223" s="6"/>
      <c r="N223" s="43"/>
      <c r="O223" s="43"/>
      <c r="P223" s="43"/>
      <c r="Q223" s="43"/>
      <c r="R223" s="43"/>
      <c r="S223" s="43"/>
    </row>
    <row r="224" spans="1:19" ht="35.25">
      <c r="A224" s="47"/>
      <c r="B224" s="43"/>
      <c r="C224" s="43"/>
      <c r="D224" s="43"/>
      <c r="E224" s="43"/>
      <c r="F224" s="43"/>
      <c r="G224" s="43"/>
      <c r="H224" s="43"/>
      <c r="I224" s="18"/>
      <c r="J224" s="43"/>
      <c r="K224" s="43"/>
      <c r="L224" s="43"/>
      <c r="M224" s="43"/>
      <c r="N224" s="43"/>
      <c r="O224" s="43"/>
      <c r="P224" s="43"/>
      <c r="Q224" s="43"/>
      <c r="R224" s="43"/>
      <c r="S224" s="43"/>
    </row>
    <row r="225" spans="1:19" ht="35.25">
      <c r="A225" s="51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</row>
    <row r="226" spans="1:19" ht="35.25">
      <c r="A226" s="6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</row>
    <row r="227" spans="1:19" ht="35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35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35.25">
      <c r="A229" s="6"/>
      <c r="B229" s="6"/>
      <c r="C229" s="6"/>
      <c r="D229" s="6"/>
      <c r="E229" s="6"/>
      <c r="F229" s="54"/>
      <c r="L229" s="6"/>
      <c r="M229" s="6"/>
      <c r="N229" s="6"/>
      <c r="O229" s="6"/>
      <c r="P229" s="6"/>
      <c r="Q229" s="6"/>
      <c r="R229" s="6"/>
      <c r="S229" s="6"/>
    </row>
    <row r="230" ht="35.25">
      <c r="F230" s="55" t="s">
        <v>22</v>
      </c>
    </row>
    <row r="231" ht="35.25">
      <c r="F231" s="55" t="s">
        <v>23</v>
      </c>
    </row>
    <row r="232" ht="35.25">
      <c r="F232" s="55" t="s">
        <v>24</v>
      </c>
    </row>
    <row r="233" ht="35.25">
      <c r="F233" s="55" t="s">
        <v>25</v>
      </c>
    </row>
    <row r="234" ht="35.25">
      <c r="F234" s="55" t="s">
        <v>26</v>
      </c>
    </row>
    <row r="235" ht="35.25">
      <c r="F235" s="55" t="s">
        <v>27</v>
      </c>
    </row>
    <row r="236" ht="35.25">
      <c r="F236" s="55" t="s">
        <v>29</v>
      </c>
    </row>
    <row r="237" ht="35.25">
      <c r="F237" s="55" t="s">
        <v>30</v>
      </c>
    </row>
    <row r="238" ht="35.25">
      <c r="F238" s="55" t="s">
        <v>28</v>
      </c>
    </row>
  </sheetData>
  <sheetProtection/>
  <mergeCells count="230">
    <mergeCell ref="B101:D101"/>
    <mergeCell ref="B102:D102"/>
    <mergeCell ref="B115:D115"/>
    <mergeCell ref="B116:D116"/>
    <mergeCell ref="B117:D117"/>
    <mergeCell ref="B118:D118"/>
    <mergeCell ref="B111:D111"/>
    <mergeCell ref="B112:D112"/>
    <mergeCell ref="B105:D105"/>
    <mergeCell ref="B106:D106"/>
    <mergeCell ref="B131:D131"/>
    <mergeCell ref="B132:D132"/>
    <mergeCell ref="B125:D12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19:D119"/>
    <mergeCell ref="B120:D120"/>
    <mergeCell ref="B107:D107"/>
    <mergeCell ref="B108:D108"/>
    <mergeCell ref="B109:D109"/>
    <mergeCell ref="B110:D110"/>
    <mergeCell ref="B93:D93"/>
    <mergeCell ref="B94:D94"/>
    <mergeCell ref="B95:D95"/>
    <mergeCell ref="B96:D96"/>
    <mergeCell ref="B103:D103"/>
    <mergeCell ref="B104:D104"/>
    <mergeCell ref="B97:D97"/>
    <mergeCell ref="B98:D98"/>
    <mergeCell ref="B99:D99"/>
    <mergeCell ref="B100:D100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O68:Q68"/>
    <mergeCell ref="R68:S68"/>
    <mergeCell ref="B70:D70"/>
    <mergeCell ref="B71:D71"/>
    <mergeCell ref="B72:D72"/>
    <mergeCell ref="B73:D73"/>
    <mergeCell ref="A68:A69"/>
    <mergeCell ref="B68:D69"/>
    <mergeCell ref="E68:E69"/>
    <mergeCell ref="F68:H68"/>
    <mergeCell ref="I68:K68"/>
    <mergeCell ref="L68:N68"/>
    <mergeCell ref="B62:D62"/>
    <mergeCell ref="B63:D63"/>
    <mergeCell ref="B64:D64"/>
    <mergeCell ref="F64:S64"/>
    <mergeCell ref="Q66:S66"/>
    <mergeCell ref="A67:S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O38:Q38"/>
    <mergeCell ref="R38:S38"/>
    <mergeCell ref="B40:D40"/>
    <mergeCell ref="B41:D41"/>
    <mergeCell ref="B42:D42"/>
    <mergeCell ref="B43:D43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R7:S7"/>
    <mergeCell ref="B9:D9"/>
    <mergeCell ref="B10:D10"/>
    <mergeCell ref="B11:D11"/>
    <mergeCell ref="B12:D12"/>
    <mergeCell ref="B13:D13"/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57:D157"/>
    <mergeCell ref="B160:D160"/>
    <mergeCell ref="F160:S160"/>
    <mergeCell ref="Q164:S164"/>
    <mergeCell ref="B145:D145"/>
    <mergeCell ref="B146:D146"/>
    <mergeCell ref="B147:D147"/>
    <mergeCell ref="B148:D148"/>
    <mergeCell ref="B151:D151"/>
    <mergeCell ref="B154:D154"/>
    <mergeCell ref="Q165:S165"/>
    <mergeCell ref="Q166:S166"/>
    <mergeCell ref="A168:S168"/>
    <mergeCell ref="A169:A170"/>
    <mergeCell ref="B169:D170"/>
    <mergeCell ref="F169:H169"/>
    <mergeCell ref="I169:K169"/>
    <mergeCell ref="L169:N169"/>
    <mergeCell ref="O169:Q169"/>
    <mergeCell ref="R169:S169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F193:S193"/>
    <mergeCell ref="A196:S196"/>
    <mergeCell ref="A197:A198"/>
    <mergeCell ref="B197:D198"/>
    <mergeCell ref="F197:H197"/>
    <mergeCell ref="I197:K197"/>
    <mergeCell ref="L197:N197"/>
    <mergeCell ref="O197:Q197"/>
    <mergeCell ref="R197:S197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F221:S221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2" r:id="rId1"/>
  <rowBreaks count="2" manualBreakCount="2">
    <brk id="99" max="18" man="1"/>
    <brk id="138" max="18" man="1"/>
  </rowBreaks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view="pageBreakPreview" zoomScale="50" zoomScaleNormal="50" zoomScaleSheetLayoutView="50" zoomScalePageLayoutView="0" workbookViewId="0" topLeftCell="A1">
      <selection activeCell="L2" sqref="L2"/>
    </sheetView>
  </sheetViews>
  <sheetFormatPr defaultColWidth="9.140625" defaultRowHeight="12.75"/>
  <cols>
    <col min="1" max="1" width="9.00390625" style="10" customWidth="1"/>
    <col min="2" max="2" width="9.140625" style="10" customWidth="1"/>
    <col min="3" max="3" width="21.140625" style="10" customWidth="1"/>
    <col min="4" max="4" width="72.28125" style="10" customWidth="1"/>
    <col min="5" max="5" width="14.421875" style="10" hidden="1" customWidth="1"/>
    <col min="6" max="6" width="24.7109375" style="10" customWidth="1"/>
    <col min="7" max="7" width="32.00390625" style="53" customWidth="1"/>
    <col min="8" max="8" width="9.8515625" style="10" hidden="1" customWidth="1"/>
    <col min="9" max="9" width="29.421875" style="10" customWidth="1"/>
    <col min="10" max="10" width="30.140625" style="53" customWidth="1"/>
    <col min="11" max="11" width="1.421875" style="10" hidden="1" customWidth="1"/>
    <col min="12" max="12" width="28.140625" style="10" customWidth="1"/>
    <col min="13" max="13" width="29.28125" style="53" customWidth="1"/>
    <col min="14" max="14" width="9.8515625" style="10" hidden="1" customWidth="1"/>
    <col min="15" max="15" width="27.00390625" style="10" customWidth="1"/>
    <col min="16" max="16" width="30.140625" style="53" customWidth="1"/>
    <col min="17" max="17" width="29.28125" style="10" customWidth="1"/>
    <col min="18" max="18" width="30.57421875" style="53" customWidth="1"/>
    <col min="19" max="19" width="18.00390625" style="10" customWidth="1"/>
    <col min="20" max="20" width="22.28125" style="10" bestFit="1" customWidth="1"/>
    <col min="21" max="21" width="12.8515625" style="10" customWidth="1"/>
    <col min="22" max="16384" width="9.140625" style="10" customWidth="1"/>
  </cols>
  <sheetData>
    <row r="1" spans="1:22" ht="26.25">
      <c r="A1" s="6"/>
      <c r="B1" s="6"/>
      <c r="C1" s="6"/>
      <c r="D1" s="6"/>
      <c r="E1" s="6"/>
      <c r="F1" s="6"/>
      <c r="G1" s="104"/>
      <c r="H1" s="6"/>
      <c r="I1" s="6"/>
      <c r="J1" s="104"/>
      <c r="K1" s="6"/>
      <c r="L1" s="6"/>
      <c r="M1" s="104"/>
      <c r="N1" s="126"/>
      <c r="O1" s="126"/>
      <c r="P1" s="110" t="s">
        <v>81</v>
      </c>
      <c r="Q1" s="14"/>
      <c r="R1" s="111"/>
      <c r="T1" s="12"/>
      <c r="U1" s="12"/>
      <c r="V1" s="12"/>
    </row>
    <row r="2" spans="1:22" ht="26.25">
      <c r="A2" s="6"/>
      <c r="B2" s="6"/>
      <c r="C2" s="6"/>
      <c r="D2" s="6"/>
      <c r="E2" s="6"/>
      <c r="F2" s="6"/>
      <c r="G2" s="104"/>
      <c r="H2" s="6"/>
      <c r="I2" s="6"/>
      <c r="J2" s="104"/>
      <c r="K2" s="6"/>
      <c r="L2" s="6"/>
      <c r="M2" s="104"/>
      <c r="N2" s="126"/>
      <c r="O2" s="126"/>
      <c r="P2" s="447" t="s">
        <v>31</v>
      </c>
      <c r="Q2" s="447"/>
      <c r="R2" s="447"/>
      <c r="T2" s="12"/>
      <c r="U2" s="12"/>
      <c r="V2" s="12"/>
    </row>
    <row r="3" spans="1:22" ht="26.25">
      <c r="A3" s="6"/>
      <c r="B3" s="6"/>
      <c r="C3" s="6"/>
      <c r="D3" s="6"/>
      <c r="E3" s="6"/>
      <c r="F3" s="6"/>
      <c r="G3" s="104"/>
      <c r="H3" s="6"/>
      <c r="I3" s="6"/>
      <c r="J3" s="104"/>
      <c r="K3" s="6"/>
      <c r="L3" s="6"/>
      <c r="M3" s="104"/>
      <c r="N3" s="126"/>
      <c r="O3" s="126"/>
      <c r="P3" s="447" t="s">
        <v>82</v>
      </c>
      <c r="Q3" s="447"/>
      <c r="R3" s="447"/>
      <c r="T3" s="12"/>
      <c r="U3" s="12"/>
      <c r="V3" s="12"/>
    </row>
    <row r="4" spans="1:22" ht="26.25">
      <c r="A4" s="6"/>
      <c r="B4" s="6"/>
      <c r="C4" s="6"/>
      <c r="D4" s="6"/>
      <c r="E4" s="6"/>
      <c r="F4" s="6"/>
      <c r="G4" s="104"/>
      <c r="H4" s="6"/>
      <c r="I4" s="6"/>
      <c r="J4" s="104"/>
      <c r="K4" s="6"/>
      <c r="L4" s="6"/>
      <c r="M4" s="104"/>
      <c r="N4" s="155"/>
      <c r="O4" s="155"/>
      <c r="P4" s="392" t="s">
        <v>83</v>
      </c>
      <c r="Q4" s="392"/>
      <c r="R4" s="392"/>
      <c r="T4" s="12"/>
      <c r="U4" s="12"/>
      <c r="V4" s="12"/>
    </row>
    <row r="5" spans="1:22" ht="26.25">
      <c r="A5" s="6"/>
      <c r="B5" s="6"/>
      <c r="C5" s="6"/>
      <c r="D5" s="6"/>
      <c r="E5" s="6"/>
      <c r="F5" s="6"/>
      <c r="G5" s="104"/>
      <c r="H5" s="6"/>
      <c r="I5" s="6"/>
      <c r="J5" s="104"/>
      <c r="K5" s="6"/>
      <c r="L5" s="6"/>
      <c r="M5" s="104"/>
      <c r="N5" s="126"/>
      <c r="O5" s="126"/>
      <c r="P5" s="447" t="s">
        <v>143</v>
      </c>
      <c r="Q5" s="447"/>
      <c r="R5" s="447"/>
      <c r="T5" s="12"/>
      <c r="U5" s="12"/>
      <c r="V5" s="12"/>
    </row>
    <row r="6" spans="1:22" ht="26.25">
      <c r="A6" s="6"/>
      <c r="B6" s="6"/>
      <c r="C6" s="6"/>
      <c r="D6" s="6"/>
      <c r="E6" s="6"/>
      <c r="F6" s="6"/>
      <c r="G6" s="104"/>
      <c r="H6" s="6"/>
      <c r="I6" s="6"/>
      <c r="J6" s="104"/>
      <c r="K6" s="6"/>
      <c r="L6" s="6"/>
      <c r="M6" s="104"/>
      <c r="N6" s="153"/>
      <c r="O6" s="153"/>
      <c r="P6" s="154"/>
      <c r="Q6" s="154"/>
      <c r="R6" s="154"/>
      <c r="T6" s="12"/>
      <c r="U6" s="12"/>
      <c r="V6" s="12"/>
    </row>
    <row r="7" spans="1:22" ht="60.75" customHeight="1">
      <c r="A7" s="567" t="s">
        <v>110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568"/>
      <c r="R7" s="568"/>
      <c r="T7" s="12"/>
      <c r="U7" s="12"/>
      <c r="V7" s="12"/>
    </row>
    <row r="8" spans="1:22" ht="33.75" customHeight="1">
      <c r="A8" s="448" t="s">
        <v>111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T8" s="12"/>
      <c r="U8" s="12"/>
      <c r="V8" s="12"/>
    </row>
    <row r="9" spans="1:22" ht="30.75" customHeight="1">
      <c r="A9" s="494" t="s">
        <v>15</v>
      </c>
      <c r="B9" s="485" t="s">
        <v>0</v>
      </c>
      <c r="C9" s="486"/>
      <c r="D9" s="487"/>
      <c r="E9" s="427" t="s">
        <v>1</v>
      </c>
      <c r="F9" s="428"/>
      <c r="G9" s="429"/>
      <c r="H9" s="427" t="s">
        <v>3</v>
      </c>
      <c r="I9" s="428"/>
      <c r="J9" s="429"/>
      <c r="K9" s="427" t="s">
        <v>4</v>
      </c>
      <c r="L9" s="428"/>
      <c r="M9" s="429"/>
      <c r="N9" s="427" t="s">
        <v>6</v>
      </c>
      <c r="O9" s="428"/>
      <c r="P9" s="429"/>
      <c r="Q9" s="427" t="s">
        <v>7</v>
      </c>
      <c r="R9" s="429"/>
      <c r="U9" s="12"/>
      <c r="V9" s="12"/>
    </row>
    <row r="10" spans="1:22" ht="30" customHeight="1">
      <c r="A10" s="495"/>
      <c r="B10" s="488"/>
      <c r="C10" s="489"/>
      <c r="D10" s="490"/>
      <c r="E10" s="130"/>
      <c r="F10" s="130" t="s">
        <v>2</v>
      </c>
      <c r="G10" s="105" t="s">
        <v>5</v>
      </c>
      <c r="H10" s="130"/>
      <c r="I10" s="124" t="s">
        <v>2</v>
      </c>
      <c r="J10" s="105" t="s">
        <v>5</v>
      </c>
      <c r="K10" s="130"/>
      <c r="L10" s="130" t="s">
        <v>2</v>
      </c>
      <c r="M10" s="105" t="s">
        <v>5</v>
      </c>
      <c r="N10" s="130" t="s">
        <v>2</v>
      </c>
      <c r="O10" s="130" t="s">
        <v>2</v>
      </c>
      <c r="P10" s="105" t="s">
        <v>5</v>
      </c>
      <c r="Q10" s="130" t="s">
        <v>2</v>
      </c>
      <c r="R10" s="105" t="s">
        <v>5</v>
      </c>
      <c r="U10" s="12"/>
      <c r="V10" s="12"/>
    </row>
    <row r="11" spans="1:22" s="97" customFormat="1" ht="30" customHeight="1">
      <c r="A11" s="99">
        <v>1</v>
      </c>
      <c r="B11" s="402" t="s">
        <v>33</v>
      </c>
      <c r="C11" s="561"/>
      <c r="D11" s="562"/>
      <c r="E11" s="91">
        <v>22.6</v>
      </c>
      <c r="F11" s="221">
        <v>15</v>
      </c>
      <c r="G11" s="222">
        <f>F11*F49</f>
        <v>85621.2</v>
      </c>
      <c r="H11" s="93">
        <v>7.9</v>
      </c>
      <c r="I11" s="223">
        <v>7</v>
      </c>
      <c r="J11" s="222">
        <f>I11*F49</f>
        <v>39956.56</v>
      </c>
      <c r="K11" s="93">
        <v>2.9</v>
      </c>
      <c r="L11" s="223">
        <v>1</v>
      </c>
      <c r="M11" s="222">
        <f>L11*G49</f>
        <v>6078.46</v>
      </c>
      <c r="N11" s="93">
        <v>20.6</v>
      </c>
      <c r="O11" s="223">
        <v>17</v>
      </c>
      <c r="P11" s="222">
        <f>O11*G49</f>
        <v>103333.82</v>
      </c>
      <c r="Q11" s="93">
        <f aca="true" t="shared" si="0" ref="Q11:R21">F11+I11+L11+O11</f>
        <v>40</v>
      </c>
      <c r="R11" s="222">
        <f t="shared" si="0"/>
        <v>234990.04</v>
      </c>
      <c r="S11" s="94"/>
      <c r="T11" s="100"/>
      <c r="U11" s="96"/>
      <c r="V11" s="95"/>
    </row>
    <row r="12" spans="1:22" s="97" customFormat="1" ht="30" customHeight="1">
      <c r="A12" s="99">
        <v>2</v>
      </c>
      <c r="B12" s="402" t="s">
        <v>41</v>
      </c>
      <c r="C12" s="561"/>
      <c r="D12" s="562"/>
      <c r="E12" s="91"/>
      <c r="F12" s="221">
        <f>F13+F14+F15+F16+F17+F18</f>
        <v>2553.46</v>
      </c>
      <c r="G12" s="222">
        <v>14575353.95</v>
      </c>
      <c r="H12" s="93">
        <f aca="true" t="shared" si="1" ref="H12:P12">H13+H14+H15+H16+H17+H18</f>
        <v>1508.1</v>
      </c>
      <c r="I12" s="223">
        <f t="shared" si="1"/>
        <v>1034.0700000000002</v>
      </c>
      <c r="J12" s="222">
        <v>5902554.28</v>
      </c>
      <c r="K12" s="93">
        <f t="shared" si="1"/>
        <v>453.7</v>
      </c>
      <c r="L12" s="223">
        <f t="shared" si="1"/>
        <v>283.974</v>
      </c>
      <c r="M12" s="222">
        <f t="shared" si="1"/>
        <v>1726124.60004</v>
      </c>
      <c r="N12" s="93">
        <f t="shared" si="1"/>
        <v>3033.1</v>
      </c>
      <c r="O12" s="223">
        <f t="shared" si="1"/>
        <v>2193.691</v>
      </c>
      <c r="P12" s="222">
        <f t="shared" si="1"/>
        <v>13334262.995860001</v>
      </c>
      <c r="Q12" s="93">
        <f>Q13+Q14+Q15+Q16+Q17+Q18</f>
        <v>6065.1900000000005</v>
      </c>
      <c r="R12" s="222">
        <v>35538295.83</v>
      </c>
      <c r="S12" s="94"/>
      <c r="T12" s="100"/>
      <c r="U12" s="96"/>
      <c r="V12" s="95"/>
    </row>
    <row r="13" spans="1:21" s="18" customFormat="1" ht="30.75" customHeight="1">
      <c r="A13" s="90"/>
      <c r="B13" s="399" t="s">
        <v>34</v>
      </c>
      <c r="C13" s="474"/>
      <c r="D13" s="475"/>
      <c r="E13" s="15">
        <v>968.6</v>
      </c>
      <c r="F13" s="224">
        <v>450</v>
      </c>
      <c r="G13" s="225">
        <f>F13*F49</f>
        <v>2568636</v>
      </c>
      <c r="H13" s="226">
        <v>347.1</v>
      </c>
      <c r="I13" s="227">
        <v>210</v>
      </c>
      <c r="J13" s="225">
        <f>I13*F49</f>
        <v>1198696.8</v>
      </c>
      <c r="K13" s="226">
        <v>138.9</v>
      </c>
      <c r="L13" s="227">
        <v>50</v>
      </c>
      <c r="M13" s="225">
        <f>L13*G49</f>
        <v>303923</v>
      </c>
      <c r="N13" s="226">
        <v>879.1</v>
      </c>
      <c r="O13" s="227">
        <v>290</v>
      </c>
      <c r="P13" s="225">
        <f>O13*G49</f>
        <v>1762753.4</v>
      </c>
      <c r="Q13" s="226">
        <f t="shared" si="0"/>
        <v>1000</v>
      </c>
      <c r="R13" s="225">
        <f t="shared" si="0"/>
        <v>5834009.199999999</v>
      </c>
      <c r="S13" s="67"/>
      <c r="T13" s="17"/>
      <c r="U13" s="17"/>
    </row>
    <row r="14" spans="1:22" ht="30" customHeight="1">
      <c r="A14" s="7"/>
      <c r="B14" s="399" t="s">
        <v>35</v>
      </c>
      <c r="C14" s="474"/>
      <c r="D14" s="475"/>
      <c r="E14" s="15">
        <v>275.5</v>
      </c>
      <c r="F14" s="224">
        <v>260.8</v>
      </c>
      <c r="G14" s="225">
        <f>F14*F49</f>
        <v>1488667.264</v>
      </c>
      <c r="H14" s="226">
        <v>101.3</v>
      </c>
      <c r="I14" s="227">
        <v>82.4</v>
      </c>
      <c r="J14" s="225">
        <f>I14*F49</f>
        <v>470345.792</v>
      </c>
      <c r="K14" s="226">
        <v>40.3</v>
      </c>
      <c r="L14" s="227">
        <v>24.8</v>
      </c>
      <c r="M14" s="225">
        <f>L14*G49</f>
        <v>150745.80800000002</v>
      </c>
      <c r="N14" s="226">
        <v>245.5</v>
      </c>
      <c r="O14" s="227">
        <v>214.4</v>
      </c>
      <c r="P14" s="225">
        <f>O14*G49</f>
        <v>1303221.824</v>
      </c>
      <c r="Q14" s="226">
        <f t="shared" si="0"/>
        <v>582.4000000000001</v>
      </c>
      <c r="R14" s="225">
        <v>3412980.68</v>
      </c>
      <c r="S14" s="67"/>
      <c r="T14" s="13"/>
      <c r="U14" s="11"/>
      <c r="V14" s="12"/>
    </row>
    <row r="15" spans="1:22" ht="29.25" customHeight="1">
      <c r="A15" s="7"/>
      <c r="B15" s="399" t="s">
        <v>36</v>
      </c>
      <c r="C15" s="474"/>
      <c r="D15" s="475"/>
      <c r="E15" s="15">
        <v>1020.1</v>
      </c>
      <c r="F15" s="224">
        <v>874.5</v>
      </c>
      <c r="G15" s="225">
        <f>F15*F49</f>
        <v>4991715.96</v>
      </c>
      <c r="H15" s="226">
        <v>343</v>
      </c>
      <c r="I15" s="227">
        <v>313.8</v>
      </c>
      <c r="J15" s="225">
        <f>I15*F49</f>
        <v>1791195.504</v>
      </c>
      <c r="K15" s="226">
        <v>122.2</v>
      </c>
      <c r="L15" s="227">
        <v>95.1</v>
      </c>
      <c r="M15" s="225">
        <f>L15*G49</f>
        <v>578061.546</v>
      </c>
      <c r="N15" s="226">
        <v>920.9</v>
      </c>
      <c r="O15" s="227">
        <v>816.6</v>
      </c>
      <c r="P15" s="225">
        <f>O15*G49</f>
        <v>4963670.436</v>
      </c>
      <c r="Q15" s="226">
        <f t="shared" si="0"/>
        <v>2100</v>
      </c>
      <c r="R15" s="225">
        <f t="shared" si="0"/>
        <v>12324643.445999999</v>
      </c>
      <c r="S15" s="67"/>
      <c r="T15" s="13"/>
      <c r="U15" s="11"/>
      <c r="V15" s="12"/>
    </row>
    <row r="16" spans="1:22" ht="30.75" customHeight="1">
      <c r="A16" s="19"/>
      <c r="B16" s="399" t="s">
        <v>37</v>
      </c>
      <c r="C16" s="474"/>
      <c r="D16" s="475"/>
      <c r="E16" s="8">
        <v>186.3</v>
      </c>
      <c r="F16" s="224">
        <v>215.9</v>
      </c>
      <c r="G16" s="225">
        <f>F16*F49</f>
        <v>1232374.472</v>
      </c>
      <c r="H16" s="226">
        <v>55.3</v>
      </c>
      <c r="I16" s="227">
        <v>74.5</v>
      </c>
      <c r="J16" s="225">
        <f>I16*F49</f>
        <v>425251.96</v>
      </c>
      <c r="K16" s="226">
        <v>2.8</v>
      </c>
      <c r="L16" s="227">
        <v>24.7</v>
      </c>
      <c r="M16" s="225">
        <f>L16*G49</f>
        <v>150137.962</v>
      </c>
      <c r="N16" s="226">
        <v>158.5</v>
      </c>
      <c r="O16" s="227">
        <v>181.1</v>
      </c>
      <c r="P16" s="225">
        <f>O16*G49</f>
        <v>1100809.106</v>
      </c>
      <c r="Q16" s="226">
        <f t="shared" si="0"/>
        <v>496.19999999999993</v>
      </c>
      <c r="R16" s="225">
        <f t="shared" si="0"/>
        <v>2908573.5</v>
      </c>
      <c r="S16" s="67"/>
      <c r="T16" s="13"/>
      <c r="U16" s="11"/>
      <c r="V16" s="12"/>
    </row>
    <row r="17" spans="1:22" ht="24" customHeight="1">
      <c r="A17" s="19"/>
      <c r="B17" s="399" t="s">
        <v>38</v>
      </c>
      <c r="C17" s="474"/>
      <c r="D17" s="475"/>
      <c r="E17" s="8">
        <v>619</v>
      </c>
      <c r="F17" s="224">
        <v>550.4</v>
      </c>
      <c r="G17" s="225">
        <f>F17*F49</f>
        <v>3141727.232</v>
      </c>
      <c r="H17" s="226">
        <v>532.4</v>
      </c>
      <c r="I17" s="227">
        <v>193.1</v>
      </c>
      <c r="J17" s="225">
        <f>I17*F49</f>
        <v>1102230.248</v>
      </c>
      <c r="K17" s="226">
        <v>142.3</v>
      </c>
      <c r="L17" s="227">
        <v>65</v>
      </c>
      <c r="M17" s="225">
        <f>L17*G49</f>
        <v>395099.9</v>
      </c>
      <c r="N17" s="226">
        <v>646.5</v>
      </c>
      <c r="O17" s="227">
        <v>463.1</v>
      </c>
      <c r="P17" s="225">
        <f>O17*G49</f>
        <v>2814934.8260000004</v>
      </c>
      <c r="Q17" s="226">
        <f t="shared" si="0"/>
        <v>1271.6</v>
      </c>
      <c r="R17" s="225">
        <f t="shared" si="0"/>
        <v>7453992.206</v>
      </c>
      <c r="S17" s="67"/>
      <c r="T17" s="13"/>
      <c r="U17" s="11"/>
      <c r="V17" s="12"/>
    </row>
    <row r="18" spans="1:22" ht="48" customHeight="1">
      <c r="A18" s="19"/>
      <c r="B18" s="399" t="s">
        <v>39</v>
      </c>
      <c r="C18" s="474"/>
      <c r="D18" s="475"/>
      <c r="E18" s="8">
        <v>277.52</v>
      </c>
      <c r="F18" s="228">
        <v>201.86</v>
      </c>
      <c r="G18" s="225">
        <f>F18*F49</f>
        <v>1152233.0288</v>
      </c>
      <c r="H18" s="226">
        <v>129</v>
      </c>
      <c r="I18" s="229">
        <v>160.27</v>
      </c>
      <c r="J18" s="225">
        <f>I18*F49</f>
        <v>914833.9816</v>
      </c>
      <c r="K18" s="226">
        <v>7.2</v>
      </c>
      <c r="L18" s="229">
        <v>24.374</v>
      </c>
      <c r="M18" s="225">
        <f>L18*G49</f>
        <v>148156.38404</v>
      </c>
      <c r="N18" s="226">
        <v>182.6</v>
      </c>
      <c r="O18" s="229">
        <v>228.491</v>
      </c>
      <c r="P18" s="225">
        <f>O18*G49</f>
        <v>1388873.4038600002</v>
      </c>
      <c r="Q18" s="226">
        <v>614.99</v>
      </c>
      <c r="R18" s="225">
        <v>3604096.79</v>
      </c>
      <c r="S18" s="68"/>
      <c r="T18" s="13"/>
      <c r="U18" s="11"/>
      <c r="V18" s="12"/>
    </row>
    <row r="19" spans="1:22" s="97" customFormat="1" ht="30.75" customHeight="1">
      <c r="A19" s="99">
        <v>3</v>
      </c>
      <c r="B19" s="402" t="s">
        <v>42</v>
      </c>
      <c r="C19" s="561"/>
      <c r="D19" s="562"/>
      <c r="E19" s="98"/>
      <c r="F19" s="325">
        <f>SUM(F20:F23)</f>
        <v>268.27</v>
      </c>
      <c r="G19" s="222">
        <f aca="true" t="shared" si="2" ref="G19:P19">SUM(G20:G23)</f>
        <v>1531306.6216000002</v>
      </c>
      <c r="H19" s="93">
        <f t="shared" si="2"/>
        <v>0</v>
      </c>
      <c r="I19" s="324">
        <f t="shared" si="2"/>
        <v>115.22999999999999</v>
      </c>
      <c r="J19" s="222">
        <v>657742.05</v>
      </c>
      <c r="K19" s="93">
        <f t="shared" si="2"/>
        <v>0</v>
      </c>
      <c r="L19" s="324">
        <f t="shared" si="2"/>
        <v>47.71000000000001</v>
      </c>
      <c r="M19" s="222">
        <f t="shared" si="2"/>
        <v>290003.32660000003</v>
      </c>
      <c r="N19" s="93">
        <f t="shared" si="2"/>
        <v>0</v>
      </c>
      <c r="O19" s="324">
        <f t="shared" si="2"/>
        <v>237.44000000000003</v>
      </c>
      <c r="P19" s="222">
        <f t="shared" si="2"/>
        <v>1443269.5424000002</v>
      </c>
      <c r="Q19" s="323">
        <f>F19+I19+L19+O19</f>
        <v>668.6500000000001</v>
      </c>
      <c r="R19" s="222">
        <f>G19+J19+M19+P19</f>
        <v>3922321.5406000004</v>
      </c>
      <c r="S19" s="94"/>
      <c r="T19" s="100"/>
      <c r="U19" s="96"/>
      <c r="V19" s="95"/>
    </row>
    <row r="20" spans="1:22" s="97" customFormat="1" ht="30.75" customHeight="1">
      <c r="A20" s="99"/>
      <c r="B20" s="453" t="s">
        <v>131</v>
      </c>
      <c r="C20" s="416"/>
      <c r="D20" s="417"/>
      <c r="E20" s="98"/>
      <c r="F20" s="376">
        <v>171.97</v>
      </c>
      <c r="G20" s="316">
        <f>F20*F49</f>
        <v>981618.5176</v>
      </c>
      <c r="H20" s="262"/>
      <c r="I20" s="378">
        <v>59.55</v>
      </c>
      <c r="J20" s="316">
        <f>I20*F49</f>
        <v>339916.164</v>
      </c>
      <c r="K20" s="262"/>
      <c r="L20" s="378">
        <v>10.18</v>
      </c>
      <c r="M20" s="316">
        <f>L20*G49</f>
        <v>61878.722799999996</v>
      </c>
      <c r="N20" s="262"/>
      <c r="O20" s="378">
        <v>149.57</v>
      </c>
      <c r="P20" s="316">
        <f>O20*G49</f>
        <v>909155.2622</v>
      </c>
      <c r="Q20" s="321">
        <f t="shared" si="0"/>
        <v>391.27</v>
      </c>
      <c r="R20" s="316">
        <v>2292568.66</v>
      </c>
      <c r="S20" s="94"/>
      <c r="T20" s="100"/>
      <c r="U20" s="96"/>
      <c r="V20" s="95"/>
    </row>
    <row r="21" spans="1:22" s="97" customFormat="1" ht="30.75" customHeight="1">
      <c r="A21" s="99"/>
      <c r="B21" s="453" t="s">
        <v>132</v>
      </c>
      <c r="C21" s="416"/>
      <c r="D21" s="417"/>
      <c r="E21" s="98"/>
      <c r="F21" s="376">
        <v>16.67</v>
      </c>
      <c r="G21" s="316">
        <f>F21*F49</f>
        <v>95153.69360000001</v>
      </c>
      <c r="H21" s="262"/>
      <c r="I21" s="378">
        <v>16.67</v>
      </c>
      <c r="J21" s="316">
        <f>I21*F49</f>
        <v>95153.69360000001</v>
      </c>
      <c r="K21" s="262"/>
      <c r="L21" s="378">
        <v>16.67</v>
      </c>
      <c r="M21" s="316">
        <f>L21*G49</f>
        <v>101327.92820000001</v>
      </c>
      <c r="N21" s="262"/>
      <c r="O21" s="378">
        <v>16.67</v>
      </c>
      <c r="P21" s="316">
        <f>O21*G49</f>
        <v>101327.92820000001</v>
      </c>
      <c r="Q21" s="321">
        <f t="shared" si="0"/>
        <v>66.68</v>
      </c>
      <c r="R21" s="316">
        <f t="shared" si="0"/>
        <v>392963.24360000005</v>
      </c>
      <c r="S21" s="94"/>
      <c r="T21" s="100"/>
      <c r="U21" s="96"/>
      <c r="V21" s="95"/>
    </row>
    <row r="22" spans="1:22" s="97" customFormat="1" ht="30.75" customHeight="1">
      <c r="A22" s="99"/>
      <c r="B22" s="405" t="s">
        <v>136</v>
      </c>
      <c r="C22" s="416"/>
      <c r="D22" s="417"/>
      <c r="E22" s="276"/>
      <c r="F22" s="311">
        <v>17.02</v>
      </c>
      <c r="G22" s="316">
        <f>F22*F49</f>
        <v>97151.5216</v>
      </c>
      <c r="H22" s="262"/>
      <c r="I22" s="313">
        <v>17.02</v>
      </c>
      <c r="J22" s="316">
        <f>I22*F49</f>
        <v>97151.5216</v>
      </c>
      <c r="K22" s="262"/>
      <c r="L22" s="313">
        <v>17.02</v>
      </c>
      <c r="M22" s="316">
        <f>L22*G49</f>
        <v>103455.3892</v>
      </c>
      <c r="N22" s="262"/>
      <c r="O22" s="313">
        <v>17.02</v>
      </c>
      <c r="P22" s="316">
        <f>O22*G49</f>
        <v>103455.3892</v>
      </c>
      <c r="Q22" s="321">
        <f aca="true" t="shared" si="3" ref="Q22:R24">F22+I22+L22+O22</f>
        <v>68.08</v>
      </c>
      <c r="R22" s="316">
        <f t="shared" si="3"/>
        <v>401213.8216</v>
      </c>
      <c r="S22" s="94"/>
      <c r="T22" s="100"/>
      <c r="U22" s="96"/>
      <c r="V22" s="95"/>
    </row>
    <row r="23" spans="1:22" s="97" customFormat="1" ht="30.75" customHeight="1">
      <c r="A23" s="99"/>
      <c r="B23" s="405" t="s">
        <v>137</v>
      </c>
      <c r="C23" s="416"/>
      <c r="D23" s="417"/>
      <c r="E23" s="276"/>
      <c r="F23" s="311">
        <v>62.61</v>
      </c>
      <c r="G23" s="316">
        <f>F23*F49</f>
        <v>357382.8888</v>
      </c>
      <c r="H23" s="262"/>
      <c r="I23" s="313">
        <v>21.99</v>
      </c>
      <c r="J23" s="316">
        <f>I23*F49</f>
        <v>125520.67919999998</v>
      </c>
      <c r="K23" s="262"/>
      <c r="L23" s="313">
        <v>3.84</v>
      </c>
      <c r="M23" s="316">
        <f>L23*G49</f>
        <v>23341.2864</v>
      </c>
      <c r="N23" s="262"/>
      <c r="O23" s="313">
        <v>54.18</v>
      </c>
      <c r="P23" s="316">
        <f>O23*G49</f>
        <v>329330.9628</v>
      </c>
      <c r="Q23" s="321">
        <f t="shared" si="3"/>
        <v>142.62</v>
      </c>
      <c r="R23" s="316">
        <f t="shared" si="3"/>
        <v>835575.8171999999</v>
      </c>
      <c r="S23" s="94"/>
      <c r="T23" s="100"/>
      <c r="U23" s="96"/>
      <c r="V23" s="95"/>
    </row>
    <row r="24" spans="1:22" s="97" customFormat="1" ht="39" customHeight="1">
      <c r="A24" s="99">
        <v>4</v>
      </c>
      <c r="B24" s="402" t="s">
        <v>43</v>
      </c>
      <c r="C24" s="561"/>
      <c r="D24" s="562"/>
      <c r="E24" s="98"/>
      <c r="F24" s="221">
        <f>F25+F28+F29</f>
        <v>776.3199999999999</v>
      </c>
      <c r="G24" s="222">
        <v>2128309.58</v>
      </c>
      <c r="H24" s="93">
        <f aca="true" t="shared" si="4" ref="H24:P24">H25+H28+H29</f>
        <v>0</v>
      </c>
      <c r="I24" s="223">
        <f t="shared" si="4"/>
        <v>750.42</v>
      </c>
      <c r="J24" s="222">
        <f t="shared" si="4"/>
        <v>1980470.3147999998</v>
      </c>
      <c r="K24" s="93">
        <f t="shared" si="4"/>
        <v>0</v>
      </c>
      <c r="L24" s="223">
        <f t="shared" si="4"/>
        <v>741.8199999999999</v>
      </c>
      <c r="M24" s="222">
        <f t="shared" si="4"/>
        <v>2009204.5822</v>
      </c>
      <c r="N24" s="93">
        <f t="shared" si="4"/>
        <v>0</v>
      </c>
      <c r="O24" s="223">
        <f t="shared" si="4"/>
        <v>769.8199999999999</v>
      </c>
      <c r="P24" s="222">
        <f t="shared" si="4"/>
        <v>2179401.4622</v>
      </c>
      <c r="Q24" s="93">
        <f t="shared" si="3"/>
        <v>3038.379999999999</v>
      </c>
      <c r="R24" s="222">
        <v>8297385.93</v>
      </c>
      <c r="S24" s="94"/>
      <c r="T24" s="96"/>
      <c r="U24" s="96"/>
      <c r="V24" s="95"/>
    </row>
    <row r="25" spans="1:22" ht="29.25" customHeight="1">
      <c r="A25" s="19"/>
      <c r="B25" s="399" t="s">
        <v>44</v>
      </c>
      <c r="C25" s="474"/>
      <c r="D25" s="475"/>
      <c r="E25" s="8"/>
      <c r="F25" s="224">
        <v>38.5</v>
      </c>
      <c r="G25" s="225">
        <f>F25*F49</f>
        <v>219761.08</v>
      </c>
      <c r="H25" s="226"/>
      <c r="I25" s="227">
        <v>12.6</v>
      </c>
      <c r="J25" s="225">
        <f>I25*F49</f>
        <v>71921.80799999999</v>
      </c>
      <c r="K25" s="226"/>
      <c r="L25" s="227">
        <v>4</v>
      </c>
      <c r="M25" s="225">
        <f>L25*G49</f>
        <v>24313.84</v>
      </c>
      <c r="N25" s="226"/>
      <c r="O25" s="227">
        <v>32</v>
      </c>
      <c r="P25" s="225">
        <f>O25*G49</f>
        <v>194510.72</v>
      </c>
      <c r="Q25" s="226">
        <f aca="true" t="shared" si="5" ref="Q25:R27">F25+I25+L25+O25</f>
        <v>87.1</v>
      </c>
      <c r="R25" s="225">
        <f t="shared" si="5"/>
        <v>510507.448</v>
      </c>
      <c r="S25" s="67"/>
      <c r="T25" s="11"/>
      <c r="U25" s="11"/>
      <c r="V25" s="12"/>
    </row>
    <row r="26" spans="1:22" ht="1.5" customHeight="1" hidden="1">
      <c r="A26" s="19"/>
      <c r="B26" s="399" t="s">
        <v>45</v>
      </c>
      <c r="C26" s="474"/>
      <c r="D26" s="475"/>
      <c r="E26" s="8"/>
      <c r="F26" s="224"/>
      <c r="G26" s="225">
        <f>F26*F49</f>
        <v>0</v>
      </c>
      <c r="H26" s="226"/>
      <c r="I26" s="227"/>
      <c r="J26" s="225">
        <f>I26*F49</f>
        <v>0</v>
      </c>
      <c r="K26" s="226"/>
      <c r="L26" s="227"/>
      <c r="M26" s="225">
        <f>L26*G49</f>
        <v>0</v>
      </c>
      <c r="N26" s="226"/>
      <c r="O26" s="227"/>
      <c r="P26" s="225">
        <f>O26*G49</f>
        <v>0</v>
      </c>
      <c r="Q26" s="226">
        <f t="shared" si="5"/>
        <v>0</v>
      </c>
      <c r="R26" s="225">
        <f t="shared" si="5"/>
        <v>0</v>
      </c>
      <c r="S26" s="67"/>
      <c r="T26" s="11"/>
      <c r="U26" s="11"/>
      <c r="V26" s="12"/>
    </row>
    <row r="27" spans="1:22" ht="38.25" customHeight="1" hidden="1">
      <c r="A27" s="19"/>
      <c r="B27" s="405" t="s">
        <v>133</v>
      </c>
      <c r="C27" s="400"/>
      <c r="D27" s="401"/>
      <c r="E27" s="8"/>
      <c r="F27" s="224"/>
      <c r="G27" s="225">
        <f>F27*F49</f>
        <v>0</v>
      </c>
      <c r="H27" s="226"/>
      <c r="I27" s="227"/>
      <c r="J27" s="225">
        <f>I27*F49</f>
        <v>0</v>
      </c>
      <c r="K27" s="226"/>
      <c r="L27" s="227"/>
      <c r="M27" s="225">
        <f>L27*G49</f>
        <v>0</v>
      </c>
      <c r="N27" s="226"/>
      <c r="O27" s="227"/>
      <c r="P27" s="225">
        <f>O27*G49</f>
        <v>0</v>
      </c>
      <c r="Q27" s="226">
        <f t="shared" si="5"/>
        <v>0</v>
      </c>
      <c r="R27" s="225">
        <f t="shared" si="5"/>
        <v>0</v>
      </c>
      <c r="S27" s="67"/>
      <c r="T27" s="11"/>
      <c r="U27" s="11"/>
      <c r="V27" s="12"/>
    </row>
    <row r="28" spans="1:22" ht="38.25" customHeight="1">
      <c r="A28" s="19"/>
      <c r="B28" s="405" t="s">
        <v>133</v>
      </c>
      <c r="C28" s="400"/>
      <c r="D28" s="401"/>
      <c r="E28" s="8"/>
      <c r="F28" s="266">
        <v>43.68</v>
      </c>
      <c r="G28" s="225">
        <f>F28*I49</f>
        <v>112988.8032</v>
      </c>
      <c r="H28" s="226"/>
      <c r="I28" s="269">
        <v>43.68</v>
      </c>
      <c r="J28" s="225">
        <f>I28*I49</f>
        <v>112988.8032</v>
      </c>
      <c r="K28" s="226"/>
      <c r="L28" s="269">
        <v>43.68</v>
      </c>
      <c r="M28" s="225">
        <f>L28*J49</f>
        <v>117508.3728</v>
      </c>
      <c r="N28" s="226"/>
      <c r="O28" s="269">
        <v>43.68</v>
      </c>
      <c r="P28" s="225">
        <f>O28*J49</f>
        <v>117508.3728</v>
      </c>
      <c r="Q28" s="226">
        <f>F28+I28+L28+O28</f>
        <v>174.72</v>
      </c>
      <c r="R28" s="225">
        <v>460994.34</v>
      </c>
      <c r="S28" s="67"/>
      <c r="T28" s="11"/>
      <c r="U28" s="11"/>
      <c r="V28" s="12"/>
    </row>
    <row r="29" spans="1:22" ht="38.25" customHeight="1">
      <c r="A29" s="19"/>
      <c r="B29" s="405" t="s">
        <v>134</v>
      </c>
      <c r="C29" s="400"/>
      <c r="D29" s="401"/>
      <c r="E29" s="8"/>
      <c r="F29" s="266">
        <v>694.14</v>
      </c>
      <c r="G29" s="225">
        <f>F29*I49</f>
        <v>1795559.7036</v>
      </c>
      <c r="H29" s="226"/>
      <c r="I29" s="269">
        <v>694.14</v>
      </c>
      <c r="J29" s="225">
        <f>I29*I49</f>
        <v>1795559.7036</v>
      </c>
      <c r="K29" s="226"/>
      <c r="L29" s="269">
        <v>694.14</v>
      </c>
      <c r="M29" s="225">
        <f>L29*J49</f>
        <v>1867382.3694</v>
      </c>
      <c r="N29" s="226"/>
      <c r="O29" s="269">
        <v>694.14</v>
      </c>
      <c r="P29" s="225">
        <f>O29*J49</f>
        <v>1867382.3694</v>
      </c>
      <c r="Q29" s="226">
        <f>F29+I29+L29+O29</f>
        <v>2776.56</v>
      </c>
      <c r="R29" s="225">
        <v>7325884.14</v>
      </c>
      <c r="S29" s="67"/>
      <c r="T29" s="11"/>
      <c r="U29" s="11"/>
      <c r="V29" s="12"/>
    </row>
    <row r="30" spans="1:22" s="97" customFormat="1" ht="39.75" customHeight="1">
      <c r="A30" s="99">
        <v>5</v>
      </c>
      <c r="B30" s="402" t="s">
        <v>47</v>
      </c>
      <c r="C30" s="561"/>
      <c r="D30" s="562"/>
      <c r="E30" s="98"/>
      <c r="F30" s="221">
        <f>F31+F32+F33+F34</f>
        <v>587.9200000000001</v>
      </c>
      <c r="G30" s="222">
        <f>F30*F49</f>
        <v>3355894.3936000005</v>
      </c>
      <c r="H30" s="93"/>
      <c r="I30" s="223">
        <f>I31+I32+I33+I34</f>
        <v>259.69</v>
      </c>
      <c r="J30" s="222">
        <f>J31+J32+J33+J34</f>
        <v>1482331.2951999998</v>
      </c>
      <c r="K30" s="93"/>
      <c r="L30" s="223">
        <f>L31+L32+L33+L34</f>
        <v>134.26</v>
      </c>
      <c r="M30" s="222">
        <v>816094.05</v>
      </c>
      <c r="N30" s="93"/>
      <c r="O30" s="223">
        <f>O31+O32+O33+O34</f>
        <v>440.49</v>
      </c>
      <c r="P30" s="222">
        <f>P31+P32+P33+P34</f>
        <v>2677500.8454</v>
      </c>
      <c r="Q30" s="93">
        <f>Q31+Q32+Q33+Q34</f>
        <v>1422.3600000000001</v>
      </c>
      <c r="R30" s="222">
        <f>R31+R32+R33+R34</f>
        <v>8331820.5938</v>
      </c>
      <c r="S30" s="94"/>
      <c r="T30" s="96"/>
      <c r="U30" s="96"/>
      <c r="V30" s="95"/>
    </row>
    <row r="31" spans="1:22" ht="25.5" customHeight="1">
      <c r="A31" s="19"/>
      <c r="B31" s="399" t="s">
        <v>48</v>
      </c>
      <c r="C31" s="474"/>
      <c r="D31" s="475"/>
      <c r="E31" s="8"/>
      <c r="F31" s="224">
        <v>12.43</v>
      </c>
      <c r="G31" s="225">
        <f>F31*F49</f>
        <v>70951.4344</v>
      </c>
      <c r="H31" s="226"/>
      <c r="I31" s="227">
        <v>12.43</v>
      </c>
      <c r="J31" s="225">
        <f>I31*F49</f>
        <v>70951.4344</v>
      </c>
      <c r="K31" s="226"/>
      <c r="L31" s="227">
        <v>12.43</v>
      </c>
      <c r="M31" s="225">
        <f>L31*G49</f>
        <v>75555.25779999999</v>
      </c>
      <c r="N31" s="226"/>
      <c r="O31" s="227">
        <v>12.43</v>
      </c>
      <c r="P31" s="225">
        <f>O31*G49</f>
        <v>75555.25779999999</v>
      </c>
      <c r="Q31" s="226">
        <f aca="true" t="shared" si="6" ref="Q31:R33">F31+I31+L31+O31</f>
        <v>49.72</v>
      </c>
      <c r="R31" s="225">
        <f t="shared" si="6"/>
        <v>293013.3844</v>
      </c>
      <c r="S31" s="67"/>
      <c r="T31" s="11"/>
      <c r="U31" s="11"/>
      <c r="V31" s="12"/>
    </row>
    <row r="32" spans="1:22" ht="30" customHeight="1">
      <c r="A32" s="19"/>
      <c r="B32" s="399" t="s">
        <v>49</v>
      </c>
      <c r="C32" s="474"/>
      <c r="D32" s="475"/>
      <c r="E32" s="8"/>
      <c r="F32" s="224">
        <v>380.5</v>
      </c>
      <c r="G32" s="225">
        <f>F32*F49</f>
        <v>2171924.44</v>
      </c>
      <c r="H32" s="226"/>
      <c r="I32" s="227">
        <v>126.2</v>
      </c>
      <c r="J32" s="225">
        <f>I32*F49</f>
        <v>720359.696</v>
      </c>
      <c r="K32" s="226"/>
      <c r="L32" s="227">
        <v>26.22</v>
      </c>
      <c r="M32" s="225">
        <f>L32*G49</f>
        <v>159377.2212</v>
      </c>
      <c r="N32" s="226"/>
      <c r="O32" s="227">
        <v>256.07</v>
      </c>
      <c r="P32" s="225">
        <f>O32*G49</f>
        <v>1556511.2522</v>
      </c>
      <c r="Q32" s="226">
        <f t="shared" si="6"/>
        <v>788.99</v>
      </c>
      <c r="R32" s="225">
        <f t="shared" si="6"/>
        <v>4608172.6094</v>
      </c>
      <c r="S32" s="67"/>
      <c r="T32" s="11"/>
      <c r="U32" s="11"/>
      <c r="V32" s="12"/>
    </row>
    <row r="33" spans="1:22" ht="27.75" customHeight="1">
      <c r="A33" s="19"/>
      <c r="B33" s="399" t="s">
        <v>50</v>
      </c>
      <c r="C33" s="474"/>
      <c r="D33" s="475"/>
      <c r="E33" s="8"/>
      <c r="F33" s="224">
        <v>91.99</v>
      </c>
      <c r="G33" s="225">
        <f>F33*F49</f>
        <v>525086.2792</v>
      </c>
      <c r="H33" s="226"/>
      <c r="I33" s="227">
        <v>91.99</v>
      </c>
      <c r="J33" s="225">
        <f>I33*F49</f>
        <v>525086.2792</v>
      </c>
      <c r="K33" s="226"/>
      <c r="L33" s="227">
        <v>91.99</v>
      </c>
      <c r="M33" s="225">
        <f>L33*G49</f>
        <v>559157.5353999999</v>
      </c>
      <c r="N33" s="226"/>
      <c r="O33" s="227">
        <v>91.99</v>
      </c>
      <c r="P33" s="225">
        <f>O33*G49</f>
        <v>559157.5353999999</v>
      </c>
      <c r="Q33" s="226">
        <f t="shared" si="6"/>
        <v>367.96</v>
      </c>
      <c r="R33" s="225">
        <v>2168487.64</v>
      </c>
      <c r="S33" s="67"/>
      <c r="T33" s="11"/>
      <c r="U33" s="11"/>
      <c r="V33" s="12"/>
    </row>
    <row r="34" spans="1:22" ht="27" customHeight="1">
      <c r="A34" s="19"/>
      <c r="B34" s="399" t="s">
        <v>40</v>
      </c>
      <c r="C34" s="474"/>
      <c r="D34" s="475"/>
      <c r="E34" s="8">
        <v>112.1</v>
      </c>
      <c r="F34" s="224">
        <v>103</v>
      </c>
      <c r="G34" s="225">
        <f>F34*F49</f>
        <v>587932.24</v>
      </c>
      <c r="H34" s="226"/>
      <c r="I34" s="227">
        <v>29.07</v>
      </c>
      <c r="J34" s="225">
        <f>I34*F49</f>
        <v>165933.8856</v>
      </c>
      <c r="K34" s="226"/>
      <c r="L34" s="227">
        <v>3.62</v>
      </c>
      <c r="M34" s="225">
        <f>L34*G49</f>
        <v>22004.0252</v>
      </c>
      <c r="N34" s="226"/>
      <c r="O34" s="227">
        <v>80</v>
      </c>
      <c r="P34" s="225">
        <f>O34*G49</f>
        <v>486276.8</v>
      </c>
      <c r="Q34" s="226">
        <f>F34+I34+L34+O34</f>
        <v>215.69</v>
      </c>
      <c r="R34" s="225">
        <v>1262146.96</v>
      </c>
      <c r="S34" s="67"/>
      <c r="T34" s="11"/>
      <c r="U34" s="11"/>
      <c r="V34" s="12"/>
    </row>
    <row r="35" spans="1:22" s="97" customFormat="1" ht="28.5" customHeight="1">
      <c r="A35" s="99">
        <v>6</v>
      </c>
      <c r="B35" s="402" t="s">
        <v>53</v>
      </c>
      <c r="C35" s="561"/>
      <c r="D35" s="562"/>
      <c r="E35" s="98"/>
      <c r="F35" s="221">
        <f>F36+F37+F38</f>
        <v>950.4</v>
      </c>
      <c r="G35" s="222">
        <f>SUM(G36+G37+G38)</f>
        <v>5424959.232</v>
      </c>
      <c r="H35" s="93"/>
      <c r="I35" s="223">
        <f>I36+I37+I38</f>
        <v>315.2</v>
      </c>
      <c r="J35" s="222">
        <f>J36+J37+J38</f>
        <v>1799186.8159999999</v>
      </c>
      <c r="K35" s="93"/>
      <c r="L35" s="223">
        <f>L36+L37+L38</f>
        <v>96.6</v>
      </c>
      <c r="M35" s="222">
        <f>M36+M37+M38</f>
        <v>587179.236</v>
      </c>
      <c r="N35" s="93"/>
      <c r="O35" s="223">
        <f>O36+O37+O38</f>
        <v>805.8</v>
      </c>
      <c r="P35" s="222">
        <f>P36+P37+P38</f>
        <v>4898023.068</v>
      </c>
      <c r="Q35" s="93">
        <f>Q36+Q37+Q38</f>
        <v>2168</v>
      </c>
      <c r="R35" s="222">
        <f>R36+R37+R38</f>
        <v>12709348.36</v>
      </c>
      <c r="S35" s="94"/>
      <c r="T35" s="96"/>
      <c r="U35" s="96"/>
      <c r="V35" s="95"/>
    </row>
    <row r="36" spans="1:22" ht="39" customHeight="1">
      <c r="A36" s="19"/>
      <c r="B36" s="422" t="s">
        <v>140</v>
      </c>
      <c r="C36" s="423"/>
      <c r="D36" s="424"/>
      <c r="E36" s="8"/>
      <c r="F36" s="224">
        <v>15</v>
      </c>
      <c r="G36" s="225">
        <f>F36*F49</f>
        <v>85621.2</v>
      </c>
      <c r="H36" s="226"/>
      <c r="I36" s="227">
        <v>6</v>
      </c>
      <c r="J36" s="225">
        <f>I36*F49</f>
        <v>34248.479999999996</v>
      </c>
      <c r="K36" s="226"/>
      <c r="L36" s="227">
        <v>1</v>
      </c>
      <c r="M36" s="225">
        <f>L36*G49</f>
        <v>6078.46</v>
      </c>
      <c r="N36" s="226"/>
      <c r="O36" s="227">
        <v>28</v>
      </c>
      <c r="P36" s="225">
        <f>O36*G49</f>
        <v>170196.88</v>
      </c>
      <c r="Q36" s="226">
        <f aca="true" t="shared" si="7" ref="Q36:R45">F36+I36+L36+O36</f>
        <v>50</v>
      </c>
      <c r="R36" s="225">
        <f t="shared" si="7"/>
        <v>296145.02</v>
      </c>
      <c r="S36" s="67"/>
      <c r="T36" s="11"/>
      <c r="U36" s="11"/>
      <c r="V36" s="12"/>
    </row>
    <row r="37" spans="1:22" ht="36" customHeight="1">
      <c r="A37" s="19"/>
      <c r="B37" s="399" t="s">
        <v>55</v>
      </c>
      <c r="C37" s="474"/>
      <c r="D37" s="475"/>
      <c r="E37" s="8"/>
      <c r="F37" s="224">
        <v>144</v>
      </c>
      <c r="G37" s="225">
        <f>F37*F49</f>
        <v>821963.52</v>
      </c>
      <c r="H37" s="226"/>
      <c r="I37" s="227">
        <v>65</v>
      </c>
      <c r="J37" s="225">
        <f>I37*F49</f>
        <v>371025.2</v>
      </c>
      <c r="K37" s="226"/>
      <c r="L37" s="227">
        <v>13</v>
      </c>
      <c r="M37" s="225">
        <f>L37*G49</f>
        <v>79019.98</v>
      </c>
      <c r="N37" s="226"/>
      <c r="O37" s="227">
        <v>97</v>
      </c>
      <c r="P37" s="225">
        <f>O37*G49</f>
        <v>589610.62</v>
      </c>
      <c r="Q37" s="226">
        <f t="shared" si="7"/>
        <v>319</v>
      </c>
      <c r="R37" s="225">
        <f t="shared" si="7"/>
        <v>1861619.3199999998</v>
      </c>
      <c r="S37" s="67"/>
      <c r="T37" s="11"/>
      <c r="U37" s="11"/>
      <c r="V37" s="12"/>
    </row>
    <row r="38" spans="1:22" ht="34.5" customHeight="1">
      <c r="A38" s="19"/>
      <c r="B38" s="399" t="s">
        <v>84</v>
      </c>
      <c r="C38" s="474"/>
      <c r="D38" s="475"/>
      <c r="E38" s="8"/>
      <c r="F38" s="224">
        <v>791.4</v>
      </c>
      <c r="G38" s="225">
        <f>SUM(F38)*F49</f>
        <v>4517374.512</v>
      </c>
      <c r="H38" s="226"/>
      <c r="I38" s="227">
        <v>244.2</v>
      </c>
      <c r="J38" s="225">
        <f>SUM(I38)*F49</f>
        <v>1393913.136</v>
      </c>
      <c r="K38" s="226"/>
      <c r="L38" s="227">
        <v>82.6</v>
      </c>
      <c r="M38" s="225">
        <f>SUM(L38)*G49</f>
        <v>502080.796</v>
      </c>
      <c r="N38" s="226"/>
      <c r="O38" s="227">
        <v>680.8</v>
      </c>
      <c r="P38" s="225">
        <f>SUM(O38)*G49</f>
        <v>4138215.568</v>
      </c>
      <c r="Q38" s="226">
        <f t="shared" si="7"/>
        <v>1798.9999999999998</v>
      </c>
      <c r="R38" s="225">
        <v>10551584.02</v>
      </c>
      <c r="S38" s="67"/>
      <c r="T38" s="11"/>
      <c r="U38" s="11"/>
      <c r="V38" s="12"/>
    </row>
    <row r="39" spans="1:22" s="97" customFormat="1" ht="34.5" customHeight="1">
      <c r="A39" s="99">
        <v>7</v>
      </c>
      <c r="B39" s="402" t="s">
        <v>56</v>
      </c>
      <c r="C39" s="561"/>
      <c r="D39" s="562"/>
      <c r="E39" s="98"/>
      <c r="F39" s="325">
        <f>SUM(F40:F41)</f>
        <v>178.585</v>
      </c>
      <c r="G39" s="222">
        <v>1019377.46</v>
      </c>
      <c r="H39" s="93">
        <f aca="true" t="shared" si="8" ref="H39:R39">SUM(H40:H41)</f>
        <v>0</v>
      </c>
      <c r="I39" s="327">
        <f t="shared" si="8"/>
        <v>111.495</v>
      </c>
      <c r="J39" s="222">
        <v>636422.37</v>
      </c>
      <c r="K39" s="93">
        <f t="shared" si="8"/>
        <v>0</v>
      </c>
      <c r="L39" s="327">
        <f t="shared" si="8"/>
        <v>84.745</v>
      </c>
      <c r="M39" s="222">
        <v>515119.1</v>
      </c>
      <c r="N39" s="93">
        <f t="shared" si="8"/>
        <v>0</v>
      </c>
      <c r="O39" s="327">
        <f t="shared" si="8"/>
        <v>162.385</v>
      </c>
      <c r="P39" s="222">
        <f t="shared" si="8"/>
        <v>987050.7270999999</v>
      </c>
      <c r="Q39" s="93">
        <f t="shared" si="8"/>
        <v>537.23</v>
      </c>
      <c r="R39" s="222">
        <f t="shared" si="8"/>
        <v>3157969.6598</v>
      </c>
      <c r="S39" s="94"/>
      <c r="T39" s="96"/>
      <c r="U39" s="96"/>
      <c r="V39" s="95"/>
    </row>
    <row r="40" spans="1:22" s="97" customFormat="1" ht="22.5" customHeight="1">
      <c r="A40" s="19"/>
      <c r="B40" s="399" t="s">
        <v>89</v>
      </c>
      <c r="C40" s="400"/>
      <c r="D40" s="401"/>
      <c r="E40" s="8"/>
      <c r="F40" s="326">
        <v>172.9</v>
      </c>
      <c r="G40" s="225">
        <f>SUM(F40)*F49</f>
        <v>986927.032</v>
      </c>
      <c r="H40" s="226"/>
      <c r="I40" s="317">
        <v>105.81</v>
      </c>
      <c r="J40" s="225">
        <f>SUM(I40)*F49</f>
        <v>603971.9448</v>
      </c>
      <c r="K40" s="226"/>
      <c r="L40" s="317">
        <v>79.06</v>
      </c>
      <c r="M40" s="225">
        <f>SUM(L40)*G49</f>
        <v>480563.0476</v>
      </c>
      <c r="N40" s="226"/>
      <c r="O40" s="317">
        <v>156.7</v>
      </c>
      <c r="P40" s="225">
        <f>SUM(O40)*G49</f>
        <v>952494.6819999999</v>
      </c>
      <c r="Q40" s="226">
        <f t="shared" si="7"/>
        <v>514.47</v>
      </c>
      <c r="R40" s="225">
        <v>3023956.7</v>
      </c>
      <c r="S40" s="94"/>
      <c r="T40" s="96"/>
      <c r="U40" s="96"/>
      <c r="V40" s="95"/>
    </row>
    <row r="41" spans="1:22" s="97" customFormat="1" ht="25.5" customHeight="1">
      <c r="A41" s="19"/>
      <c r="B41" s="399" t="s">
        <v>94</v>
      </c>
      <c r="C41" s="400"/>
      <c r="D41" s="401"/>
      <c r="E41" s="8"/>
      <c r="F41" s="326">
        <v>5.685</v>
      </c>
      <c r="G41" s="225">
        <f>SUM(F41)*F49</f>
        <v>32450.4348</v>
      </c>
      <c r="H41" s="226"/>
      <c r="I41" s="317">
        <v>5.685</v>
      </c>
      <c r="J41" s="225">
        <f>SUM(I41)*F49</f>
        <v>32450.4348</v>
      </c>
      <c r="K41" s="226"/>
      <c r="L41" s="317">
        <v>5.685</v>
      </c>
      <c r="M41" s="225">
        <f>SUM(L41)*G49</f>
        <v>34556.045099999996</v>
      </c>
      <c r="N41" s="226"/>
      <c r="O41" s="317">
        <v>5.685</v>
      </c>
      <c r="P41" s="225">
        <f>SUM(O41)*G49</f>
        <v>34556.045099999996</v>
      </c>
      <c r="Q41" s="226">
        <v>22.76</v>
      </c>
      <c r="R41" s="225">
        <f t="shared" si="7"/>
        <v>134012.95979999998</v>
      </c>
      <c r="S41" s="94"/>
      <c r="T41" s="96"/>
      <c r="U41" s="96"/>
      <c r="V41" s="95"/>
    </row>
    <row r="42" spans="1:22" s="97" customFormat="1" ht="34.5" customHeight="1">
      <c r="A42" s="35">
        <v>8</v>
      </c>
      <c r="B42" s="410" t="s">
        <v>85</v>
      </c>
      <c r="C42" s="411"/>
      <c r="D42" s="412"/>
      <c r="E42" s="98"/>
      <c r="F42" s="325">
        <f>SUM(F43:F45)</f>
        <v>102.347</v>
      </c>
      <c r="G42" s="222">
        <f aca="true" t="shared" si="9" ref="G42:P42">SUM(G43:G45)</f>
        <v>584204.86376</v>
      </c>
      <c r="H42" s="93">
        <f t="shared" si="9"/>
        <v>0</v>
      </c>
      <c r="I42" s="327">
        <f t="shared" si="9"/>
        <v>90.681</v>
      </c>
      <c r="J42" s="222">
        <v>517614.4</v>
      </c>
      <c r="K42" s="93">
        <f t="shared" si="9"/>
        <v>0</v>
      </c>
      <c r="L42" s="327">
        <f t="shared" si="9"/>
        <v>8.949</v>
      </c>
      <c r="M42" s="222">
        <f t="shared" si="9"/>
        <v>54396.13854</v>
      </c>
      <c r="N42" s="93">
        <f t="shared" si="9"/>
        <v>0</v>
      </c>
      <c r="O42" s="327">
        <f t="shared" si="9"/>
        <v>116.56</v>
      </c>
      <c r="P42" s="222">
        <f t="shared" si="9"/>
        <v>708505.2975999999</v>
      </c>
      <c r="Q42" s="93">
        <f t="shared" si="7"/>
        <v>318.53700000000003</v>
      </c>
      <c r="R42" s="222">
        <f t="shared" si="7"/>
        <v>1864720.6999</v>
      </c>
      <c r="S42" s="94"/>
      <c r="T42" s="96"/>
      <c r="U42" s="96"/>
      <c r="V42" s="95"/>
    </row>
    <row r="43" spans="1:22" s="97" customFormat="1" ht="22.5" customHeight="1">
      <c r="A43" s="35"/>
      <c r="B43" s="399" t="s">
        <v>86</v>
      </c>
      <c r="C43" s="474"/>
      <c r="D43" s="475"/>
      <c r="E43" s="98"/>
      <c r="F43" s="328">
        <v>4.25</v>
      </c>
      <c r="G43" s="243">
        <f>SUM(F43)*F49</f>
        <v>24259.34</v>
      </c>
      <c r="H43" s="244"/>
      <c r="I43" s="329">
        <v>4.5</v>
      </c>
      <c r="J43" s="243">
        <f>SUM(I43)*F49</f>
        <v>25686.36</v>
      </c>
      <c r="K43" s="244"/>
      <c r="L43" s="329">
        <v>0.28</v>
      </c>
      <c r="M43" s="243">
        <f>SUM(L43)*G49</f>
        <v>1701.9688</v>
      </c>
      <c r="N43" s="244"/>
      <c r="O43" s="329">
        <v>4.5</v>
      </c>
      <c r="P43" s="243">
        <f>SUM(O43)*G49</f>
        <v>27353.07</v>
      </c>
      <c r="Q43" s="244">
        <f t="shared" si="7"/>
        <v>13.53</v>
      </c>
      <c r="R43" s="243">
        <f>SUM(G43)+J43+M43+P43</f>
        <v>79000.73879999999</v>
      </c>
      <c r="S43" s="94"/>
      <c r="T43" s="96"/>
      <c r="U43" s="96"/>
      <c r="V43" s="95"/>
    </row>
    <row r="44" spans="1:22" s="97" customFormat="1" ht="24" customHeight="1">
      <c r="A44" s="35"/>
      <c r="B44" s="399" t="s">
        <v>87</v>
      </c>
      <c r="C44" s="474"/>
      <c r="D44" s="475"/>
      <c r="E44" s="98"/>
      <c r="F44" s="328">
        <v>73.74</v>
      </c>
      <c r="G44" s="243">
        <f>SUM(F44)*F49</f>
        <v>420913.81919999997</v>
      </c>
      <c r="H44" s="244"/>
      <c r="I44" s="329">
        <v>73.74</v>
      </c>
      <c r="J44" s="243">
        <f>SUM(I44)*F49</f>
        <v>420913.81919999997</v>
      </c>
      <c r="K44" s="244"/>
      <c r="L44" s="329">
        <v>4.83</v>
      </c>
      <c r="M44" s="243">
        <f>SUM(L44)*G49</f>
        <v>29358.9618</v>
      </c>
      <c r="N44" s="244"/>
      <c r="O44" s="329">
        <v>91.97</v>
      </c>
      <c r="P44" s="243">
        <f>SUM(O44)*G49</f>
        <v>559035.9662</v>
      </c>
      <c r="Q44" s="244">
        <f t="shared" si="7"/>
        <v>244.28</v>
      </c>
      <c r="R44" s="243">
        <f>SUM(G44)+J44+M44+P44</f>
        <v>1430222.5664</v>
      </c>
      <c r="S44" s="94"/>
      <c r="T44" s="96"/>
      <c r="U44" s="96"/>
      <c r="V44" s="95"/>
    </row>
    <row r="45" spans="1:22" s="97" customFormat="1" ht="21" customHeight="1">
      <c r="A45" s="35"/>
      <c r="B45" s="405" t="s">
        <v>100</v>
      </c>
      <c r="C45" s="400"/>
      <c r="D45" s="401"/>
      <c r="E45" s="276"/>
      <c r="F45" s="326">
        <v>24.357</v>
      </c>
      <c r="G45" s="225">
        <f>SUM(F45)*F49</f>
        <v>139031.70455999998</v>
      </c>
      <c r="H45" s="226"/>
      <c r="I45" s="317">
        <v>12.441</v>
      </c>
      <c r="J45" s="225">
        <f>SUM(I45)*F49</f>
        <v>71014.22328</v>
      </c>
      <c r="K45" s="226"/>
      <c r="L45" s="317">
        <v>3.839</v>
      </c>
      <c r="M45" s="225">
        <f>SUM(L45)*G49</f>
        <v>23335.20794</v>
      </c>
      <c r="N45" s="226"/>
      <c r="O45" s="317">
        <v>20.09</v>
      </c>
      <c r="P45" s="225">
        <f>SUM(O45)*G49</f>
        <v>122116.2614</v>
      </c>
      <c r="Q45" s="226">
        <f t="shared" si="7"/>
        <v>60.727000000000004</v>
      </c>
      <c r="R45" s="225">
        <v>355497.39</v>
      </c>
      <c r="S45" s="94"/>
      <c r="T45" s="96"/>
      <c r="U45" s="96"/>
      <c r="V45" s="95"/>
    </row>
    <row r="46" spans="1:22" ht="30.75" customHeight="1">
      <c r="A46" s="19"/>
      <c r="B46" s="563" t="s">
        <v>19</v>
      </c>
      <c r="C46" s="564"/>
      <c r="D46" s="565"/>
      <c r="E46" s="15" t="e">
        <f>E11+#REF!+#REF!+E13+E14+E15+E16+E17+E18+E34+#REF!+#REF!+#REF!</f>
        <v>#REF!</v>
      </c>
      <c r="F46" s="233">
        <v>5432.31</v>
      </c>
      <c r="G46" s="234">
        <v>28705027.29</v>
      </c>
      <c r="H46" s="60">
        <f aca="true" t="shared" si="10" ref="H46:Q46">H11+H12+H19+H24+H30+H35+H39+H42</f>
        <v>1516</v>
      </c>
      <c r="I46" s="233">
        <f t="shared" si="10"/>
        <v>2683.786</v>
      </c>
      <c r="J46" s="234">
        <f t="shared" si="10"/>
        <v>13016278.085999997</v>
      </c>
      <c r="K46" s="60">
        <f t="shared" si="10"/>
        <v>456.59999999999997</v>
      </c>
      <c r="L46" s="233">
        <f t="shared" si="10"/>
        <v>1399.058</v>
      </c>
      <c r="M46" s="234">
        <v>6004199.5</v>
      </c>
      <c r="N46" s="60">
        <f t="shared" si="10"/>
        <v>3053.7</v>
      </c>
      <c r="O46" s="233">
        <f t="shared" si="10"/>
        <v>4743.186000000001</v>
      </c>
      <c r="P46" s="234">
        <v>26331347.77</v>
      </c>
      <c r="Q46" s="60">
        <f t="shared" si="10"/>
        <v>14258.347</v>
      </c>
      <c r="R46" s="234">
        <v>74056852.65</v>
      </c>
      <c r="S46" s="69"/>
      <c r="T46" s="20"/>
      <c r="U46" s="12"/>
      <c r="V46" s="12"/>
    </row>
    <row r="47" spans="1:22" ht="27" customHeight="1">
      <c r="A47" s="21"/>
      <c r="B47" s="558" t="s">
        <v>8</v>
      </c>
      <c r="C47" s="559"/>
      <c r="D47" s="560"/>
      <c r="E47" s="427" t="s">
        <v>124</v>
      </c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9"/>
      <c r="T47" s="12"/>
      <c r="U47" s="12"/>
      <c r="V47" s="12"/>
    </row>
    <row r="48" spans="1:18" s="12" customFormat="1" ht="15.75" customHeight="1">
      <c r="A48" s="162"/>
      <c r="B48" s="163"/>
      <c r="C48" s="163"/>
      <c r="D48" s="211"/>
      <c r="E48" s="189"/>
      <c r="F48" s="189"/>
      <c r="G48" s="189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</row>
    <row r="49" spans="1:18" s="12" customFormat="1" ht="28.5" customHeight="1">
      <c r="A49" s="164"/>
      <c r="B49" s="4"/>
      <c r="C49" s="4"/>
      <c r="D49" s="212"/>
      <c r="E49" s="175" t="s">
        <v>11</v>
      </c>
      <c r="F49" s="174">
        <v>5708.08</v>
      </c>
      <c r="G49" s="175">
        <v>6078.46</v>
      </c>
      <c r="H49" s="4"/>
      <c r="I49" s="4">
        <v>2586.74</v>
      </c>
      <c r="J49" s="4">
        <v>2690.21</v>
      </c>
      <c r="K49" s="4"/>
      <c r="L49" s="4"/>
      <c r="M49" s="4"/>
      <c r="N49" s="4"/>
      <c r="O49" s="4"/>
      <c r="P49" s="4"/>
      <c r="Q49" s="4"/>
      <c r="R49" s="4"/>
    </row>
    <row r="50" spans="1:22" ht="31.5" customHeight="1">
      <c r="A50" s="433" t="s">
        <v>112</v>
      </c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T50" s="12"/>
      <c r="U50" s="12"/>
      <c r="V50" s="12"/>
    </row>
    <row r="51" spans="1:22" ht="27.75" customHeight="1">
      <c r="A51" s="484" t="s">
        <v>15</v>
      </c>
      <c r="B51" s="485" t="s">
        <v>0</v>
      </c>
      <c r="C51" s="486"/>
      <c r="D51" s="487"/>
      <c r="E51" s="409" t="s">
        <v>1</v>
      </c>
      <c r="F51" s="409"/>
      <c r="G51" s="409"/>
      <c r="H51" s="409" t="s">
        <v>3</v>
      </c>
      <c r="I51" s="409"/>
      <c r="J51" s="409"/>
      <c r="K51" s="409" t="s">
        <v>4</v>
      </c>
      <c r="L51" s="409"/>
      <c r="M51" s="409"/>
      <c r="N51" s="409" t="s">
        <v>6</v>
      </c>
      <c r="O51" s="409"/>
      <c r="P51" s="409"/>
      <c r="Q51" s="409" t="s">
        <v>7</v>
      </c>
      <c r="R51" s="409"/>
      <c r="T51" s="12"/>
      <c r="U51" s="12"/>
      <c r="V51" s="12"/>
    </row>
    <row r="52" spans="1:22" ht="30" customHeight="1">
      <c r="A52" s="484"/>
      <c r="B52" s="488"/>
      <c r="C52" s="489"/>
      <c r="D52" s="490"/>
      <c r="E52" s="125"/>
      <c r="F52" s="125" t="s">
        <v>9</v>
      </c>
      <c r="G52" s="108" t="s">
        <v>5</v>
      </c>
      <c r="H52" s="125" t="s">
        <v>9</v>
      </c>
      <c r="I52" s="125" t="s">
        <v>9</v>
      </c>
      <c r="J52" s="108" t="s">
        <v>5</v>
      </c>
      <c r="K52" s="125" t="s">
        <v>9</v>
      </c>
      <c r="L52" s="125" t="s">
        <v>9</v>
      </c>
      <c r="M52" s="108" t="s">
        <v>5</v>
      </c>
      <c r="N52" s="125" t="s">
        <v>9</v>
      </c>
      <c r="O52" s="125" t="s">
        <v>9</v>
      </c>
      <c r="P52" s="108" t="s">
        <v>5</v>
      </c>
      <c r="Q52" s="125" t="s">
        <v>9</v>
      </c>
      <c r="R52" s="108" t="s">
        <v>5</v>
      </c>
      <c r="T52" s="12"/>
      <c r="U52" s="12"/>
      <c r="V52" s="12"/>
    </row>
    <row r="53" spans="1:22" s="97" customFormat="1" ht="30" customHeight="1">
      <c r="A53" s="101">
        <v>1</v>
      </c>
      <c r="B53" s="413" t="s">
        <v>33</v>
      </c>
      <c r="C53" s="414"/>
      <c r="D53" s="415"/>
      <c r="E53" s="102">
        <v>1800</v>
      </c>
      <c r="F53" s="235">
        <v>1750</v>
      </c>
      <c r="G53" s="222">
        <f>F53*F87</f>
        <v>10920</v>
      </c>
      <c r="H53" s="222">
        <v>1200</v>
      </c>
      <c r="I53" s="235">
        <v>1750</v>
      </c>
      <c r="J53" s="222">
        <f>I53*F87</f>
        <v>10920</v>
      </c>
      <c r="K53" s="222">
        <v>1500</v>
      </c>
      <c r="L53" s="235">
        <v>1750</v>
      </c>
      <c r="M53" s="222">
        <f>L53*G87</f>
        <v>11357.5</v>
      </c>
      <c r="N53" s="222">
        <v>1500</v>
      </c>
      <c r="O53" s="235">
        <v>1751.1</v>
      </c>
      <c r="P53" s="222">
        <f>O53*G87</f>
        <v>11364.639</v>
      </c>
      <c r="Q53" s="222">
        <f>F53+I53+L53+O53</f>
        <v>7001.1</v>
      </c>
      <c r="R53" s="222">
        <f>G53+J53+M53+P53</f>
        <v>44562.138999999996</v>
      </c>
      <c r="S53" s="94"/>
      <c r="T53" s="95"/>
      <c r="U53" s="96"/>
      <c r="V53" s="95"/>
    </row>
    <row r="54" spans="1:22" s="97" customFormat="1" ht="30" customHeight="1">
      <c r="A54" s="103">
        <v>2</v>
      </c>
      <c r="B54" s="410" t="s">
        <v>41</v>
      </c>
      <c r="C54" s="411"/>
      <c r="D54" s="412"/>
      <c r="E54" s="102"/>
      <c r="F54" s="235">
        <f>F55+F56+F57+F58+F59+F60</f>
        <v>133250</v>
      </c>
      <c r="G54" s="222">
        <f>G55+G56+G57+G58+G59+G60</f>
        <v>831480</v>
      </c>
      <c r="H54" s="222"/>
      <c r="I54" s="235">
        <f>I55+I56+I57+I58+I59+I60</f>
        <v>113820</v>
      </c>
      <c r="J54" s="222">
        <f>J55+J56+J57+J58+J59+J60</f>
        <v>710236.8</v>
      </c>
      <c r="K54" s="222"/>
      <c r="L54" s="235">
        <f>L55+L56+L57+L58+L59+L60</f>
        <v>113149</v>
      </c>
      <c r="M54" s="222">
        <f>M55+M56+M57+M58+M59+M60</f>
        <v>734337.01</v>
      </c>
      <c r="N54" s="222"/>
      <c r="O54" s="235">
        <f>O55+O56+O57+O58+O59+O60</f>
        <v>198010</v>
      </c>
      <c r="P54" s="222">
        <f>P55+P56+P57+P58+P59+P60</f>
        <v>1285084.9</v>
      </c>
      <c r="Q54" s="222">
        <f>Q55+Q56+Q57+Q58+Q59+Q60</f>
        <v>558229</v>
      </c>
      <c r="R54" s="222">
        <f>R55+R56+R57+R58+R59+R60</f>
        <v>3561138.71</v>
      </c>
      <c r="S54" s="94"/>
      <c r="T54" s="95"/>
      <c r="U54" s="96"/>
      <c r="V54" s="95"/>
    </row>
    <row r="55" spans="1:21" s="18" customFormat="1" ht="40.5" customHeight="1">
      <c r="A55" s="33"/>
      <c r="B55" s="393" t="s">
        <v>34</v>
      </c>
      <c r="C55" s="394"/>
      <c r="D55" s="395"/>
      <c r="E55" s="15">
        <v>53000</v>
      </c>
      <c r="F55" s="227">
        <v>40000</v>
      </c>
      <c r="G55" s="225">
        <f>F55*F87</f>
        <v>249600</v>
      </c>
      <c r="H55" s="226">
        <v>36000</v>
      </c>
      <c r="I55" s="227">
        <v>30000</v>
      </c>
      <c r="J55" s="225">
        <f>I55*F87</f>
        <v>187200</v>
      </c>
      <c r="K55" s="226">
        <v>24000</v>
      </c>
      <c r="L55" s="227">
        <v>26600</v>
      </c>
      <c r="M55" s="225">
        <f>L55*G87</f>
        <v>172634</v>
      </c>
      <c r="N55" s="226">
        <v>50000</v>
      </c>
      <c r="O55" s="227">
        <v>64000</v>
      </c>
      <c r="P55" s="225">
        <f>O55*G87</f>
        <v>415360</v>
      </c>
      <c r="Q55" s="226">
        <f aca="true" t="shared" si="11" ref="Q55:Q61">F55+I55+L55+O55</f>
        <v>160600</v>
      </c>
      <c r="R55" s="225">
        <f aca="true" t="shared" si="12" ref="R55:R65">G55+J55+M55+P55</f>
        <v>1024794</v>
      </c>
      <c r="S55" s="67"/>
      <c r="U55" s="17"/>
    </row>
    <row r="56" spans="1:22" ht="42.75" customHeight="1">
      <c r="A56" s="30"/>
      <c r="B56" s="419" t="s">
        <v>35</v>
      </c>
      <c r="C56" s="420"/>
      <c r="D56" s="421"/>
      <c r="E56" s="31">
        <v>27000</v>
      </c>
      <c r="F56" s="236">
        <v>23250</v>
      </c>
      <c r="G56" s="225">
        <f>F56*F87</f>
        <v>145080</v>
      </c>
      <c r="H56" s="225">
        <v>17000</v>
      </c>
      <c r="I56" s="236">
        <v>17820</v>
      </c>
      <c r="J56" s="225">
        <f>I56*F87</f>
        <v>111196.8</v>
      </c>
      <c r="K56" s="225">
        <v>19000</v>
      </c>
      <c r="L56" s="236">
        <v>18549</v>
      </c>
      <c r="M56" s="225">
        <f>L56*G87</f>
        <v>120383.01000000001</v>
      </c>
      <c r="N56" s="225">
        <v>41000</v>
      </c>
      <c r="O56" s="236">
        <v>35010</v>
      </c>
      <c r="P56" s="225">
        <f>O56*G87</f>
        <v>227214.9</v>
      </c>
      <c r="Q56" s="225">
        <f t="shared" si="11"/>
        <v>94629</v>
      </c>
      <c r="R56" s="225">
        <f t="shared" si="12"/>
        <v>603874.71</v>
      </c>
      <c r="S56" s="67"/>
      <c r="T56" s="12"/>
      <c r="U56" s="11"/>
      <c r="V56" s="12"/>
    </row>
    <row r="57" spans="1:22" ht="41.25" customHeight="1">
      <c r="A57" s="33"/>
      <c r="B57" s="393" t="s">
        <v>36</v>
      </c>
      <c r="C57" s="394"/>
      <c r="D57" s="395"/>
      <c r="E57" s="15">
        <v>70000</v>
      </c>
      <c r="F57" s="227">
        <v>20000</v>
      </c>
      <c r="G57" s="225">
        <f>F57*F87</f>
        <v>124800</v>
      </c>
      <c r="H57" s="226">
        <v>55000</v>
      </c>
      <c r="I57" s="227">
        <v>20000</v>
      </c>
      <c r="J57" s="225">
        <f>I57*F87</f>
        <v>124800</v>
      </c>
      <c r="K57" s="226">
        <v>45000</v>
      </c>
      <c r="L57" s="227">
        <v>20000</v>
      </c>
      <c r="M57" s="225">
        <f>L57*G87</f>
        <v>129800</v>
      </c>
      <c r="N57" s="226">
        <v>70000</v>
      </c>
      <c r="O57" s="227">
        <v>30000</v>
      </c>
      <c r="P57" s="225">
        <f>O57*G87</f>
        <v>194700</v>
      </c>
      <c r="Q57" s="226">
        <f t="shared" si="11"/>
        <v>90000</v>
      </c>
      <c r="R57" s="225">
        <f t="shared" si="12"/>
        <v>574100</v>
      </c>
      <c r="S57" s="67"/>
      <c r="T57" s="12"/>
      <c r="U57" s="11"/>
      <c r="V57" s="12"/>
    </row>
    <row r="58" spans="1:22" ht="42.75" customHeight="1">
      <c r="A58" s="35"/>
      <c r="B58" s="408" t="s">
        <v>37</v>
      </c>
      <c r="C58" s="408"/>
      <c r="D58" s="408"/>
      <c r="E58" s="8">
        <v>17000</v>
      </c>
      <c r="F58" s="227">
        <v>20000</v>
      </c>
      <c r="G58" s="225">
        <f>F58*F87</f>
        <v>124800</v>
      </c>
      <c r="H58" s="226">
        <v>14000</v>
      </c>
      <c r="I58" s="227">
        <v>17000</v>
      </c>
      <c r="J58" s="225">
        <f>I58*F87</f>
        <v>106080</v>
      </c>
      <c r="K58" s="226">
        <v>13000</v>
      </c>
      <c r="L58" s="227">
        <v>16000</v>
      </c>
      <c r="M58" s="225">
        <f>L58*G87</f>
        <v>103840</v>
      </c>
      <c r="N58" s="226">
        <v>24000</v>
      </c>
      <c r="O58" s="227">
        <v>26000</v>
      </c>
      <c r="P58" s="225">
        <f>O58*G87</f>
        <v>168740</v>
      </c>
      <c r="Q58" s="226">
        <f t="shared" si="11"/>
        <v>79000</v>
      </c>
      <c r="R58" s="225">
        <f t="shared" si="12"/>
        <v>503460</v>
      </c>
      <c r="S58" s="67"/>
      <c r="T58" s="12"/>
      <c r="U58" s="11"/>
      <c r="V58" s="12"/>
    </row>
    <row r="59" spans="1:22" ht="41.25" customHeight="1">
      <c r="A59" s="35"/>
      <c r="B59" s="408" t="s">
        <v>38</v>
      </c>
      <c r="C59" s="408"/>
      <c r="D59" s="408"/>
      <c r="E59" s="8">
        <v>31000</v>
      </c>
      <c r="F59" s="227">
        <v>24000</v>
      </c>
      <c r="G59" s="225">
        <f>F59*F87</f>
        <v>149760</v>
      </c>
      <c r="H59" s="226">
        <v>27000</v>
      </c>
      <c r="I59" s="227">
        <v>23000</v>
      </c>
      <c r="J59" s="225">
        <f>I59*F87</f>
        <v>143520</v>
      </c>
      <c r="K59" s="226">
        <v>58000</v>
      </c>
      <c r="L59" s="227">
        <v>26000</v>
      </c>
      <c r="M59" s="225">
        <f>L59*G87</f>
        <v>168740</v>
      </c>
      <c r="N59" s="226">
        <v>44000</v>
      </c>
      <c r="O59" s="227">
        <v>37000</v>
      </c>
      <c r="P59" s="225">
        <f>O59*G87</f>
        <v>240130</v>
      </c>
      <c r="Q59" s="226">
        <f t="shared" si="11"/>
        <v>110000</v>
      </c>
      <c r="R59" s="225">
        <f t="shared" si="12"/>
        <v>702150</v>
      </c>
      <c r="S59" s="67"/>
      <c r="T59" s="12"/>
      <c r="U59" s="11"/>
      <c r="V59" s="12"/>
    </row>
    <row r="60" spans="1:22" ht="59.25" customHeight="1">
      <c r="A60" s="35"/>
      <c r="B60" s="408" t="s">
        <v>39</v>
      </c>
      <c r="C60" s="408"/>
      <c r="D60" s="408"/>
      <c r="E60" s="8">
        <v>8000</v>
      </c>
      <c r="F60" s="227">
        <v>6000</v>
      </c>
      <c r="G60" s="225">
        <f>F60*F87</f>
        <v>37440</v>
      </c>
      <c r="H60" s="226">
        <v>12000</v>
      </c>
      <c r="I60" s="227">
        <v>6000</v>
      </c>
      <c r="J60" s="225">
        <f>I60*F87</f>
        <v>37440</v>
      </c>
      <c r="K60" s="226">
        <v>9000</v>
      </c>
      <c r="L60" s="227">
        <v>6000</v>
      </c>
      <c r="M60" s="225">
        <f>L60*G87</f>
        <v>38940</v>
      </c>
      <c r="N60" s="226">
        <v>15000</v>
      </c>
      <c r="O60" s="227">
        <v>6000</v>
      </c>
      <c r="P60" s="225">
        <f>O60*G87</f>
        <v>38940</v>
      </c>
      <c r="Q60" s="226">
        <f t="shared" si="11"/>
        <v>24000</v>
      </c>
      <c r="R60" s="225">
        <f t="shared" si="12"/>
        <v>152760</v>
      </c>
      <c r="S60" s="67"/>
      <c r="T60" s="12"/>
      <c r="U60" s="11"/>
      <c r="V60" s="12"/>
    </row>
    <row r="61" spans="1:22" s="97" customFormat="1" ht="27" customHeight="1">
      <c r="A61" s="103">
        <v>3</v>
      </c>
      <c r="B61" s="410" t="s">
        <v>42</v>
      </c>
      <c r="C61" s="411"/>
      <c r="D61" s="412"/>
      <c r="E61" s="91">
        <v>9000</v>
      </c>
      <c r="F61" s="223">
        <f>SUM(F62:F65)</f>
        <v>27560</v>
      </c>
      <c r="G61" s="222">
        <f aca="true" t="shared" si="13" ref="G61:P61">SUM(G62:G65)</f>
        <v>171974.4</v>
      </c>
      <c r="H61" s="93">
        <f t="shared" si="13"/>
        <v>0</v>
      </c>
      <c r="I61" s="223">
        <f t="shared" si="13"/>
        <v>27560</v>
      </c>
      <c r="J61" s="222">
        <f t="shared" si="13"/>
        <v>171974.4</v>
      </c>
      <c r="K61" s="93">
        <f t="shared" si="13"/>
        <v>0</v>
      </c>
      <c r="L61" s="223">
        <f t="shared" si="13"/>
        <v>27560</v>
      </c>
      <c r="M61" s="222">
        <f t="shared" si="13"/>
        <v>178864.4</v>
      </c>
      <c r="N61" s="93">
        <f t="shared" si="13"/>
        <v>0</v>
      </c>
      <c r="O61" s="223">
        <f t="shared" si="13"/>
        <v>27560</v>
      </c>
      <c r="P61" s="222">
        <f t="shared" si="13"/>
        <v>178864.4</v>
      </c>
      <c r="Q61" s="93">
        <f t="shared" si="11"/>
        <v>110240</v>
      </c>
      <c r="R61" s="222">
        <f t="shared" si="12"/>
        <v>701677.6</v>
      </c>
      <c r="S61" s="94"/>
      <c r="T61" s="95"/>
      <c r="U61" s="96"/>
      <c r="V61" s="95"/>
    </row>
    <row r="62" spans="1:22" s="97" customFormat="1" ht="27" customHeight="1">
      <c r="A62" s="103"/>
      <c r="B62" s="418" t="s">
        <v>135</v>
      </c>
      <c r="C62" s="416"/>
      <c r="D62" s="417"/>
      <c r="E62" s="91"/>
      <c r="F62" s="379">
        <v>21860</v>
      </c>
      <c r="G62" s="305">
        <f>F62*F87</f>
        <v>136406.4</v>
      </c>
      <c r="H62" s="93"/>
      <c r="I62" s="379">
        <v>21860</v>
      </c>
      <c r="J62" s="305">
        <f>I62*F87</f>
        <v>136406.4</v>
      </c>
      <c r="K62" s="93"/>
      <c r="L62" s="379">
        <v>21860</v>
      </c>
      <c r="M62" s="305">
        <f>L62*G87</f>
        <v>141871.4</v>
      </c>
      <c r="N62" s="93"/>
      <c r="O62" s="379">
        <v>21860</v>
      </c>
      <c r="P62" s="305">
        <f>O62*G87</f>
        <v>141871.4</v>
      </c>
      <c r="Q62" s="306">
        <f>F62+I62+L62+O62</f>
        <v>87440</v>
      </c>
      <c r="R62" s="305">
        <f t="shared" si="12"/>
        <v>556555.6</v>
      </c>
      <c r="S62" s="94"/>
      <c r="T62" s="95"/>
      <c r="U62" s="96"/>
      <c r="V62" s="95"/>
    </row>
    <row r="63" spans="1:22" s="97" customFormat="1" ht="27" customHeight="1">
      <c r="A63" s="103"/>
      <c r="B63" s="418" t="s">
        <v>132</v>
      </c>
      <c r="C63" s="416"/>
      <c r="D63" s="417"/>
      <c r="E63" s="91"/>
      <c r="F63" s="379">
        <v>2400</v>
      </c>
      <c r="G63" s="305">
        <f>F63*F87</f>
        <v>14976</v>
      </c>
      <c r="H63" s="93"/>
      <c r="I63" s="379">
        <v>2400</v>
      </c>
      <c r="J63" s="305">
        <f>I63*F87</f>
        <v>14976</v>
      </c>
      <c r="K63" s="93"/>
      <c r="L63" s="379">
        <v>2400</v>
      </c>
      <c r="M63" s="305">
        <f>L63*G87</f>
        <v>15576</v>
      </c>
      <c r="N63" s="93"/>
      <c r="O63" s="379">
        <v>2400</v>
      </c>
      <c r="P63" s="305">
        <f>O63*G87</f>
        <v>15576</v>
      </c>
      <c r="Q63" s="306">
        <f>F63+I63+L63+O63</f>
        <v>9600</v>
      </c>
      <c r="R63" s="305">
        <f t="shared" si="12"/>
        <v>61104</v>
      </c>
      <c r="S63" s="94"/>
      <c r="T63" s="95"/>
      <c r="U63" s="96"/>
      <c r="V63" s="95"/>
    </row>
    <row r="64" spans="1:22" s="97" customFormat="1" ht="27" customHeight="1">
      <c r="A64" s="103"/>
      <c r="B64" s="405" t="s">
        <v>136</v>
      </c>
      <c r="C64" s="416"/>
      <c r="D64" s="417"/>
      <c r="E64" s="91"/>
      <c r="F64" s="227">
        <v>1800</v>
      </c>
      <c r="G64" s="305">
        <f>F64*F87</f>
        <v>11232</v>
      </c>
      <c r="H64" s="93"/>
      <c r="I64" s="227">
        <v>1800</v>
      </c>
      <c r="J64" s="305">
        <f>I64*F87</f>
        <v>11232</v>
      </c>
      <c r="K64" s="93"/>
      <c r="L64" s="227">
        <v>1800</v>
      </c>
      <c r="M64" s="305">
        <f>L64*G87</f>
        <v>11682</v>
      </c>
      <c r="N64" s="93"/>
      <c r="O64" s="227">
        <v>1800</v>
      </c>
      <c r="P64" s="305">
        <f>O64*G87</f>
        <v>11682</v>
      </c>
      <c r="Q64" s="306">
        <f>F64+I64+L64+O64</f>
        <v>7200</v>
      </c>
      <c r="R64" s="305">
        <f t="shared" si="12"/>
        <v>45828</v>
      </c>
      <c r="S64" s="94"/>
      <c r="T64" s="95"/>
      <c r="U64" s="96"/>
      <c r="V64" s="95"/>
    </row>
    <row r="65" spans="1:22" s="97" customFormat="1" ht="27" customHeight="1">
      <c r="A65" s="103"/>
      <c r="B65" s="405" t="s">
        <v>137</v>
      </c>
      <c r="C65" s="416"/>
      <c r="D65" s="417"/>
      <c r="E65" s="91"/>
      <c r="F65" s="227">
        <v>1500</v>
      </c>
      <c r="G65" s="305">
        <f>F65*F87</f>
        <v>9360</v>
      </c>
      <c r="H65" s="93"/>
      <c r="I65" s="227">
        <v>1500</v>
      </c>
      <c r="J65" s="305">
        <f>I65*F87</f>
        <v>9360</v>
      </c>
      <c r="K65" s="93"/>
      <c r="L65" s="227">
        <v>1500</v>
      </c>
      <c r="M65" s="305">
        <f>L65*G87</f>
        <v>9735</v>
      </c>
      <c r="N65" s="93"/>
      <c r="O65" s="227">
        <v>1500</v>
      </c>
      <c r="P65" s="305">
        <f>O65*G87</f>
        <v>9735</v>
      </c>
      <c r="Q65" s="306">
        <f>F65+I65+L65+O65</f>
        <v>6000</v>
      </c>
      <c r="R65" s="305">
        <f t="shared" si="12"/>
        <v>38190</v>
      </c>
      <c r="S65" s="94"/>
      <c r="T65" s="95"/>
      <c r="U65" s="96"/>
      <c r="V65" s="95"/>
    </row>
    <row r="66" spans="1:22" s="97" customFormat="1" ht="28.5" customHeight="1">
      <c r="A66" s="103">
        <v>4</v>
      </c>
      <c r="B66" s="410" t="s">
        <v>43</v>
      </c>
      <c r="C66" s="411"/>
      <c r="D66" s="412"/>
      <c r="E66" s="91">
        <v>20000</v>
      </c>
      <c r="F66" s="223">
        <f>F67+F68+F69</f>
        <v>54055.8</v>
      </c>
      <c r="G66" s="222">
        <f>G67+G68+G69</f>
        <v>337308.19200000004</v>
      </c>
      <c r="H66" s="93"/>
      <c r="I66" s="223">
        <f>I67+I68+I69</f>
        <v>21293.3</v>
      </c>
      <c r="J66" s="222">
        <f>J67+J68+J69</f>
        <v>132870.192</v>
      </c>
      <c r="K66" s="93"/>
      <c r="L66" s="223">
        <f>L67+L68+L69</f>
        <v>14436.5</v>
      </c>
      <c r="M66" s="222">
        <f>M67+M68+M69</f>
        <v>93692.88500000001</v>
      </c>
      <c r="N66" s="93"/>
      <c r="O66" s="223">
        <f>O67+O68+O69</f>
        <v>68819.1</v>
      </c>
      <c r="P66" s="222">
        <f>P67+P68+P69</f>
        <v>446635.95900000003</v>
      </c>
      <c r="Q66" s="93">
        <f>Q67+Q68+Q69</f>
        <v>158604.7</v>
      </c>
      <c r="R66" s="222">
        <f>R67+R68+R69</f>
        <v>1010507.2280000001</v>
      </c>
      <c r="S66" s="94"/>
      <c r="T66" s="95"/>
      <c r="U66" s="96"/>
      <c r="V66" s="95"/>
    </row>
    <row r="67" spans="1:22" ht="40.5" customHeight="1">
      <c r="A67" s="35"/>
      <c r="B67" s="393" t="s">
        <v>44</v>
      </c>
      <c r="C67" s="394"/>
      <c r="D67" s="395"/>
      <c r="E67" s="8"/>
      <c r="F67" s="227">
        <v>5377.8</v>
      </c>
      <c r="G67" s="225">
        <f>F67*F87</f>
        <v>33557.472</v>
      </c>
      <c r="H67" s="226"/>
      <c r="I67" s="227">
        <v>4645.3</v>
      </c>
      <c r="J67" s="225">
        <f>I67*F87</f>
        <v>28986.672000000002</v>
      </c>
      <c r="K67" s="226"/>
      <c r="L67" s="227">
        <v>4901.5</v>
      </c>
      <c r="M67" s="225">
        <f>L67*G87</f>
        <v>31810.735</v>
      </c>
      <c r="N67" s="226"/>
      <c r="O67" s="227">
        <v>5942.1</v>
      </c>
      <c r="P67" s="225">
        <f>O67*G87</f>
        <v>38564.22900000001</v>
      </c>
      <c r="Q67" s="226">
        <f aca="true" t="shared" si="14" ref="Q67:R69">F67+I67+L67+O67</f>
        <v>20866.7</v>
      </c>
      <c r="R67" s="225">
        <f t="shared" si="14"/>
        <v>132919.108</v>
      </c>
      <c r="S67" s="67"/>
      <c r="T67" s="12"/>
      <c r="U67" s="11"/>
      <c r="V67" s="12"/>
    </row>
    <row r="68" spans="1:22" ht="39" customHeight="1">
      <c r="A68" s="35"/>
      <c r="B68" s="393" t="s">
        <v>58</v>
      </c>
      <c r="C68" s="394"/>
      <c r="D68" s="395"/>
      <c r="E68" s="8">
        <v>29400</v>
      </c>
      <c r="F68" s="227">
        <v>42474</v>
      </c>
      <c r="G68" s="225">
        <f>F68*F87</f>
        <v>265037.76</v>
      </c>
      <c r="H68" s="226"/>
      <c r="I68" s="227">
        <v>14312</v>
      </c>
      <c r="J68" s="225">
        <f>I68*F87</f>
        <v>89306.88</v>
      </c>
      <c r="K68" s="226"/>
      <c r="L68" s="227">
        <v>6138</v>
      </c>
      <c r="M68" s="225">
        <f>L68*G87</f>
        <v>39835.62</v>
      </c>
      <c r="N68" s="226"/>
      <c r="O68" s="227">
        <v>56542</v>
      </c>
      <c r="P68" s="225">
        <f>O68*G87</f>
        <v>366957.58</v>
      </c>
      <c r="Q68" s="226">
        <f t="shared" si="14"/>
        <v>119466</v>
      </c>
      <c r="R68" s="225">
        <f t="shared" si="14"/>
        <v>761137.8400000001</v>
      </c>
      <c r="S68" s="67"/>
      <c r="T68" s="12"/>
      <c r="U68" s="11"/>
      <c r="V68" s="12"/>
    </row>
    <row r="69" spans="1:22" ht="36" customHeight="1">
      <c r="A69" s="35"/>
      <c r="B69" s="393" t="s">
        <v>59</v>
      </c>
      <c r="C69" s="394"/>
      <c r="D69" s="395"/>
      <c r="E69" s="8"/>
      <c r="F69" s="227">
        <v>6204</v>
      </c>
      <c r="G69" s="225">
        <f>F69*F87</f>
        <v>38712.96</v>
      </c>
      <c r="H69" s="226"/>
      <c r="I69" s="227">
        <v>2336</v>
      </c>
      <c r="J69" s="225">
        <f>I69*F87</f>
        <v>14576.640000000001</v>
      </c>
      <c r="K69" s="226"/>
      <c r="L69" s="227">
        <v>3397</v>
      </c>
      <c r="M69" s="225">
        <f>L69*G87</f>
        <v>22046.530000000002</v>
      </c>
      <c r="N69" s="226"/>
      <c r="O69" s="227">
        <v>6335</v>
      </c>
      <c r="P69" s="225">
        <f>O69*G87</f>
        <v>41114.15</v>
      </c>
      <c r="Q69" s="226">
        <f t="shared" si="14"/>
        <v>18272</v>
      </c>
      <c r="R69" s="225">
        <f t="shared" si="14"/>
        <v>116450.28</v>
      </c>
      <c r="S69" s="67"/>
      <c r="T69" s="12"/>
      <c r="U69" s="11"/>
      <c r="V69" s="12"/>
    </row>
    <row r="70" spans="1:22" s="97" customFormat="1" ht="27" customHeight="1">
      <c r="A70" s="103">
        <v>5</v>
      </c>
      <c r="B70" s="410" t="s">
        <v>47</v>
      </c>
      <c r="C70" s="411"/>
      <c r="D70" s="412"/>
      <c r="E70" s="98"/>
      <c r="F70" s="223">
        <f>F71+F72+F73+F74</f>
        <v>27639</v>
      </c>
      <c r="G70" s="222">
        <f>G71+G72+G73+G74</f>
        <v>172467.36000000002</v>
      </c>
      <c r="H70" s="93"/>
      <c r="I70" s="223">
        <f>I71+I72+I73+I74</f>
        <v>24645</v>
      </c>
      <c r="J70" s="222">
        <f>J71+J72+J73+J74</f>
        <v>153784.80000000002</v>
      </c>
      <c r="K70" s="93"/>
      <c r="L70" s="223">
        <f>L71+L72+L73+L74</f>
        <v>26938</v>
      </c>
      <c r="M70" s="222">
        <f>M71+M72+M73+M74</f>
        <v>174827.62</v>
      </c>
      <c r="N70" s="93"/>
      <c r="O70" s="223">
        <f>O71+O72+O73+O74</f>
        <v>29247</v>
      </c>
      <c r="P70" s="222">
        <f>P71+P72+P73+P74</f>
        <v>189813.03</v>
      </c>
      <c r="Q70" s="93">
        <f>Q71+Q72+Q73+Q74</f>
        <v>108469</v>
      </c>
      <c r="R70" s="222">
        <f>R71+R72+R73++R74</f>
        <v>690892.81</v>
      </c>
      <c r="S70" s="94"/>
      <c r="T70" s="95"/>
      <c r="U70" s="96"/>
      <c r="V70" s="95"/>
    </row>
    <row r="71" spans="1:22" ht="34.5" customHeight="1">
      <c r="A71" s="35"/>
      <c r="B71" s="393" t="s">
        <v>48</v>
      </c>
      <c r="C71" s="394"/>
      <c r="D71" s="395"/>
      <c r="E71" s="8"/>
      <c r="F71" s="227">
        <v>3193</v>
      </c>
      <c r="G71" s="237">
        <f>F71*F87</f>
        <v>19924.32</v>
      </c>
      <c r="H71" s="226"/>
      <c r="I71" s="227">
        <v>2815</v>
      </c>
      <c r="J71" s="225">
        <f>I71*F87</f>
        <v>17565.600000000002</v>
      </c>
      <c r="K71" s="226"/>
      <c r="L71" s="227">
        <v>2814</v>
      </c>
      <c r="M71" s="225">
        <f>L71*G87</f>
        <v>18262.86</v>
      </c>
      <c r="N71" s="226"/>
      <c r="O71" s="227">
        <v>2588</v>
      </c>
      <c r="P71" s="225">
        <f>O71*G87</f>
        <v>16796.12</v>
      </c>
      <c r="Q71" s="226">
        <f aca="true" t="shared" si="15" ref="Q71:Q78">F71+I71+L71+O71</f>
        <v>11410</v>
      </c>
      <c r="R71" s="225">
        <f>G71+J71+M71+P71</f>
        <v>72548.9</v>
      </c>
      <c r="S71" s="67"/>
      <c r="T71" s="12"/>
      <c r="U71" s="11"/>
      <c r="V71" s="12"/>
    </row>
    <row r="72" spans="1:22" ht="31.5" customHeight="1">
      <c r="A72" s="35"/>
      <c r="B72" s="393" t="s">
        <v>49</v>
      </c>
      <c r="C72" s="394"/>
      <c r="D72" s="395"/>
      <c r="E72" s="8"/>
      <c r="F72" s="227">
        <v>13050</v>
      </c>
      <c r="G72" s="225">
        <f>F72*F87</f>
        <v>81432</v>
      </c>
      <c r="H72" s="226"/>
      <c r="I72" s="227">
        <v>13050</v>
      </c>
      <c r="J72" s="225">
        <f>I72*F87</f>
        <v>81432</v>
      </c>
      <c r="K72" s="226"/>
      <c r="L72" s="227">
        <v>12950</v>
      </c>
      <c r="M72" s="225">
        <f>L72*G87</f>
        <v>84045.5</v>
      </c>
      <c r="N72" s="226"/>
      <c r="O72" s="227">
        <v>13682.38</v>
      </c>
      <c r="P72" s="225">
        <f>O72*G87</f>
        <v>88798.6462</v>
      </c>
      <c r="Q72" s="226">
        <f t="shared" si="15"/>
        <v>52732.38</v>
      </c>
      <c r="R72" s="225">
        <f>G72+J72+M72+P72</f>
        <v>335708.1462</v>
      </c>
      <c r="S72" s="67"/>
      <c r="T72" s="12"/>
      <c r="U72" s="11"/>
      <c r="V72" s="12"/>
    </row>
    <row r="73" spans="1:22" ht="34.5" customHeight="1">
      <c r="A73" s="35"/>
      <c r="B73" s="393" t="s">
        <v>50</v>
      </c>
      <c r="C73" s="394"/>
      <c r="D73" s="395"/>
      <c r="E73" s="8"/>
      <c r="F73" s="227">
        <v>8118</v>
      </c>
      <c r="G73" s="225">
        <f>F73*F87</f>
        <v>50656.32</v>
      </c>
      <c r="H73" s="226"/>
      <c r="I73" s="227">
        <v>7069</v>
      </c>
      <c r="J73" s="225">
        <f>I73*F87</f>
        <v>44110.560000000005</v>
      </c>
      <c r="K73" s="226"/>
      <c r="L73" s="227">
        <v>8715</v>
      </c>
      <c r="M73" s="225">
        <f>L73*G87</f>
        <v>56560.35</v>
      </c>
      <c r="N73" s="226"/>
      <c r="O73" s="227">
        <v>9280.62</v>
      </c>
      <c r="P73" s="225">
        <f>O73*G87</f>
        <v>60231.22380000001</v>
      </c>
      <c r="Q73" s="226">
        <f t="shared" si="15"/>
        <v>33182.62</v>
      </c>
      <c r="R73" s="225">
        <f>G73+J73+M73+P73</f>
        <v>211558.45380000002</v>
      </c>
      <c r="S73" s="67"/>
      <c r="T73" s="12"/>
      <c r="U73" s="11"/>
      <c r="V73" s="12"/>
    </row>
    <row r="74" spans="1:22" ht="33" customHeight="1">
      <c r="A74" s="35"/>
      <c r="B74" s="408" t="s">
        <v>40</v>
      </c>
      <c r="C74" s="408"/>
      <c r="D74" s="408"/>
      <c r="E74" s="8"/>
      <c r="F74" s="227">
        <v>3278</v>
      </c>
      <c r="G74" s="225">
        <f>F74*F87</f>
        <v>20454.72</v>
      </c>
      <c r="H74" s="226"/>
      <c r="I74" s="227">
        <v>1711</v>
      </c>
      <c r="J74" s="225">
        <f>I74*F87</f>
        <v>10676.640000000001</v>
      </c>
      <c r="K74" s="226"/>
      <c r="L74" s="227">
        <v>2459</v>
      </c>
      <c r="M74" s="225">
        <f>L74*G87</f>
        <v>15958.91</v>
      </c>
      <c r="N74" s="226"/>
      <c r="O74" s="227">
        <v>3696</v>
      </c>
      <c r="P74" s="225">
        <f>O74*G87</f>
        <v>23987.04</v>
      </c>
      <c r="Q74" s="226">
        <f t="shared" si="15"/>
        <v>11144</v>
      </c>
      <c r="R74" s="225">
        <f>G74+J74+M74+P74</f>
        <v>71077.31</v>
      </c>
      <c r="S74" s="67"/>
      <c r="T74" s="12"/>
      <c r="U74" s="11"/>
      <c r="V74" s="12"/>
    </row>
    <row r="75" spans="1:22" s="97" customFormat="1" ht="27" customHeight="1">
      <c r="A75" s="103">
        <v>6</v>
      </c>
      <c r="B75" s="410" t="s">
        <v>53</v>
      </c>
      <c r="C75" s="411"/>
      <c r="D75" s="412"/>
      <c r="E75" s="98"/>
      <c r="F75" s="223">
        <f>F76+F77+F78</f>
        <v>216845.17</v>
      </c>
      <c r="G75" s="222">
        <f>G76+G77+G78</f>
        <v>1353113.8608000001</v>
      </c>
      <c r="H75" s="93"/>
      <c r="I75" s="223">
        <f>I76+I77+I78</f>
        <v>195445.17</v>
      </c>
      <c r="J75" s="222">
        <f>J76+J77+J78</f>
        <v>1219577.8608000001</v>
      </c>
      <c r="K75" s="93"/>
      <c r="L75" s="223">
        <f>L76+L77+L78</f>
        <v>189645.17</v>
      </c>
      <c r="M75" s="222">
        <f>M76+M77+M78</f>
        <v>1230797.1533000001</v>
      </c>
      <c r="N75" s="93"/>
      <c r="O75" s="223">
        <f>O76+O77+O78</f>
        <v>204645.17</v>
      </c>
      <c r="P75" s="222">
        <f>P76+P77+P78</f>
        <v>1328147.1533000001</v>
      </c>
      <c r="Q75" s="93">
        <f t="shared" si="15"/>
        <v>806580.68</v>
      </c>
      <c r="R75" s="222">
        <f>R76+R77+R78</f>
        <v>5131636.02</v>
      </c>
      <c r="S75" s="94"/>
      <c r="T75" s="95"/>
      <c r="U75" s="96"/>
      <c r="V75" s="95"/>
    </row>
    <row r="76" spans="1:22" ht="33" customHeight="1">
      <c r="A76" s="35"/>
      <c r="B76" s="422" t="s">
        <v>140</v>
      </c>
      <c r="C76" s="423"/>
      <c r="D76" s="424"/>
      <c r="E76" s="8"/>
      <c r="F76" s="227">
        <v>5200</v>
      </c>
      <c r="G76" s="225">
        <f>F76*F87</f>
        <v>32448</v>
      </c>
      <c r="H76" s="226"/>
      <c r="I76" s="227">
        <v>4800</v>
      </c>
      <c r="J76" s="225">
        <f>I76*F87</f>
        <v>29952</v>
      </c>
      <c r="K76" s="226"/>
      <c r="L76" s="227">
        <v>4000</v>
      </c>
      <c r="M76" s="225">
        <f>L76*G87</f>
        <v>25960</v>
      </c>
      <c r="N76" s="226"/>
      <c r="O76" s="227">
        <v>6000</v>
      </c>
      <c r="P76" s="225">
        <f>O76*G87</f>
        <v>38940</v>
      </c>
      <c r="Q76" s="226">
        <f t="shared" si="15"/>
        <v>20000</v>
      </c>
      <c r="R76" s="225">
        <f>G76+J76+M76+P76</f>
        <v>127300</v>
      </c>
      <c r="S76" s="67"/>
      <c r="T76" s="12"/>
      <c r="U76" s="11"/>
      <c r="V76" s="12"/>
    </row>
    <row r="77" spans="1:22" ht="27" customHeight="1">
      <c r="A77" s="35"/>
      <c r="B77" s="393" t="s">
        <v>55</v>
      </c>
      <c r="C77" s="394"/>
      <c r="D77" s="395"/>
      <c r="E77" s="8"/>
      <c r="F77" s="227">
        <v>30000</v>
      </c>
      <c r="G77" s="225">
        <f>F77*F87</f>
        <v>187200</v>
      </c>
      <c r="H77" s="226"/>
      <c r="I77" s="227">
        <v>9000</v>
      </c>
      <c r="J77" s="225">
        <f>I77*F87</f>
        <v>56160</v>
      </c>
      <c r="K77" s="226"/>
      <c r="L77" s="227">
        <v>4000</v>
      </c>
      <c r="M77" s="225">
        <f>L77*G87</f>
        <v>25960</v>
      </c>
      <c r="N77" s="226"/>
      <c r="O77" s="227">
        <v>17000</v>
      </c>
      <c r="P77" s="225">
        <f>O77*G87</f>
        <v>110330</v>
      </c>
      <c r="Q77" s="226">
        <f t="shared" si="15"/>
        <v>60000</v>
      </c>
      <c r="R77" s="225">
        <f>G77+J77+M77+P77</f>
        <v>379650</v>
      </c>
      <c r="S77" s="67"/>
      <c r="T77" s="12"/>
      <c r="U77" s="11"/>
      <c r="V77" s="12"/>
    </row>
    <row r="78" spans="1:22" ht="34.5" customHeight="1">
      <c r="A78" s="35"/>
      <c r="B78" s="393" t="s">
        <v>84</v>
      </c>
      <c r="C78" s="394"/>
      <c r="D78" s="395"/>
      <c r="E78" s="8"/>
      <c r="F78" s="227">
        <v>181645.17</v>
      </c>
      <c r="G78" s="225">
        <f>SUM(F78)*F87</f>
        <v>1133465.8608000001</v>
      </c>
      <c r="H78" s="226"/>
      <c r="I78" s="227">
        <v>181645.17</v>
      </c>
      <c r="J78" s="225">
        <f>SUM(I78)*F87</f>
        <v>1133465.8608000001</v>
      </c>
      <c r="K78" s="226"/>
      <c r="L78" s="227">
        <v>181645.17</v>
      </c>
      <c r="M78" s="225">
        <f>SUM(L78)*G87</f>
        <v>1178877.1533000001</v>
      </c>
      <c r="N78" s="226"/>
      <c r="O78" s="227">
        <v>181645.17</v>
      </c>
      <c r="P78" s="225">
        <f>SUM(O78)*G87</f>
        <v>1178877.1533000001</v>
      </c>
      <c r="Q78" s="226">
        <f t="shared" si="15"/>
        <v>726580.68</v>
      </c>
      <c r="R78" s="225">
        <v>4624686.02</v>
      </c>
      <c r="S78" s="67"/>
      <c r="T78" s="12"/>
      <c r="U78" s="11"/>
      <c r="V78" s="12"/>
    </row>
    <row r="79" spans="1:22" ht="34.5" customHeight="1">
      <c r="A79" s="103">
        <v>7</v>
      </c>
      <c r="B79" s="410" t="s">
        <v>85</v>
      </c>
      <c r="C79" s="411"/>
      <c r="D79" s="412"/>
      <c r="E79" s="8"/>
      <c r="F79" s="282">
        <f>SUM(F80:F81)</f>
        <v>5703</v>
      </c>
      <c r="G79" s="285">
        <f aca="true" t="shared" si="16" ref="G79:R79">SUM(G80:G81)</f>
        <v>35586.72</v>
      </c>
      <c r="H79" s="281">
        <f t="shared" si="16"/>
        <v>0</v>
      </c>
      <c r="I79" s="282">
        <f>SUM(I80:I81)</f>
        <v>5447</v>
      </c>
      <c r="J79" s="285">
        <f t="shared" si="16"/>
        <v>33989.28</v>
      </c>
      <c r="K79" s="281">
        <f t="shared" si="16"/>
        <v>0</v>
      </c>
      <c r="L79" s="282">
        <f>SUM(L80:L81)</f>
        <v>6414</v>
      </c>
      <c r="M79" s="285">
        <f t="shared" si="16"/>
        <v>41626.86</v>
      </c>
      <c r="N79" s="281">
        <f t="shared" si="16"/>
        <v>0</v>
      </c>
      <c r="O79" s="282">
        <f>SUM(O80:O81)</f>
        <v>5543</v>
      </c>
      <c r="P79" s="285">
        <f t="shared" si="16"/>
        <v>35974.07</v>
      </c>
      <c r="Q79" s="281">
        <f>SUM(Q80:Q81)</f>
        <v>23107</v>
      </c>
      <c r="R79" s="285">
        <f t="shared" si="16"/>
        <v>147176.93</v>
      </c>
      <c r="S79" s="67"/>
      <c r="T79" s="12"/>
      <c r="U79" s="11"/>
      <c r="V79" s="12"/>
    </row>
    <row r="80" spans="1:22" ht="34.5" customHeight="1">
      <c r="A80" s="35"/>
      <c r="B80" s="399" t="s">
        <v>86</v>
      </c>
      <c r="C80" s="474"/>
      <c r="D80" s="475"/>
      <c r="E80" s="8"/>
      <c r="F80" s="227">
        <v>0</v>
      </c>
      <c r="G80" s="225">
        <f>SUM(F80)*F87</f>
        <v>0</v>
      </c>
      <c r="H80" s="226"/>
      <c r="I80" s="227">
        <v>0</v>
      </c>
      <c r="J80" s="225">
        <f>SUM(I80)*F87</f>
        <v>0</v>
      </c>
      <c r="K80" s="226"/>
      <c r="L80" s="227">
        <v>0</v>
      </c>
      <c r="M80" s="225">
        <f>SUM(L80)*G87</f>
        <v>0</v>
      </c>
      <c r="N80" s="226"/>
      <c r="O80" s="227">
        <v>0</v>
      </c>
      <c r="P80" s="225">
        <f>SUM(O80)*G87</f>
        <v>0</v>
      </c>
      <c r="Q80" s="226">
        <f>SUM(F80)+I80+L80+O80</f>
        <v>0</v>
      </c>
      <c r="R80" s="225">
        <f>SUM(G80)+J80+M80+P80</f>
        <v>0</v>
      </c>
      <c r="S80" s="67"/>
      <c r="T80" s="12"/>
      <c r="U80" s="11"/>
      <c r="V80" s="12"/>
    </row>
    <row r="81" spans="1:22" ht="34.5" customHeight="1">
      <c r="A81" s="35"/>
      <c r="B81" s="399" t="s">
        <v>87</v>
      </c>
      <c r="C81" s="474"/>
      <c r="D81" s="475"/>
      <c r="E81" s="8"/>
      <c r="F81" s="227">
        <v>5703</v>
      </c>
      <c r="G81" s="225">
        <f>SUM(F81)*F87</f>
        <v>35586.72</v>
      </c>
      <c r="H81" s="226"/>
      <c r="I81" s="227">
        <v>5447</v>
      </c>
      <c r="J81" s="225">
        <f>SUM(I81)*F87</f>
        <v>33989.28</v>
      </c>
      <c r="K81" s="226"/>
      <c r="L81" s="227">
        <v>6414</v>
      </c>
      <c r="M81" s="225">
        <f>SUM(L81)*G87</f>
        <v>41626.86</v>
      </c>
      <c r="N81" s="226"/>
      <c r="O81" s="227">
        <v>5543</v>
      </c>
      <c r="P81" s="225">
        <f>SUM(O81)*G87</f>
        <v>35974.07</v>
      </c>
      <c r="Q81" s="226">
        <f>SUM(F81)+I81+L81+O81</f>
        <v>23107</v>
      </c>
      <c r="R81" s="225">
        <f>G81+J81+M81+P81</f>
        <v>147176.93</v>
      </c>
      <c r="S81" s="67"/>
      <c r="T81" s="12"/>
      <c r="U81" s="11"/>
      <c r="V81" s="12"/>
    </row>
    <row r="82" spans="1:22" ht="34.5" customHeight="1">
      <c r="A82" s="304">
        <v>8</v>
      </c>
      <c r="B82" s="402" t="s">
        <v>56</v>
      </c>
      <c r="C82" s="403"/>
      <c r="D82" s="404"/>
      <c r="E82" s="98"/>
      <c r="F82" s="223">
        <f>SUM(F83:F84)</f>
        <v>89160</v>
      </c>
      <c r="G82" s="222">
        <f aca="true" t="shared" si="17" ref="G82:R82">SUM(G83:G84)</f>
        <v>556358.4</v>
      </c>
      <c r="H82" s="306">
        <f t="shared" si="17"/>
        <v>0</v>
      </c>
      <c r="I82" s="223">
        <f t="shared" si="17"/>
        <v>61792</v>
      </c>
      <c r="J82" s="222">
        <f t="shared" si="17"/>
        <v>385582.08</v>
      </c>
      <c r="K82" s="306">
        <f t="shared" si="17"/>
        <v>0</v>
      </c>
      <c r="L82" s="223">
        <f t="shared" si="17"/>
        <v>43368</v>
      </c>
      <c r="M82" s="222">
        <f t="shared" si="17"/>
        <v>281458.32</v>
      </c>
      <c r="N82" s="306">
        <f t="shared" si="17"/>
        <v>0</v>
      </c>
      <c r="O82" s="223">
        <f t="shared" si="17"/>
        <v>91168</v>
      </c>
      <c r="P82" s="222">
        <f t="shared" si="17"/>
        <v>591680.3200000001</v>
      </c>
      <c r="Q82" s="93">
        <f t="shared" si="17"/>
        <v>285488</v>
      </c>
      <c r="R82" s="222">
        <f t="shared" si="17"/>
        <v>1815079.12</v>
      </c>
      <c r="S82" s="67"/>
      <c r="T82" s="12"/>
      <c r="U82" s="11"/>
      <c r="V82" s="12"/>
    </row>
    <row r="83" spans="1:22" ht="34.5" customHeight="1">
      <c r="A83" s="35"/>
      <c r="B83" s="399" t="s">
        <v>90</v>
      </c>
      <c r="C83" s="400"/>
      <c r="D83" s="401"/>
      <c r="E83" s="8"/>
      <c r="F83" s="227">
        <v>600</v>
      </c>
      <c r="G83" s="225">
        <f>SUM(F83)*F87</f>
        <v>3744</v>
      </c>
      <c r="H83" s="226"/>
      <c r="I83" s="227">
        <v>600</v>
      </c>
      <c r="J83" s="225">
        <f>SUM(I83)*F87</f>
        <v>3744</v>
      </c>
      <c r="K83" s="226"/>
      <c r="L83" s="227">
        <v>600</v>
      </c>
      <c r="M83" s="225">
        <f>SUM(L83)*G87</f>
        <v>3894</v>
      </c>
      <c r="N83" s="226"/>
      <c r="O83" s="227">
        <v>600</v>
      </c>
      <c r="P83" s="225">
        <f>SUM(O83)*G87</f>
        <v>3894</v>
      </c>
      <c r="Q83" s="226">
        <f>F83+I83+L83+O83</f>
        <v>2400</v>
      </c>
      <c r="R83" s="225">
        <f>G83+J83+M83+P83</f>
        <v>15276</v>
      </c>
      <c r="S83" s="67"/>
      <c r="T83" s="12"/>
      <c r="U83" s="11"/>
      <c r="V83" s="12"/>
    </row>
    <row r="84" spans="1:22" ht="34.5" customHeight="1">
      <c r="A84" s="35"/>
      <c r="B84" s="399" t="s">
        <v>101</v>
      </c>
      <c r="C84" s="400"/>
      <c r="D84" s="401"/>
      <c r="E84" s="8"/>
      <c r="F84" s="227">
        <v>88560</v>
      </c>
      <c r="G84" s="225">
        <f>SUM(F84)*F87</f>
        <v>552614.4</v>
      </c>
      <c r="H84" s="226"/>
      <c r="I84" s="227">
        <v>61192</v>
      </c>
      <c r="J84" s="225">
        <f>SUM(I84)*F87</f>
        <v>381838.08</v>
      </c>
      <c r="K84" s="226"/>
      <c r="L84" s="227">
        <v>42768</v>
      </c>
      <c r="M84" s="225">
        <f>SUM(L84)*G87</f>
        <v>277564.32</v>
      </c>
      <c r="N84" s="226"/>
      <c r="O84" s="227">
        <v>90568</v>
      </c>
      <c r="P84" s="225">
        <f>SUM(O84)*G87</f>
        <v>587786.3200000001</v>
      </c>
      <c r="Q84" s="226">
        <f>F84+I84+L84+O84</f>
        <v>283088</v>
      </c>
      <c r="R84" s="225">
        <f>G84+J84+M84+P84</f>
        <v>1799803.12</v>
      </c>
      <c r="S84" s="67"/>
      <c r="T84" s="12"/>
      <c r="U84" s="11"/>
      <c r="V84" s="12"/>
    </row>
    <row r="85" spans="1:22" ht="36" customHeight="1">
      <c r="A85" s="35"/>
      <c r="B85" s="466" t="s">
        <v>19</v>
      </c>
      <c r="C85" s="466"/>
      <c r="D85" s="466"/>
      <c r="E85" s="15">
        <f>SUM(E53:E68)</f>
        <v>266200</v>
      </c>
      <c r="F85" s="233">
        <f>F53+F54+F61+F66+F70+F75+F79+F82</f>
        <v>555962.97</v>
      </c>
      <c r="G85" s="234">
        <f aca="true" t="shared" si="18" ref="G85:R85">G53+G54+G61+G66+G70+G75+G79+G82</f>
        <v>3469208.9328000005</v>
      </c>
      <c r="H85" s="60">
        <f t="shared" si="18"/>
        <v>1200</v>
      </c>
      <c r="I85" s="233">
        <f t="shared" si="18"/>
        <v>451752.47</v>
      </c>
      <c r="J85" s="234">
        <f t="shared" si="18"/>
        <v>2818935.4128</v>
      </c>
      <c r="K85" s="60">
        <f t="shared" si="18"/>
        <v>1500</v>
      </c>
      <c r="L85" s="233">
        <f t="shared" si="18"/>
        <v>423260.67000000004</v>
      </c>
      <c r="M85" s="234">
        <f t="shared" si="18"/>
        <v>2746961.7483</v>
      </c>
      <c r="N85" s="60">
        <f t="shared" si="18"/>
        <v>1500</v>
      </c>
      <c r="O85" s="233">
        <f t="shared" si="18"/>
        <v>626743.37</v>
      </c>
      <c r="P85" s="234">
        <f t="shared" si="18"/>
        <v>4067564.4712999994</v>
      </c>
      <c r="Q85" s="60">
        <f t="shared" si="18"/>
        <v>2057719.48</v>
      </c>
      <c r="R85" s="234">
        <f t="shared" si="18"/>
        <v>13102670.557</v>
      </c>
      <c r="S85" s="69"/>
      <c r="T85" s="37"/>
      <c r="U85" s="12"/>
      <c r="V85" s="12"/>
    </row>
    <row r="86" spans="1:22" ht="50.25" customHeight="1">
      <c r="A86" s="38"/>
      <c r="B86" s="467" t="s">
        <v>8</v>
      </c>
      <c r="C86" s="467"/>
      <c r="D86" s="467"/>
      <c r="E86" s="427" t="s">
        <v>125</v>
      </c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/>
      <c r="R86" s="429"/>
      <c r="T86" s="12"/>
      <c r="U86" s="12"/>
      <c r="V86" s="12"/>
    </row>
    <row r="87" spans="1:18" s="12" customFormat="1" ht="32.25" customHeight="1">
      <c r="A87" s="5"/>
      <c r="B87" s="5"/>
      <c r="C87" s="5"/>
      <c r="D87" s="5"/>
      <c r="E87" s="5"/>
      <c r="F87" s="176">
        <v>6.24</v>
      </c>
      <c r="G87" s="176">
        <v>6.49</v>
      </c>
      <c r="H87" s="176"/>
      <c r="I87" s="176"/>
      <c r="J87" s="5"/>
      <c r="K87" s="5"/>
      <c r="L87" s="5"/>
      <c r="M87" s="5"/>
      <c r="N87" s="5"/>
      <c r="O87" s="5"/>
      <c r="P87" s="39"/>
      <c r="Q87" s="39"/>
      <c r="R87" s="5"/>
    </row>
    <row r="88" spans="1:18" s="12" customFormat="1" ht="21" customHeight="1">
      <c r="A88" s="152"/>
      <c r="B88" s="150"/>
      <c r="C88" s="150"/>
      <c r="D88" s="150"/>
      <c r="E88" s="5" t="s">
        <v>13</v>
      </c>
      <c r="F88" s="176"/>
      <c r="G88" s="179"/>
      <c r="H88" s="179"/>
      <c r="I88" s="179"/>
      <c r="J88" s="40"/>
      <c r="K88" s="40"/>
      <c r="L88" s="40"/>
      <c r="M88" s="40"/>
      <c r="N88" s="40"/>
      <c r="O88" s="40"/>
      <c r="P88" s="40"/>
      <c r="Q88" s="40"/>
      <c r="R88" s="40"/>
    </row>
    <row r="89" spans="1:22" ht="2.25" customHeight="1">
      <c r="A89" s="41"/>
      <c r="B89" s="42"/>
      <c r="C89" s="42"/>
      <c r="D89" s="42"/>
      <c r="E89" s="43"/>
      <c r="F89" s="6"/>
      <c r="G89" s="104"/>
      <c r="H89" s="6"/>
      <c r="I89" s="6"/>
      <c r="J89" s="109"/>
      <c r="K89" s="44"/>
      <c r="L89" s="44"/>
      <c r="M89" s="109"/>
      <c r="N89" s="44"/>
      <c r="O89" s="44"/>
      <c r="P89" s="112"/>
      <c r="Q89" s="45"/>
      <c r="R89" s="113"/>
      <c r="T89" s="12"/>
      <c r="U89" s="12"/>
      <c r="V89" s="12"/>
    </row>
    <row r="90" spans="1:22" ht="14.25" customHeight="1">
      <c r="A90" s="41"/>
      <c r="B90" s="46"/>
      <c r="C90" s="46"/>
      <c r="D90" s="46"/>
      <c r="E90" s="47"/>
      <c r="F90" s="5"/>
      <c r="G90" s="104"/>
      <c r="H90" s="5"/>
      <c r="I90" s="5"/>
      <c r="J90" s="109"/>
      <c r="K90" s="48"/>
      <c r="L90" s="48"/>
      <c r="M90" s="109"/>
      <c r="N90" s="49"/>
      <c r="O90" s="49"/>
      <c r="P90" s="434"/>
      <c r="Q90" s="434"/>
      <c r="R90" s="434"/>
      <c r="T90" s="12"/>
      <c r="U90" s="12"/>
      <c r="V90" s="12"/>
    </row>
    <row r="91" spans="1:22" ht="9.75" customHeight="1">
      <c r="A91" s="41"/>
      <c r="B91" s="46"/>
      <c r="C91" s="46"/>
      <c r="D91" s="46"/>
      <c r="E91" s="47"/>
      <c r="F91" s="5"/>
      <c r="G91" s="104"/>
      <c r="H91" s="5"/>
      <c r="I91" s="5"/>
      <c r="J91" s="109"/>
      <c r="K91" s="48"/>
      <c r="L91" s="48"/>
      <c r="M91" s="109"/>
      <c r="N91" s="49"/>
      <c r="O91" s="49"/>
      <c r="P91" s="434"/>
      <c r="Q91" s="434"/>
      <c r="R91" s="434"/>
      <c r="T91" s="12"/>
      <c r="U91" s="12"/>
      <c r="V91" s="12"/>
    </row>
    <row r="92" spans="1:22" ht="13.5" customHeight="1" hidden="1">
      <c r="A92" s="41"/>
      <c r="B92" s="46"/>
      <c r="C92" s="46"/>
      <c r="D92" s="46"/>
      <c r="E92" s="47"/>
      <c r="F92" s="5"/>
      <c r="G92" s="104"/>
      <c r="H92" s="5"/>
      <c r="I92" s="5"/>
      <c r="J92" s="109"/>
      <c r="K92" s="48"/>
      <c r="L92" s="48"/>
      <c r="M92" s="109"/>
      <c r="N92" s="49"/>
      <c r="O92" s="49"/>
      <c r="P92" s="434"/>
      <c r="Q92" s="434"/>
      <c r="R92" s="434"/>
      <c r="T92" s="12"/>
      <c r="U92" s="12"/>
      <c r="V92" s="12"/>
    </row>
    <row r="93" spans="1:22" ht="15.75" customHeight="1" hidden="1">
      <c r="A93" s="41"/>
      <c r="B93" s="46"/>
      <c r="C93" s="46"/>
      <c r="D93" s="46"/>
      <c r="E93" s="47"/>
      <c r="F93" s="5"/>
      <c r="G93" s="104"/>
      <c r="H93" s="5"/>
      <c r="I93" s="5"/>
      <c r="J93" s="109"/>
      <c r="K93" s="48"/>
      <c r="L93" s="48"/>
      <c r="M93" s="109"/>
      <c r="N93" s="49"/>
      <c r="O93" s="49"/>
      <c r="P93" s="109"/>
      <c r="Q93" s="49"/>
      <c r="R93" s="109"/>
      <c r="T93" s="12"/>
      <c r="U93" s="12"/>
      <c r="V93" s="12"/>
    </row>
    <row r="94" spans="1:22" ht="26.25" customHeight="1">
      <c r="A94" s="468" t="s">
        <v>113</v>
      </c>
      <c r="B94" s="468"/>
      <c r="C94" s="468"/>
      <c r="D94" s="468"/>
      <c r="E94" s="468"/>
      <c r="F94" s="468"/>
      <c r="G94" s="468"/>
      <c r="H94" s="468"/>
      <c r="I94" s="468"/>
      <c r="J94" s="468"/>
      <c r="K94" s="468"/>
      <c r="L94" s="468"/>
      <c r="M94" s="468"/>
      <c r="N94" s="468"/>
      <c r="O94" s="468"/>
      <c r="P94" s="468"/>
      <c r="Q94" s="468"/>
      <c r="R94" s="468"/>
      <c r="T94" s="12"/>
      <c r="U94" s="12"/>
      <c r="V94" s="12"/>
    </row>
    <row r="95" spans="1:18" ht="25.5">
      <c r="A95" s="469" t="s">
        <v>15</v>
      </c>
      <c r="B95" s="478" t="s">
        <v>0</v>
      </c>
      <c r="C95" s="479"/>
      <c r="D95" s="480"/>
      <c r="E95" s="409" t="s">
        <v>1</v>
      </c>
      <c r="F95" s="409"/>
      <c r="G95" s="409"/>
      <c r="H95" s="409" t="s">
        <v>3</v>
      </c>
      <c r="I95" s="409"/>
      <c r="J95" s="409"/>
      <c r="K95" s="409" t="s">
        <v>4</v>
      </c>
      <c r="L95" s="409"/>
      <c r="M95" s="409"/>
      <c r="N95" s="409" t="s">
        <v>6</v>
      </c>
      <c r="O95" s="409"/>
      <c r="P95" s="409"/>
      <c r="Q95" s="409" t="s">
        <v>7</v>
      </c>
      <c r="R95" s="409"/>
    </row>
    <row r="96" spans="1:18" ht="25.5">
      <c r="A96" s="469"/>
      <c r="B96" s="481"/>
      <c r="C96" s="482"/>
      <c r="D96" s="483"/>
      <c r="F96" s="125" t="s">
        <v>10</v>
      </c>
      <c r="G96" s="108" t="s">
        <v>5</v>
      </c>
      <c r="H96" s="125" t="s">
        <v>10</v>
      </c>
      <c r="I96" s="125" t="s">
        <v>10</v>
      </c>
      <c r="J96" s="108" t="s">
        <v>5</v>
      </c>
      <c r="K96" s="125" t="s">
        <v>10</v>
      </c>
      <c r="L96" s="125" t="s">
        <v>10</v>
      </c>
      <c r="M96" s="108" t="s">
        <v>5</v>
      </c>
      <c r="N96" s="125" t="s">
        <v>10</v>
      </c>
      <c r="O96" s="125" t="s">
        <v>10</v>
      </c>
      <c r="P96" s="108" t="s">
        <v>5</v>
      </c>
      <c r="Q96" s="125" t="s">
        <v>10</v>
      </c>
      <c r="R96" s="108" t="s">
        <v>5</v>
      </c>
    </row>
    <row r="97" spans="1:21" s="97" customFormat="1" ht="32.25" customHeight="1">
      <c r="A97" s="103">
        <v>1</v>
      </c>
      <c r="B97" s="410" t="s">
        <v>33</v>
      </c>
      <c r="C97" s="411"/>
      <c r="D97" s="412"/>
      <c r="E97" s="91">
        <v>14.8</v>
      </c>
      <c r="F97" s="223">
        <v>3.3</v>
      </c>
      <c r="G97" s="222">
        <f>F97*F126</f>
        <v>137.577</v>
      </c>
      <c r="H97" s="93">
        <v>14.8</v>
      </c>
      <c r="I97" s="223">
        <v>3.3</v>
      </c>
      <c r="J97" s="222">
        <f>I97*F126</f>
        <v>137.577</v>
      </c>
      <c r="K97" s="93">
        <v>15</v>
      </c>
      <c r="L97" s="223">
        <v>3.4</v>
      </c>
      <c r="M97" s="222">
        <f>L97*G126</f>
        <v>147.424</v>
      </c>
      <c r="N97" s="93">
        <v>15</v>
      </c>
      <c r="O97" s="223">
        <v>3.3</v>
      </c>
      <c r="P97" s="238">
        <f>O97*G126</f>
        <v>143.088</v>
      </c>
      <c r="Q97" s="239">
        <f>F97+I97+L97+O97</f>
        <v>13.3</v>
      </c>
      <c r="R97" s="238">
        <f>G97+J97+M97+P97</f>
        <v>565.6659999999999</v>
      </c>
      <c r="S97" s="94"/>
      <c r="T97" s="100"/>
      <c r="U97" s="100"/>
    </row>
    <row r="98" spans="1:21" s="97" customFormat="1" ht="32.25" customHeight="1">
      <c r="A98" s="103">
        <v>2</v>
      </c>
      <c r="B98" s="410" t="s">
        <v>41</v>
      </c>
      <c r="C98" s="411"/>
      <c r="D98" s="412"/>
      <c r="E98" s="98"/>
      <c r="F98" s="223">
        <f>F99+F100+F101+F102+F103+F104</f>
        <v>1459</v>
      </c>
      <c r="G98" s="222">
        <f>G99+G100+G101+G102+G103+G104</f>
        <v>66470.71</v>
      </c>
      <c r="H98" s="93"/>
      <c r="I98" s="223">
        <f>I99+I100+I101+I102+I103+I104</f>
        <v>1766.4</v>
      </c>
      <c r="J98" s="222">
        <f>J99+J100+J101+J102+J103+J104</f>
        <v>81995.81599999999</v>
      </c>
      <c r="K98" s="93"/>
      <c r="L98" s="223">
        <f>L99+L100+L101+L102+L103+L104</f>
        <v>1840.8</v>
      </c>
      <c r="M98" s="222">
        <f>M99+M100+M101+M102+M103+M104</f>
        <v>90735.288</v>
      </c>
      <c r="N98" s="93"/>
      <c r="O98" s="223">
        <f>O99+O100+O101+O102+O103+O104</f>
        <v>1893.8</v>
      </c>
      <c r="P98" s="238">
        <f>P99+P100+P101+P102+P103+P104</f>
        <v>91859.368</v>
      </c>
      <c r="Q98" s="239">
        <f>Q99+Q100+Q101+Q102+Q103+Q104</f>
        <v>6960</v>
      </c>
      <c r="R98" s="238">
        <f>R99+R100+R101+R102+R103+R104</f>
        <v>331061.19</v>
      </c>
      <c r="S98" s="94"/>
      <c r="T98" s="100"/>
      <c r="U98" s="100"/>
    </row>
    <row r="99" spans="1:21" s="18" customFormat="1" ht="37.5" customHeight="1">
      <c r="A99" s="33"/>
      <c r="B99" s="393" t="s">
        <v>34</v>
      </c>
      <c r="C99" s="394"/>
      <c r="D99" s="395"/>
      <c r="E99" s="8">
        <v>3068.8</v>
      </c>
      <c r="F99" s="227">
        <v>350</v>
      </c>
      <c r="G99" s="225">
        <f>F99*F126</f>
        <v>14591.5</v>
      </c>
      <c r="H99" s="226">
        <v>2511</v>
      </c>
      <c r="I99" s="227">
        <v>300</v>
      </c>
      <c r="J99" s="225">
        <f>I99*F126</f>
        <v>12507</v>
      </c>
      <c r="K99" s="226">
        <v>2511</v>
      </c>
      <c r="L99" s="227">
        <v>308</v>
      </c>
      <c r="M99" s="225">
        <f>L99*G126</f>
        <v>13354.88</v>
      </c>
      <c r="N99" s="226">
        <v>2511</v>
      </c>
      <c r="O99" s="227">
        <v>342</v>
      </c>
      <c r="P99" s="240">
        <f>O99*G126</f>
        <v>14829.119999999999</v>
      </c>
      <c r="Q99" s="241">
        <f aca="true" t="shared" si="19" ref="Q99:R108">F99+I99+L99+O99</f>
        <v>1300</v>
      </c>
      <c r="R99" s="240">
        <f t="shared" si="19"/>
        <v>55282.5</v>
      </c>
      <c r="S99" s="67"/>
      <c r="T99" s="17"/>
      <c r="U99" s="17"/>
    </row>
    <row r="100" spans="1:21" ht="39.75" customHeight="1">
      <c r="A100" s="30"/>
      <c r="B100" s="393" t="s">
        <v>35</v>
      </c>
      <c r="C100" s="394"/>
      <c r="D100" s="395"/>
      <c r="E100" s="50">
        <v>609</v>
      </c>
      <c r="F100" s="227">
        <v>170</v>
      </c>
      <c r="G100" s="225">
        <f>F100*F126</f>
        <v>7087.299999999999</v>
      </c>
      <c r="H100" s="226">
        <v>609</v>
      </c>
      <c r="I100" s="227">
        <v>150</v>
      </c>
      <c r="J100" s="225">
        <f>I100*F126</f>
        <v>6253.5</v>
      </c>
      <c r="K100" s="226">
        <v>609</v>
      </c>
      <c r="L100" s="227">
        <v>170</v>
      </c>
      <c r="M100" s="225">
        <f>L100*G126</f>
        <v>7371.2</v>
      </c>
      <c r="N100" s="226">
        <v>609</v>
      </c>
      <c r="O100" s="227">
        <v>150</v>
      </c>
      <c r="P100" s="240">
        <f>O100*G126</f>
        <v>6504</v>
      </c>
      <c r="Q100" s="241">
        <f t="shared" si="19"/>
        <v>640</v>
      </c>
      <c r="R100" s="240">
        <f t="shared" si="19"/>
        <v>27216</v>
      </c>
      <c r="S100" s="67"/>
      <c r="T100" s="13"/>
      <c r="U100" s="13"/>
    </row>
    <row r="101" spans="1:21" ht="36.75" customHeight="1">
      <c r="A101" s="33"/>
      <c r="B101" s="393" t="s">
        <v>36</v>
      </c>
      <c r="C101" s="394"/>
      <c r="D101" s="395"/>
      <c r="E101" s="8">
        <v>725.1</v>
      </c>
      <c r="F101" s="227">
        <v>350</v>
      </c>
      <c r="G101" s="225">
        <f>F101*F127</f>
        <v>18543</v>
      </c>
      <c r="H101" s="226">
        <v>885.2</v>
      </c>
      <c r="I101" s="227">
        <v>300</v>
      </c>
      <c r="J101" s="225">
        <f>I101*F127</f>
        <v>15893.999999999998</v>
      </c>
      <c r="K101" s="226">
        <v>727.3</v>
      </c>
      <c r="L101" s="227">
        <v>200</v>
      </c>
      <c r="M101" s="225">
        <f>L101*G127</f>
        <v>11020</v>
      </c>
      <c r="N101" s="226">
        <v>892.61</v>
      </c>
      <c r="O101" s="227">
        <v>350</v>
      </c>
      <c r="P101" s="240">
        <f>O101*G127</f>
        <v>19285</v>
      </c>
      <c r="Q101" s="241">
        <f t="shared" si="19"/>
        <v>1200</v>
      </c>
      <c r="R101" s="240">
        <f t="shared" si="19"/>
        <v>64742</v>
      </c>
      <c r="S101" s="67"/>
      <c r="T101" s="13"/>
      <c r="U101" s="13"/>
    </row>
    <row r="102" spans="1:21" ht="30.75" customHeight="1">
      <c r="A102" s="33"/>
      <c r="B102" s="408" t="s">
        <v>37</v>
      </c>
      <c r="C102" s="408"/>
      <c r="D102" s="408"/>
      <c r="E102" s="8">
        <v>1639</v>
      </c>
      <c r="F102" s="227">
        <v>150</v>
      </c>
      <c r="G102" s="225">
        <f>F102*F127</f>
        <v>7946.999999999999</v>
      </c>
      <c r="H102" s="226">
        <v>1584</v>
      </c>
      <c r="I102" s="227">
        <v>440</v>
      </c>
      <c r="J102" s="225">
        <f>I102*F127</f>
        <v>23311.199999999997</v>
      </c>
      <c r="K102" s="226">
        <v>1344</v>
      </c>
      <c r="L102" s="227">
        <v>730</v>
      </c>
      <c r="M102" s="225">
        <f>L102*G127</f>
        <v>40223</v>
      </c>
      <c r="N102" s="226">
        <v>1639</v>
      </c>
      <c r="O102" s="227">
        <v>480</v>
      </c>
      <c r="P102" s="240">
        <f>O102*G127</f>
        <v>26448</v>
      </c>
      <c r="Q102" s="241">
        <f t="shared" si="19"/>
        <v>1800</v>
      </c>
      <c r="R102" s="240">
        <f t="shared" si="19"/>
        <v>97929.2</v>
      </c>
      <c r="S102" s="67"/>
      <c r="T102" s="13"/>
      <c r="U102" s="13"/>
    </row>
    <row r="103" spans="1:21" s="120" customFormat="1" ht="33" customHeight="1">
      <c r="A103" s="121"/>
      <c r="B103" s="470" t="s">
        <v>38</v>
      </c>
      <c r="C103" s="470"/>
      <c r="D103" s="470"/>
      <c r="E103" s="116">
        <v>53.7</v>
      </c>
      <c r="F103" s="242">
        <v>400</v>
      </c>
      <c r="G103" s="243">
        <f>F103*F126</f>
        <v>16676</v>
      </c>
      <c r="H103" s="244">
        <v>43.6</v>
      </c>
      <c r="I103" s="242">
        <v>550</v>
      </c>
      <c r="J103" s="243">
        <f>I103*F126</f>
        <v>22929.5</v>
      </c>
      <c r="K103" s="244">
        <v>43.8</v>
      </c>
      <c r="L103" s="242">
        <v>350</v>
      </c>
      <c r="M103" s="243">
        <f>L103*G126</f>
        <v>15176</v>
      </c>
      <c r="N103" s="244">
        <v>43.8</v>
      </c>
      <c r="O103" s="242">
        <v>550</v>
      </c>
      <c r="P103" s="245">
        <f>O103*G126</f>
        <v>23848</v>
      </c>
      <c r="Q103" s="246">
        <f t="shared" si="19"/>
        <v>1850</v>
      </c>
      <c r="R103" s="245">
        <f t="shared" si="19"/>
        <v>78629.5</v>
      </c>
      <c r="S103" s="117"/>
      <c r="T103" s="122"/>
      <c r="U103" s="122"/>
    </row>
    <row r="104" spans="1:21" s="120" customFormat="1" ht="54.75" customHeight="1">
      <c r="A104" s="121"/>
      <c r="B104" s="470" t="s">
        <v>39</v>
      </c>
      <c r="C104" s="470"/>
      <c r="D104" s="470"/>
      <c r="E104" s="116">
        <v>51</v>
      </c>
      <c r="F104" s="242">
        <v>39</v>
      </c>
      <c r="G104" s="243">
        <f>F104*F126</f>
        <v>1625.9099999999999</v>
      </c>
      <c r="H104" s="244">
        <v>48</v>
      </c>
      <c r="I104" s="242">
        <v>26.4</v>
      </c>
      <c r="J104" s="243">
        <f>I104*F126</f>
        <v>1100.616</v>
      </c>
      <c r="K104" s="244">
        <v>48</v>
      </c>
      <c r="L104" s="242">
        <v>82.8</v>
      </c>
      <c r="M104" s="243">
        <f>L104*G126</f>
        <v>3590.2079999999996</v>
      </c>
      <c r="N104" s="244">
        <v>51</v>
      </c>
      <c r="O104" s="242">
        <v>21.8</v>
      </c>
      <c r="P104" s="245">
        <f>O104*G126</f>
        <v>945.248</v>
      </c>
      <c r="Q104" s="246">
        <f t="shared" si="19"/>
        <v>170</v>
      </c>
      <c r="R104" s="245">
        <v>7261.99</v>
      </c>
      <c r="S104" s="117"/>
      <c r="T104" s="122"/>
      <c r="U104" s="122"/>
    </row>
    <row r="105" spans="1:21" s="97" customFormat="1" ht="55.5" customHeight="1">
      <c r="A105" s="103">
        <v>3</v>
      </c>
      <c r="B105" s="410" t="s">
        <v>42</v>
      </c>
      <c r="C105" s="411"/>
      <c r="D105" s="412"/>
      <c r="E105" s="98">
        <v>76.86</v>
      </c>
      <c r="F105" s="327">
        <f>SUM(F106:F109)</f>
        <v>94.53</v>
      </c>
      <c r="G105" s="222">
        <f aca="true" t="shared" si="20" ref="G105:P105">SUM(G106:G109)</f>
        <v>4008.6957</v>
      </c>
      <c r="H105" s="93">
        <f t="shared" si="20"/>
        <v>0</v>
      </c>
      <c r="I105" s="327">
        <f t="shared" si="20"/>
        <v>94.53</v>
      </c>
      <c r="J105" s="222">
        <f t="shared" si="20"/>
        <v>4008.6957</v>
      </c>
      <c r="K105" s="93">
        <f t="shared" si="20"/>
        <v>0</v>
      </c>
      <c r="L105" s="327">
        <f t="shared" si="20"/>
        <v>94.53</v>
      </c>
      <c r="M105" s="222">
        <f t="shared" si="20"/>
        <v>4169.2608</v>
      </c>
      <c r="N105" s="93">
        <f t="shared" si="20"/>
        <v>0</v>
      </c>
      <c r="O105" s="327">
        <f t="shared" si="20"/>
        <v>94.53</v>
      </c>
      <c r="P105" s="238">
        <f t="shared" si="20"/>
        <v>4169.2608</v>
      </c>
      <c r="Q105" s="386">
        <f t="shared" si="19"/>
        <v>378.12</v>
      </c>
      <c r="R105" s="238">
        <v>16355.92</v>
      </c>
      <c r="S105" s="94"/>
      <c r="T105" s="100"/>
      <c r="U105" s="100"/>
    </row>
    <row r="106" spans="1:21" s="97" customFormat="1" ht="43.5" customHeight="1">
      <c r="A106" s="103"/>
      <c r="B106" s="418" t="s">
        <v>131</v>
      </c>
      <c r="C106" s="416"/>
      <c r="D106" s="417"/>
      <c r="E106" s="8"/>
      <c r="F106" s="382">
        <v>58.53</v>
      </c>
      <c r="G106" s="305">
        <f>F106*F126</f>
        <v>2440.1157</v>
      </c>
      <c r="H106" s="93"/>
      <c r="I106" s="382">
        <v>58.53</v>
      </c>
      <c r="J106" s="305">
        <f>I106*F126</f>
        <v>2440.1157</v>
      </c>
      <c r="K106" s="93"/>
      <c r="L106" s="382">
        <v>58.53</v>
      </c>
      <c r="M106" s="305">
        <f>L106*G126</f>
        <v>2537.8608</v>
      </c>
      <c r="N106" s="93"/>
      <c r="O106" s="382">
        <v>58.53</v>
      </c>
      <c r="P106" s="380">
        <f>O106*G126</f>
        <v>2537.8608</v>
      </c>
      <c r="Q106" s="387">
        <f>F106+I106+L106+O106</f>
        <v>234.12</v>
      </c>
      <c r="R106" s="380">
        <v>9955.96</v>
      </c>
      <c r="S106" s="94"/>
      <c r="T106" s="100"/>
      <c r="U106" s="100"/>
    </row>
    <row r="107" spans="1:21" s="97" customFormat="1" ht="36" customHeight="1">
      <c r="A107" s="103"/>
      <c r="B107" s="418" t="s">
        <v>132</v>
      </c>
      <c r="C107" s="416"/>
      <c r="D107" s="417"/>
      <c r="E107" s="8"/>
      <c r="F107" s="382">
        <v>6</v>
      </c>
      <c r="G107" s="305">
        <f>F107*F127</f>
        <v>317.88</v>
      </c>
      <c r="H107" s="93"/>
      <c r="I107" s="382">
        <v>6</v>
      </c>
      <c r="J107" s="305">
        <f>I107*F127</f>
        <v>317.88</v>
      </c>
      <c r="K107" s="93"/>
      <c r="L107" s="382">
        <v>6</v>
      </c>
      <c r="M107" s="305">
        <f>L107*G127</f>
        <v>330.6</v>
      </c>
      <c r="N107" s="93"/>
      <c r="O107" s="382">
        <v>6</v>
      </c>
      <c r="P107" s="380">
        <f>O107*G127</f>
        <v>330.6</v>
      </c>
      <c r="Q107" s="387">
        <f>F107+I107+L107+O107</f>
        <v>24</v>
      </c>
      <c r="R107" s="380">
        <f>G107+J107+M107+P107</f>
        <v>1296.96</v>
      </c>
      <c r="S107" s="94"/>
      <c r="T107" s="100"/>
      <c r="U107" s="100"/>
    </row>
    <row r="108" spans="1:21" ht="33" customHeight="1">
      <c r="A108" s="33"/>
      <c r="B108" s="393" t="s">
        <v>136</v>
      </c>
      <c r="C108" s="394"/>
      <c r="D108" s="395"/>
      <c r="E108" s="8"/>
      <c r="F108" s="227">
        <v>9</v>
      </c>
      <c r="G108" s="225">
        <f>F108*F126</f>
        <v>375.21</v>
      </c>
      <c r="H108" s="226"/>
      <c r="I108" s="227">
        <v>9</v>
      </c>
      <c r="J108" s="225">
        <f>I108*F126</f>
        <v>375.21</v>
      </c>
      <c r="K108" s="226"/>
      <c r="L108" s="227">
        <v>9</v>
      </c>
      <c r="M108" s="225">
        <f>L108*G126</f>
        <v>390.24</v>
      </c>
      <c r="N108" s="226"/>
      <c r="O108" s="227">
        <v>9</v>
      </c>
      <c r="P108" s="240">
        <f>O108*G126</f>
        <v>390.24</v>
      </c>
      <c r="Q108" s="241">
        <f t="shared" si="19"/>
        <v>36</v>
      </c>
      <c r="R108" s="240">
        <f>G108+J108+M108+P108</f>
        <v>1530.8999999999999</v>
      </c>
      <c r="S108" s="67"/>
      <c r="T108" s="13"/>
      <c r="U108" s="13"/>
    </row>
    <row r="109" spans="1:21" ht="38.25" customHeight="1">
      <c r="A109" s="33"/>
      <c r="B109" s="393" t="s">
        <v>137</v>
      </c>
      <c r="C109" s="394"/>
      <c r="D109" s="395"/>
      <c r="E109" s="8"/>
      <c r="F109" s="248">
        <v>21</v>
      </c>
      <c r="G109" s="225">
        <f>F109*F126</f>
        <v>875.49</v>
      </c>
      <c r="H109" s="60"/>
      <c r="I109" s="248">
        <v>21</v>
      </c>
      <c r="J109" s="225">
        <f>I109*F126</f>
        <v>875.49</v>
      </c>
      <c r="K109" s="60"/>
      <c r="L109" s="248">
        <v>21</v>
      </c>
      <c r="M109" s="225">
        <f>L109*G126</f>
        <v>910.56</v>
      </c>
      <c r="N109" s="60"/>
      <c r="O109" s="248">
        <v>21</v>
      </c>
      <c r="P109" s="240">
        <f>O109*G126</f>
        <v>910.56</v>
      </c>
      <c r="Q109" s="241">
        <f>F109+I109+L109+O109</f>
        <v>84</v>
      </c>
      <c r="R109" s="240">
        <f>G109+J109+M109+P109</f>
        <v>3572.1</v>
      </c>
      <c r="S109" s="67"/>
      <c r="T109" s="13"/>
      <c r="U109" s="13"/>
    </row>
    <row r="110" spans="1:21" s="97" customFormat="1" ht="30.75" customHeight="1">
      <c r="A110" s="103">
        <v>4</v>
      </c>
      <c r="B110" s="410" t="s">
        <v>43</v>
      </c>
      <c r="C110" s="411"/>
      <c r="D110" s="412"/>
      <c r="E110" s="98">
        <v>172</v>
      </c>
      <c r="F110" s="223">
        <f>F111</f>
        <v>23.4</v>
      </c>
      <c r="G110" s="222">
        <f>G111</f>
        <v>975.5459999999999</v>
      </c>
      <c r="H110" s="93"/>
      <c r="I110" s="223">
        <f>I111</f>
        <v>23.4</v>
      </c>
      <c r="J110" s="222">
        <f>J111</f>
        <v>975.5459999999999</v>
      </c>
      <c r="K110" s="93"/>
      <c r="L110" s="223">
        <f>L111</f>
        <v>23.7</v>
      </c>
      <c r="M110" s="222">
        <f>M111</f>
        <v>1027.632</v>
      </c>
      <c r="N110" s="93"/>
      <c r="O110" s="223">
        <f>O111</f>
        <v>23.1</v>
      </c>
      <c r="P110" s="238">
        <f>P111</f>
        <v>1001.6160000000001</v>
      </c>
      <c r="Q110" s="239">
        <f>Q111</f>
        <v>93.6</v>
      </c>
      <c r="R110" s="238">
        <f>R111</f>
        <v>3980.35</v>
      </c>
      <c r="S110" s="94"/>
      <c r="T110" s="100"/>
      <c r="U110" s="100"/>
    </row>
    <row r="111" spans="1:21" ht="35.25" customHeight="1">
      <c r="A111" s="33"/>
      <c r="B111" s="393" t="s">
        <v>44</v>
      </c>
      <c r="C111" s="394"/>
      <c r="D111" s="395"/>
      <c r="E111" s="8"/>
      <c r="F111" s="227">
        <v>23.4</v>
      </c>
      <c r="G111" s="225">
        <f>F111*F126</f>
        <v>975.5459999999999</v>
      </c>
      <c r="H111" s="226"/>
      <c r="I111" s="227">
        <v>23.4</v>
      </c>
      <c r="J111" s="225">
        <f>I111*F126</f>
        <v>975.5459999999999</v>
      </c>
      <c r="K111" s="226"/>
      <c r="L111" s="227">
        <v>23.7</v>
      </c>
      <c r="M111" s="225">
        <f>L111*G126</f>
        <v>1027.632</v>
      </c>
      <c r="N111" s="226"/>
      <c r="O111" s="227">
        <v>23.1</v>
      </c>
      <c r="P111" s="240">
        <f>O111*G126</f>
        <v>1001.6160000000001</v>
      </c>
      <c r="Q111" s="241">
        <f>F111+I111+L111+O111</f>
        <v>93.6</v>
      </c>
      <c r="R111" s="240">
        <v>3980.35</v>
      </c>
      <c r="S111" s="67"/>
      <c r="T111" s="13"/>
      <c r="U111" s="13"/>
    </row>
    <row r="112" spans="1:21" s="97" customFormat="1" ht="30.75" customHeight="1">
      <c r="A112" s="103">
        <v>5</v>
      </c>
      <c r="B112" s="410" t="s">
        <v>47</v>
      </c>
      <c r="C112" s="411"/>
      <c r="D112" s="412"/>
      <c r="E112" s="98"/>
      <c r="F112" s="223">
        <f>F113+F114+F115+F116</f>
        <v>139.38</v>
      </c>
      <c r="G112" s="222">
        <f>G113+G114+G115+G116</f>
        <v>5993.6502</v>
      </c>
      <c r="H112" s="93"/>
      <c r="I112" s="223">
        <f>I113+I114+I115+I116</f>
        <v>136.18</v>
      </c>
      <c r="J112" s="222">
        <v>6068.44</v>
      </c>
      <c r="K112" s="93"/>
      <c r="L112" s="223">
        <f>L113+L114+L115+L116</f>
        <v>129.14</v>
      </c>
      <c r="M112" s="222">
        <f>M113+M114+M115+M116</f>
        <v>5952.8844</v>
      </c>
      <c r="N112" s="93"/>
      <c r="O112" s="223">
        <f>O113+O114+O115+O116</f>
        <v>245.81</v>
      </c>
      <c r="P112" s="238">
        <f>P113+P114+P115+P116</f>
        <v>10948.2996</v>
      </c>
      <c r="Q112" s="239">
        <f>Q113+Q114+Q115+Q116</f>
        <v>650.51</v>
      </c>
      <c r="R112" s="238">
        <f>R113+R114+R115+R116</f>
        <v>28963.2708</v>
      </c>
      <c r="S112" s="94"/>
      <c r="T112" s="100"/>
      <c r="U112" s="100"/>
    </row>
    <row r="113" spans="1:21" ht="42.75" customHeight="1">
      <c r="A113" s="33"/>
      <c r="B113" s="393" t="s">
        <v>48</v>
      </c>
      <c r="C113" s="394"/>
      <c r="D113" s="395"/>
      <c r="E113" s="8"/>
      <c r="F113" s="227">
        <v>14.18</v>
      </c>
      <c r="G113" s="225">
        <f>F113*F126</f>
        <v>591.1641999999999</v>
      </c>
      <c r="H113" s="226"/>
      <c r="I113" s="227">
        <v>13.14</v>
      </c>
      <c r="J113" s="225">
        <f>I113*F126</f>
        <v>547.8066</v>
      </c>
      <c r="K113" s="226"/>
      <c r="L113" s="227">
        <v>13.29</v>
      </c>
      <c r="M113" s="225">
        <f>L113*G126</f>
        <v>576.2543999999999</v>
      </c>
      <c r="N113" s="226"/>
      <c r="O113" s="227">
        <v>32.91</v>
      </c>
      <c r="P113" s="240">
        <f>O113*G126</f>
        <v>1426.9776</v>
      </c>
      <c r="Q113" s="241">
        <f aca="true" t="shared" si="21" ref="Q113:R116">F113+I113+L113+O113</f>
        <v>73.52</v>
      </c>
      <c r="R113" s="240">
        <f t="shared" si="21"/>
        <v>3142.2028</v>
      </c>
      <c r="S113" s="67"/>
      <c r="T113" s="13"/>
      <c r="U113" s="13"/>
    </row>
    <row r="114" spans="1:21" ht="36.75" customHeight="1">
      <c r="A114" s="33"/>
      <c r="B114" s="393" t="s">
        <v>49</v>
      </c>
      <c r="C114" s="394"/>
      <c r="D114" s="395"/>
      <c r="E114" s="8"/>
      <c r="F114" s="227">
        <v>48</v>
      </c>
      <c r="G114" s="225">
        <f>36*F126+12*F127</f>
        <v>2136.6</v>
      </c>
      <c r="H114" s="226"/>
      <c r="I114" s="227">
        <v>48</v>
      </c>
      <c r="J114" s="225">
        <f>36*F126+12*F127</f>
        <v>2136.6</v>
      </c>
      <c r="K114" s="226"/>
      <c r="L114" s="227">
        <v>72.35</v>
      </c>
      <c r="M114" s="225">
        <f>52.35*G126+20*G127</f>
        <v>3371.896</v>
      </c>
      <c r="N114" s="226"/>
      <c r="O114" s="227">
        <v>48</v>
      </c>
      <c r="P114" s="240">
        <f>36*G126+12*G127</f>
        <v>2222.16</v>
      </c>
      <c r="Q114" s="241">
        <f t="shared" si="21"/>
        <v>216.35</v>
      </c>
      <c r="R114" s="240">
        <f t="shared" si="21"/>
        <v>9867.256</v>
      </c>
      <c r="S114" s="67"/>
      <c r="T114" s="13"/>
      <c r="U114" s="13"/>
    </row>
    <row r="115" spans="1:21" ht="35.25" customHeight="1">
      <c r="A115" s="33"/>
      <c r="B115" s="393" t="s">
        <v>50</v>
      </c>
      <c r="C115" s="394"/>
      <c r="D115" s="395"/>
      <c r="E115" s="8"/>
      <c r="F115" s="227">
        <v>32.2</v>
      </c>
      <c r="G115" s="225">
        <f>28*F126+4.2*F127</f>
        <v>1389.836</v>
      </c>
      <c r="H115" s="226"/>
      <c r="I115" s="227">
        <v>50.64</v>
      </c>
      <c r="J115" s="225">
        <f>28*F126+22.64*F127</f>
        <v>2366.7871999999998</v>
      </c>
      <c r="K115" s="226"/>
      <c r="L115" s="227">
        <v>29.1</v>
      </c>
      <c r="M115" s="225">
        <f>19*G126+10.1*G127</f>
        <v>1380.35</v>
      </c>
      <c r="N115" s="226"/>
      <c r="O115" s="227">
        <v>31.7</v>
      </c>
      <c r="P115" s="240">
        <f>19*G126+12.7*G127</f>
        <v>1523.6100000000001</v>
      </c>
      <c r="Q115" s="241">
        <f t="shared" si="21"/>
        <v>143.64</v>
      </c>
      <c r="R115" s="240">
        <v>6660.59</v>
      </c>
      <c r="S115" s="67"/>
      <c r="T115" s="13"/>
      <c r="U115" s="13"/>
    </row>
    <row r="116" spans="1:21" ht="45.75" customHeight="1">
      <c r="A116" s="33"/>
      <c r="B116" s="408" t="s">
        <v>40</v>
      </c>
      <c r="C116" s="408"/>
      <c r="D116" s="408"/>
      <c r="E116" s="8"/>
      <c r="F116" s="227">
        <v>45</v>
      </c>
      <c r="G116" s="225">
        <f>F116*F126</f>
        <v>1876.05</v>
      </c>
      <c r="H116" s="226"/>
      <c r="I116" s="227">
        <v>24.4</v>
      </c>
      <c r="J116" s="225">
        <f>I116*F126</f>
        <v>1017.2359999999999</v>
      </c>
      <c r="K116" s="226"/>
      <c r="L116" s="227">
        <v>14.4</v>
      </c>
      <c r="M116" s="225">
        <f>L116*G126</f>
        <v>624.384</v>
      </c>
      <c r="N116" s="226"/>
      <c r="O116" s="227">
        <v>133.2</v>
      </c>
      <c r="P116" s="240">
        <f>O116*G126</f>
        <v>5775.552</v>
      </c>
      <c r="Q116" s="241">
        <f t="shared" si="21"/>
        <v>217</v>
      </c>
      <c r="R116" s="240">
        <f t="shared" si="21"/>
        <v>9293.222</v>
      </c>
      <c r="S116" s="67"/>
      <c r="T116" s="13"/>
      <c r="U116" s="13"/>
    </row>
    <row r="117" spans="1:21" s="97" customFormat="1" ht="30.75" customHeight="1">
      <c r="A117" s="103">
        <v>6</v>
      </c>
      <c r="B117" s="410" t="s">
        <v>53</v>
      </c>
      <c r="C117" s="411"/>
      <c r="D117" s="412"/>
      <c r="E117" s="98"/>
      <c r="F117" s="223">
        <f>F118+F119+F120</f>
        <v>2682</v>
      </c>
      <c r="G117" s="222">
        <f>G118+G119+G120</f>
        <v>111812.57999999999</v>
      </c>
      <c r="H117" s="93"/>
      <c r="I117" s="223">
        <f>I118+I119+I120</f>
        <v>2575</v>
      </c>
      <c r="J117" s="222">
        <f>J118+J119+J120</f>
        <v>107351.74999999999</v>
      </c>
      <c r="K117" s="93"/>
      <c r="L117" s="223">
        <f>L118+L119+L120</f>
        <v>2376</v>
      </c>
      <c r="M117" s="222">
        <f>M118+M119+M120</f>
        <v>103023.36</v>
      </c>
      <c r="N117" s="93"/>
      <c r="O117" s="223">
        <f>O118+O119+O120</f>
        <v>2710</v>
      </c>
      <c r="P117" s="238">
        <f>P118+P119+P120</f>
        <v>117505.59999999999</v>
      </c>
      <c r="Q117" s="239">
        <f>Q118+Q119+Q120</f>
        <v>10343</v>
      </c>
      <c r="R117" s="238">
        <f>R118+R119+R120</f>
        <v>439693.29000000004</v>
      </c>
      <c r="S117" s="94"/>
      <c r="T117" s="100"/>
      <c r="U117" s="100"/>
    </row>
    <row r="118" spans="1:21" ht="38.25" customHeight="1">
      <c r="A118" s="35"/>
      <c r="B118" s="422" t="s">
        <v>140</v>
      </c>
      <c r="C118" s="423"/>
      <c r="D118" s="424"/>
      <c r="E118" s="8"/>
      <c r="F118" s="227">
        <v>192</v>
      </c>
      <c r="G118" s="225">
        <f>F118*F126</f>
        <v>8004.48</v>
      </c>
      <c r="H118" s="226"/>
      <c r="I118" s="227">
        <v>185</v>
      </c>
      <c r="J118" s="225">
        <f>I118*F126</f>
        <v>7712.65</v>
      </c>
      <c r="K118" s="226"/>
      <c r="L118" s="227">
        <v>86</v>
      </c>
      <c r="M118" s="225">
        <f>L118*G126</f>
        <v>3728.96</v>
      </c>
      <c r="N118" s="226"/>
      <c r="O118" s="227">
        <v>220</v>
      </c>
      <c r="P118" s="240">
        <f>O118*G126</f>
        <v>9539.2</v>
      </c>
      <c r="Q118" s="241">
        <f>F118+I118+L118+O118</f>
        <v>683</v>
      </c>
      <c r="R118" s="240">
        <f>G118+J118+M118+P118</f>
        <v>28985.29</v>
      </c>
      <c r="S118" s="67"/>
      <c r="T118" s="13"/>
      <c r="U118" s="13"/>
    </row>
    <row r="119" spans="1:21" ht="42.75" customHeight="1">
      <c r="A119" s="35"/>
      <c r="B119" s="393" t="s">
        <v>55</v>
      </c>
      <c r="C119" s="394"/>
      <c r="D119" s="395"/>
      <c r="E119" s="8"/>
      <c r="F119" s="227">
        <v>300</v>
      </c>
      <c r="G119" s="225">
        <f>F119*F126</f>
        <v>12507</v>
      </c>
      <c r="H119" s="226"/>
      <c r="I119" s="227">
        <v>200</v>
      </c>
      <c r="J119" s="225">
        <f>I119*F126</f>
        <v>8338</v>
      </c>
      <c r="K119" s="226"/>
      <c r="L119" s="227">
        <v>100</v>
      </c>
      <c r="M119" s="225">
        <f>L119*G126</f>
        <v>4336</v>
      </c>
      <c r="N119" s="226"/>
      <c r="O119" s="227">
        <v>300</v>
      </c>
      <c r="P119" s="240">
        <f>O119*G126</f>
        <v>13008</v>
      </c>
      <c r="Q119" s="241">
        <f>F119+I119+L119+O119</f>
        <v>900</v>
      </c>
      <c r="R119" s="240">
        <f>G119+J119+M119+P119</f>
        <v>38189</v>
      </c>
      <c r="S119" s="67"/>
      <c r="T119" s="13"/>
      <c r="U119" s="13"/>
    </row>
    <row r="120" spans="1:21" ht="39.75" customHeight="1">
      <c r="A120" s="35"/>
      <c r="B120" s="399" t="s">
        <v>84</v>
      </c>
      <c r="C120" s="474"/>
      <c r="D120" s="475"/>
      <c r="E120" s="8"/>
      <c r="F120" s="227">
        <v>2190</v>
      </c>
      <c r="G120" s="225">
        <f>SUM(F120)*F126</f>
        <v>91301.09999999999</v>
      </c>
      <c r="H120" s="226"/>
      <c r="I120" s="227">
        <v>2190</v>
      </c>
      <c r="J120" s="225">
        <f>SUM(I120)*F126</f>
        <v>91301.09999999999</v>
      </c>
      <c r="K120" s="226"/>
      <c r="L120" s="227">
        <v>2190</v>
      </c>
      <c r="M120" s="225">
        <f>SUM(L120)*G126</f>
        <v>94958.4</v>
      </c>
      <c r="N120" s="226"/>
      <c r="O120" s="227">
        <v>2190</v>
      </c>
      <c r="P120" s="240">
        <f>SUM(O120)*G126</f>
        <v>94958.4</v>
      </c>
      <c r="Q120" s="241">
        <f>F120+I120+L120+O120</f>
        <v>8760</v>
      </c>
      <c r="R120" s="240">
        <f>SUM(G120)+J120+M120+P120</f>
        <v>372519</v>
      </c>
      <c r="S120" s="67"/>
      <c r="T120" s="13"/>
      <c r="U120" s="13"/>
    </row>
    <row r="121" spans="1:21" ht="39.75" customHeight="1">
      <c r="A121" s="35">
        <v>7</v>
      </c>
      <c r="B121" s="410" t="s">
        <v>85</v>
      </c>
      <c r="C121" s="411"/>
      <c r="D121" s="412"/>
      <c r="E121" s="8"/>
      <c r="F121" s="282">
        <f>SUM(F122:F123)</f>
        <v>30</v>
      </c>
      <c r="G121" s="285">
        <f aca="true" t="shared" si="22" ref="G121:R121">SUM(G122:G123)</f>
        <v>1250.6999999999998</v>
      </c>
      <c r="H121" s="281">
        <f t="shared" si="22"/>
        <v>0</v>
      </c>
      <c r="I121" s="282">
        <f>SUM(I122:I123)</f>
        <v>30</v>
      </c>
      <c r="J121" s="285">
        <f t="shared" si="22"/>
        <v>1250.6999999999998</v>
      </c>
      <c r="K121" s="281">
        <f t="shared" si="22"/>
        <v>0</v>
      </c>
      <c r="L121" s="282">
        <f>SUM(L122:L123)</f>
        <v>30</v>
      </c>
      <c r="M121" s="285">
        <f t="shared" si="22"/>
        <v>1300.8</v>
      </c>
      <c r="N121" s="281">
        <f t="shared" si="22"/>
        <v>0</v>
      </c>
      <c r="O121" s="282">
        <f>SUM(O122:O123)</f>
        <v>30</v>
      </c>
      <c r="P121" s="283">
        <f t="shared" si="22"/>
        <v>1300.8</v>
      </c>
      <c r="Q121" s="286">
        <f t="shared" si="22"/>
        <v>120</v>
      </c>
      <c r="R121" s="283">
        <f t="shared" si="22"/>
        <v>5103</v>
      </c>
      <c r="S121" s="67"/>
      <c r="T121" s="13"/>
      <c r="U121" s="13"/>
    </row>
    <row r="122" spans="1:21" ht="39.75" customHeight="1">
      <c r="A122" s="35"/>
      <c r="B122" s="399" t="s">
        <v>86</v>
      </c>
      <c r="C122" s="474"/>
      <c r="D122" s="475"/>
      <c r="E122" s="8"/>
      <c r="F122" s="227">
        <v>0</v>
      </c>
      <c r="G122" s="225"/>
      <c r="H122" s="226"/>
      <c r="I122" s="227">
        <v>0</v>
      </c>
      <c r="J122" s="225">
        <f>I122*F129</f>
        <v>0</v>
      </c>
      <c r="K122" s="226"/>
      <c r="L122" s="227">
        <v>0</v>
      </c>
      <c r="M122" s="225">
        <f>SUM(L122)*G128</f>
        <v>0</v>
      </c>
      <c r="N122" s="226"/>
      <c r="O122" s="227">
        <v>0</v>
      </c>
      <c r="P122" s="240">
        <f>SUM(O122)*G128</f>
        <v>0</v>
      </c>
      <c r="Q122" s="241">
        <f>F122+I122+L122+O122</f>
        <v>0</v>
      </c>
      <c r="R122" s="240">
        <f>G122+J122+M122+P122</f>
        <v>0</v>
      </c>
      <c r="S122" s="67"/>
      <c r="T122" s="13"/>
      <c r="U122" s="13"/>
    </row>
    <row r="123" spans="1:21" ht="39.75" customHeight="1">
      <c r="A123" s="35"/>
      <c r="B123" s="399" t="s">
        <v>87</v>
      </c>
      <c r="C123" s="474"/>
      <c r="D123" s="475"/>
      <c r="E123" s="8"/>
      <c r="F123" s="227">
        <v>30</v>
      </c>
      <c r="G123" s="225">
        <f>F123*F126</f>
        <v>1250.6999999999998</v>
      </c>
      <c r="H123" s="226"/>
      <c r="I123" s="227">
        <v>30</v>
      </c>
      <c r="J123" s="225">
        <f>I123*F126</f>
        <v>1250.6999999999998</v>
      </c>
      <c r="K123" s="226"/>
      <c r="L123" s="227">
        <v>30</v>
      </c>
      <c r="M123" s="225">
        <f>SUM(L123)*G126</f>
        <v>1300.8</v>
      </c>
      <c r="N123" s="226"/>
      <c r="O123" s="227">
        <v>30</v>
      </c>
      <c r="P123" s="240">
        <f>SUM(O123)*G126</f>
        <v>1300.8</v>
      </c>
      <c r="Q123" s="241">
        <f>F123+I123+L123+O123</f>
        <v>120</v>
      </c>
      <c r="R123" s="240">
        <f>G123+J123+M123+P123</f>
        <v>5103</v>
      </c>
      <c r="S123" s="67"/>
      <c r="T123" s="13"/>
      <c r="U123" s="13"/>
    </row>
    <row r="124" spans="1:22" ht="36" customHeight="1">
      <c r="A124" s="38"/>
      <c r="B124" s="491" t="s">
        <v>19</v>
      </c>
      <c r="C124" s="492"/>
      <c r="D124" s="493"/>
      <c r="E124" s="15" t="e">
        <f>E97+#REF!+#REF!+E99+E100+E101+#REF!+E102+E103+E104+E105+E110+#REF!</f>
        <v>#REF!</v>
      </c>
      <c r="F124" s="233">
        <f>F97+F98+F105+F110+F112+F117+F121</f>
        <v>4431.610000000001</v>
      </c>
      <c r="G124" s="234">
        <v>190649.47</v>
      </c>
      <c r="H124" s="60">
        <f aca="true" t="shared" si="23" ref="H124:R124">H97+H98+H105+H110+H112+H117+H121</f>
        <v>14.8</v>
      </c>
      <c r="I124" s="60">
        <f t="shared" si="23"/>
        <v>4628.81</v>
      </c>
      <c r="J124" s="234">
        <v>201788.54</v>
      </c>
      <c r="K124" s="60">
        <f t="shared" si="23"/>
        <v>15</v>
      </c>
      <c r="L124" s="233">
        <f t="shared" si="23"/>
        <v>4497.57</v>
      </c>
      <c r="M124" s="234">
        <v>206356.64</v>
      </c>
      <c r="N124" s="60">
        <f t="shared" si="23"/>
        <v>15</v>
      </c>
      <c r="O124" s="233">
        <f t="shared" si="23"/>
        <v>5000.54</v>
      </c>
      <c r="P124" s="249">
        <v>226928.04</v>
      </c>
      <c r="Q124" s="250">
        <f t="shared" si="23"/>
        <v>18558.53</v>
      </c>
      <c r="R124" s="249">
        <f t="shared" si="23"/>
        <v>825722.6868</v>
      </c>
      <c r="T124" s="12"/>
      <c r="U124" s="12"/>
      <c r="V124" s="12"/>
    </row>
    <row r="125" spans="1:22" ht="35.25" customHeight="1">
      <c r="A125" s="38"/>
      <c r="B125" s="467" t="s">
        <v>17</v>
      </c>
      <c r="C125" s="467"/>
      <c r="D125" s="467"/>
      <c r="E125" s="409" t="s">
        <v>126</v>
      </c>
      <c r="F125" s="409"/>
      <c r="G125" s="409"/>
      <c r="H125" s="409"/>
      <c r="I125" s="409"/>
      <c r="J125" s="409"/>
      <c r="K125" s="409"/>
      <c r="L125" s="409"/>
      <c r="M125" s="409"/>
      <c r="N125" s="409"/>
      <c r="O125" s="409"/>
      <c r="P125" s="409"/>
      <c r="Q125" s="409"/>
      <c r="R125" s="409"/>
      <c r="T125" s="12"/>
      <c r="U125" s="12"/>
      <c r="V125" s="12"/>
    </row>
    <row r="126" spans="1:18" s="12" customFormat="1" ht="25.5" customHeight="1">
      <c r="A126" s="5"/>
      <c r="B126" s="5"/>
      <c r="C126" s="5"/>
      <c r="D126" s="5"/>
      <c r="E126" s="5"/>
      <c r="F126" s="176">
        <v>41.69</v>
      </c>
      <c r="G126" s="179">
        <v>43.36</v>
      </c>
      <c r="H126" s="179"/>
      <c r="I126" s="179"/>
      <c r="J126" s="2"/>
      <c r="K126" s="5"/>
      <c r="L126" s="5"/>
      <c r="M126" s="5"/>
      <c r="N126" s="5"/>
      <c r="O126" s="5"/>
      <c r="P126" s="5"/>
      <c r="Q126" s="5"/>
      <c r="R126" s="5"/>
    </row>
    <row r="127" spans="1:18" s="12" customFormat="1" ht="33" customHeight="1">
      <c r="A127" s="5"/>
      <c r="B127" s="5"/>
      <c r="C127" s="5"/>
      <c r="D127" s="5"/>
      <c r="E127" s="5"/>
      <c r="F127" s="183">
        <v>52.98</v>
      </c>
      <c r="G127" s="179">
        <v>55.1</v>
      </c>
      <c r="H127" s="179"/>
      <c r="I127" s="179"/>
      <c r="J127" s="2"/>
      <c r="K127" s="5"/>
      <c r="L127" s="5"/>
      <c r="M127" s="5"/>
      <c r="N127" s="5"/>
      <c r="O127" s="5"/>
      <c r="P127" s="39"/>
      <c r="Q127" s="39"/>
      <c r="R127" s="5"/>
    </row>
    <row r="128" spans="1:22" ht="34.5" customHeight="1">
      <c r="A128" s="468" t="s">
        <v>114</v>
      </c>
      <c r="B128" s="468"/>
      <c r="C128" s="468"/>
      <c r="D128" s="468"/>
      <c r="E128" s="468"/>
      <c r="F128" s="468"/>
      <c r="G128" s="468"/>
      <c r="H128" s="468"/>
      <c r="I128" s="468"/>
      <c r="J128" s="468"/>
      <c r="K128" s="468"/>
      <c r="L128" s="468"/>
      <c r="M128" s="468"/>
      <c r="N128" s="468"/>
      <c r="O128" s="468"/>
      <c r="P128" s="468"/>
      <c r="Q128" s="468"/>
      <c r="R128" s="468"/>
      <c r="T128" s="12"/>
      <c r="U128" s="12"/>
      <c r="V128" s="12"/>
    </row>
    <row r="129" spans="1:22" ht="25.5">
      <c r="A129" s="469" t="s">
        <v>15</v>
      </c>
      <c r="B129" s="478" t="s">
        <v>0</v>
      </c>
      <c r="C129" s="479"/>
      <c r="D129" s="480"/>
      <c r="E129" s="409" t="s">
        <v>1</v>
      </c>
      <c r="F129" s="409"/>
      <c r="G129" s="409"/>
      <c r="H129" s="409" t="s">
        <v>3</v>
      </c>
      <c r="I129" s="409"/>
      <c r="J129" s="409"/>
      <c r="K129" s="409" t="s">
        <v>4</v>
      </c>
      <c r="L129" s="409"/>
      <c r="M129" s="409"/>
      <c r="N129" s="409" t="s">
        <v>6</v>
      </c>
      <c r="O129" s="409"/>
      <c r="P129" s="409"/>
      <c r="Q129" s="409" t="s">
        <v>7</v>
      </c>
      <c r="R129" s="409"/>
      <c r="T129" s="12"/>
      <c r="U129" s="12"/>
      <c r="V129" s="12"/>
    </row>
    <row r="130" spans="1:22" ht="25.5">
      <c r="A130" s="469"/>
      <c r="B130" s="481"/>
      <c r="C130" s="482"/>
      <c r="D130" s="483"/>
      <c r="E130" s="125" t="s">
        <v>10</v>
      </c>
      <c r="F130" s="125" t="s">
        <v>10</v>
      </c>
      <c r="G130" s="108" t="s">
        <v>5</v>
      </c>
      <c r="H130" s="125" t="s">
        <v>10</v>
      </c>
      <c r="I130" s="125" t="s">
        <v>10</v>
      </c>
      <c r="J130" s="108" t="s">
        <v>5</v>
      </c>
      <c r="K130" s="125" t="s">
        <v>10</v>
      </c>
      <c r="L130" s="125" t="s">
        <v>10</v>
      </c>
      <c r="M130" s="108" t="s">
        <v>5</v>
      </c>
      <c r="N130" s="125" t="s">
        <v>10</v>
      </c>
      <c r="O130" s="125" t="s">
        <v>10</v>
      </c>
      <c r="P130" s="108" t="s">
        <v>5</v>
      </c>
      <c r="Q130" s="125" t="s">
        <v>10</v>
      </c>
      <c r="R130" s="108" t="s">
        <v>5</v>
      </c>
      <c r="T130" s="12"/>
      <c r="U130" s="12"/>
      <c r="V130" s="12"/>
    </row>
    <row r="131" spans="1:22" s="97" customFormat="1" ht="34.5" customHeight="1">
      <c r="A131" s="103">
        <v>1</v>
      </c>
      <c r="B131" s="410" t="s">
        <v>33</v>
      </c>
      <c r="C131" s="411"/>
      <c r="D131" s="412"/>
      <c r="E131" s="98">
        <v>17.5</v>
      </c>
      <c r="F131" s="223">
        <v>12.3</v>
      </c>
      <c r="G131" s="238">
        <f>F131*F160</f>
        <v>536.034</v>
      </c>
      <c r="H131" s="93">
        <v>17.5</v>
      </c>
      <c r="I131" s="223">
        <v>8.3</v>
      </c>
      <c r="J131" s="238">
        <f>I131*F160</f>
        <v>361.714</v>
      </c>
      <c r="K131" s="93">
        <v>17.5</v>
      </c>
      <c r="L131" s="223">
        <v>5.4</v>
      </c>
      <c r="M131" s="238">
        <f>L131*G160</f>
        <v>244.728</v>
      </c>
      <c r="N131" s="93">
        <v>17.5</v>
      </c>
      <c r="O131" s="223">
        <v>11.3</v>
      </c>
      <c r="P131" s="238">
        <f>O131*G160</f>
        <v>512.116</v>
      </c>
      <c r="Q131" s="93">
        <f>F131+I131+L131+O131</f>
        <v>37.3</v>
      </c>
      <c r="R131" s="222">
        <f>G131+J131+M131+P131</f>
        <v>1654.592</v>
      </c>
      <c r="S131" s="94"/>
      <c r="T131" s="96"/>
      <c r="U131" s="96"/>
      <c r="V131" s="95"/>
    </row>
    <row r="132" spans="1:22" s="97" customFormat="1" ht="36" customHeight="1">
      <c r="A132" s="103">
        <v>2</v>
      </c>
      <c r="B132" s="410" t="s">
        <v>41</v>
      </c>
      <c r="C132" s="411"/>
      <c r="D132" s="412"/>
      <c r="E132" s="98"/>
      <c r="F132" s="223">
        <f>F133+F134+F135+F136+F137+F138</f>
        <v>2325.56</v>
      </c>
      <c r="G132" s="238">
        <f>G133+G134+G135+G136+G138+G137</f>
        <v>84658.3048</v>
      </c>
      <c r="H132" s="93"/>
      <c r="I132" s="223">
        <f>I133+I134+I135+I136+I137+I138</f>
        <v>2397.88</v>
      </c>
      <c r="J132" s="238">
        <f>J133+J134+J135+J136+J137+J138</f>
        <v>78234.0104</v>
      </c>
      <c r="K132" s="93"/>
      <c r="L132" s="223">
        <f>L133+L134+L135+L136+L137+L138</f>
        <v>2361.08</v>
      </c>
      <c r="M132" s="238">
        <v>79123.14</v>
      </c>
      <c r="N132" s="93"/>
      <c r="O132" s="223">
        <f>O133+O134+O135+O136+O137+O138</f>
        <v>2343.7500000000005</v>
      </c>
      <c r="P132" s="238">
        <f>P133+P134+P135+P136+P137+P138</f>
        <v>79191.25000000001</v>
      </c>
      <c r="Q132" s="93">
        <f>Q133+Q134+Q136+Q137+Q138+Q135</f>
        <v>9428.27</v>
      </c>
      <c r="R132" s="222">
        <f>R133+R134+R135+R136+R137+R138</f>
        <v>321206.69820000004</v>
      </c>
      <c r="S132" s="94"/>
      <c r="T132" s="96"/>
      <c r="U132" s="96"/>
      <c r="V132" s="95"/>
    </row>
    <row r="133" spans="1:21" ht="32.25" customHeight="1">
      <c r="A133" s="35"/>
      <c r="B133" s="393" t="s">
        <v>34</v>
      </c>
      <c r="C133" s="394"/>
      <c r="D133" s="395"/>
      <c r="E133" s="8">
        <v>2715</v>
      </c>
      <c r="F133" s="227">
        <v>748.28</v>
      </c>
      <c r="G133" s="240">
        <f>F133*F160</f>
        <v>32610.0424</v>
      </c>
      <c r="H133" s="226">
        <v>2715</v>
      </c>
      <c r="I133" s="227">
        <v>409.15</v>
      </c>
      <c r="J133" s="240">
        <f>I133*F160</f>
        <v>17830.756999999998</v>
      </c>
      <c r="K133" s="226">
        <v>2715</v>
      </c>
      <c r="L133" s="227">
        <v>662.91</v>
      </c>
      <c r="M133" s="240">
        <f>L133*G160</f>
        <v>30043.0812</v>
      </c>
      <c r="N133" s="226">
        <v>2715</v>
      </c>
      <c r="O133" s="227">
        <v>464.93</v>
      </c>
      <c r="P133" s="240">
        <f>O133*G160</f>
        <v>21070.6276</v>
      </c>
      <c r="Q133" s="226">
        <f aca="true" t="shared" si="24" ref="Q133:R143">F133+I133+L133+O133</f>
        <v>2285.2699999999995</v>
      </c>
      <c r="R133" s="225">
        <f t="shared" si="24"/>
        <v>101554.50820000001</v>
      </c>
      <c r="S133" s="67"/>
      <c r="T133" s="13"/>
      <c r="U133" s="13"/>
    </row>
    <row r="134" spans="1:22" ht="33.75" customHeight="1">
      <c r="A134" s="35"/>
      <c r="B134" s="419" t="s">
        <v>35</v>
      </c>
      <c r="C134" s="420"/>
      <c r="D134" s="421"/>
      <c r="E134" s="8">
        <v>816</v>
      </c>
      <c r="F134" s="227">
        <v>250</v>
      </c>
      <c r="G134" s="240">
        <f>F134*F160</f>
        <v>10895</v>
      </c>
      <c r="H134" s="226">
        <v>816</v>
      </c>
      <c r="I134" s="227">
        <v>230</v>
      </c>
      <c r="J134" s="240">
        <f>I134*F160</f>
        <v>10023.4</v>
      </c>
      <c r="K134" s="226">
        <v>816</v>
      </c>
      <c r="L134" s="227">
        <v>230</v>
      </c>
      <c r="M134" s="240">
        <f>L134*G160</f>
        <v>10423.6</v>
      </c>
      <c r="N134" s="226">
        <v>816</v>
      </c>
      <c r="O134" s="227">
        <v>250</v>
      </c>
      <c r="P134" s="240">
        <f>O134*G160</f>
        <v>11330</v>
      </c>
      <c r="Q134" s="226">
        <f t="shared" si="24"/>
        <v>960</v>
      </c>
      <c r="R134" s="225">
        <f t="shared" si="24"/>
        <v>42672</v>
      </c>
      <c r="S134" s="67"/>
      <c r="T134" s="11"/>
      <c r="U134" s="11"/>
      <c r="V134" s="12"/>
    </row>
    <row r="135" spans="1:22" ht="40.5" customHeight="1">
      <c r="A135" s="35"/>
      <c r="B135" s="393" t="s">
        <v>36</v>
      </c>
      <c r="C135" s="394"/>
      <c r="D135" s="395"/>
      <c r="E135" s="8">
        <v>910.2</v>
      </c>
      <c r="F135" s="227">
        <v>400</v>
      </c>
      <c r="G135" s="240">
        <f>F135*F161</f>
        <v>6488</v>
      </c>
      <c r="H135" s="226">
        <v>1072.5</v>
      </c>
      <c r="I135" s="227">
        <v>450</v>
      </c>
      <c r="J135" s="240">
        <f>I135*F161</f>
        <v>7298.999999999999</v>
      </c>
      <c r="K135" s="226">
        <v>905.1</v>
      </c>
      <c r="L135" s="227">
        <v>200</v>
      </c>
      <c r="M135" s="240">
        <f>L135*G161</f>
        <v>3374</v>
      </c>
      <c r="N135" s="226">
        <v>1121.6</v>
      </c>
      <c r="O135" s="227">
        <v>400</v>
      </c>
      <c r="P135" s="240">
        <f>O135*G161</f>
        <v>6748</v>
      </c>
      <c r="Q135" s="226">
        <f t="shared" si="24"/>
        <v>1450</v>
      </c>
      <c r="R135" s="225">
        <f t="shared" si="24"/>
        <v>23909</v>
      </c>
      <c r="S135" s="67"/>
      <c r="T135" s="11"/>
      <c r="U135" s="11"/>
      <c r="V135" s="12"/>
    </row>
    <row r="136" spans="1:22" ht="37.5" customHeight="1">
      <c r="A136" s="35"/>
      <c r="B136" s="408" t="s">
        <v>37</v>
      </c>
      <c r="C136" s="408"/>
      <c r="D136" s="408"/>
      <c r="E136" s="8">
        <v>1845</v>
      </c>
      <c r="F136" s="227">
        <v>210</v>
      </c>
      <c r="G136" s="240">
        <f>F136*F161</f>
        <v>3406.2</v>
      </c>
      <c r="H136" s="226">
        <v>1803</v>
      </c>
      <c r="I136" s="227">
        <v>510</v>
      </c>
      <c r="J136" s="240">
        <f>I136*F161</f>
        <v>8272.199999999999</v>
      </c>
      <c r="K136" s="226">
        <v>1803</v>
      </c>
      <c r="L136" s="227">
        <v>780</v>
      </c>
      <c r="M136" s="240">
        <f>L136*G161</f>
        <v>13158.6</v>
      </c>
      <c r="N136" s="226">
        <v>1813.3</v>
      </c>
      <c r="O136" s="227">
        <v>550</v>
      </c>
      <c r="P136" s="240">
        <f>O136*G161</f>
        <v>9278.5</v>
      </c>
      <c r="Q136" s="226">
        <f t="shared" si="24"/>
        <v>2050</v>
      </c>
      <c r="R136" s="225">
        <f t="shared" si="24"/>
        <v>34115.5</v>
      </c>
      <c r="S136" s="67"/>
      <c r="T136" s="11"/>
      <c r="U136" s="11"/>
      <c r="V136" s="12"/>
    </row>
    <row r="137" spans="1:22" s="120" customFormat="1" ht="40.5" customHeight="1">
      <c r="A137" s="123"/>
      <c r="B137" s="470" t="s">
        <v>38</v>
      </c>
      <c r="C137" s="470"/>
      <c r="D137" s="470"/>
      <c r="E137" s="116">
        <v>74.5</v>
      </c>
      <c r="F137" s="242">
        <v>675</v>
      </c>
      <c r="G137" s="245">
        <f>F137*F160</f>
        <v>29416.5</v>
      </c>
      <c r="H137" s="244">
        <v>72.8</v>
      </c>
      <c r="I137" s="242">
        <v>766.5</v>
      </c>
      <c r="J137" s="245">
        <f>I137*F160</f>
        <v>33404.07</v>
      </c>
      <c r="K137" s="244">
        <v>72.9</v>
      </c>
      <c r="L137" s="242">
        <v>400</v>
      </c>
      <c r="M137" s="245">
        <f>L137*G160</f>
        <v>18128</v>
      </c>
      <c r="N137" s="244">
        <v>72.9</v>
      </c>
      <c r="O137" s="242">
        <v>658.5</v>
      </c>
      <c r="P137" s="245">
        <f>O137*G160</f>
        <v>29843.22</v>
      </c>
      <c r="Q137" s="244">
        <f t="shared" si="24"/>
        <v>2500</v>
      </c>
      <c r="R137" s="243">
        <f t="shared" si="24"/>
        <v>110791.79000000001</v>
      </c>
      <c r="S137" s="117"/>
      <c r="T137" s="119"/>
      <c r="U137" s="119"/>
      <c r="V137" s="118"/>
    </row>
    <row r="138" spans="1:22" s="120" customFormat="1" ht="55.5" customHeight="1">
      <c r="A138" s="123"/>
      <c r="B138" s="470" t="s">
        <v>39</v>
      </c>
      <c r="C138" s="470"/>
      <c r="D138" s="470"/>
      <c r="E138" s="116">
        <v>88.6</v>
      </c>
      <c r="F138" s="251">
        <v>42.28</v>
      </c>
      <c r="G138" s="245">
        <f>F138*F160</f>
        <v>1842.5624</v>
      </c>
      <c r="H138" s="244">
        <v>88.5</v>
      </c>
      <c r="I138" s="252">
        <v>32.23</v>
      </c>
      <c r="J138" s="245">
        <f>I138*F160</f>
        <v>1404.5833999999998</v>
      </c>
      <c r="K138" s="244">
        <v>88.5</v>
      </c>
      <c r="L138" s="242">
        <v>88.17</v>
      </c>
      <c r="M138" s="245">
        <f>L138*G160</f>
        <v>3995.8644</v>
      </c>
      <c r="N138" s="244">
        <v>88.5</v>
      </c>
      <c r="O138" s="252">
        <v>20.32</v>
      </c>
      <c r="P138" s="245">
        <f>O138*G160</f>
        <v>920.9024000000001</v>
      </c>
      <c r="Q138" s="244">
        <f>F138+I138+L138+O138</f>
        <v>183</v>
      </c>
      <c r="R138" s="243">
        <v>8163.9</v>
      </c>
      <c r="S138" s="117"/>
      <c r="T138" s="119"/>
      <c r="U138" s="119"/>
      <c r="V138" s="118"/>
    </row>
    <row r="139" spans="1:22" s="97" customFormat="1" ht="51.75" customHeight="1">
      <c r="A139" s="103">
        <v>3</v>
      </c>
      <c r="B139" s="410" t="s">
        <v>42</v>
      </c>
      <c r="C139" s="411"/>
      <c r="D139" s="412"/>
      <c r="E139" s="98">
        <v>118.05</v>
      </c>
      <c r="F139" s="327">
        <f>SUM(F140:F143)</f>
        <v>82.53</v>
      </c>
      <c r="G139" s="238">
        <f aca="true" t="shared" si="25" ref="G139:P139">SUM(G140:G143)</f>
        <v>3350.4174</v>
      </c>
      <c r="H139" s="93">
        <f t="shared" si="25"/>
        <v>0</v>
      </c>
      <c r="I139" s="327">
        <f t="shared" si="25"/>
        <v>82.53</v>
      </c>
      <c r="J139" s="238">
        <f t="shared" si="25"/>
        <v>3350.4174</v>
      </c>
      <c r="K139" s="93">
        <f t="shared" si="25"/>
        <v>0</v>
      </c>
      <c r="L139" s="327">
        <f t="shared" si="25"/>
        <v>82.53</v>
      </c>
      <c r="M139" s="238">
        <f t="shared" si="25"/>
        <v>3484.2096</v>
      </c>
      <c r="N139" s="93">
        <f t="shared" si="25"/>
        <v>0</v>
      </c>
      <c r="O139" s="327">
        <f t="shared" si="25"/>
        <v>82.53</v>
      </c>
      <c r="P139" s="238">
        <f t="shared" si="25"/>
        <v>3484.2096</v>
      </c>
      <c r="Q139" s="323">
        <f>F139+I139+L139+O139</f>
        <v>330.12</v>
      </c>
      <c r="R139" s="222">
        <v>13669.26</v>
      </c>
      <c r="S139" s="94"/>
      <c r="T139" s="96"/>
      <c r="U139" s="96"/>
      <c r="V139" s="95"/>
    </row>
    <row r="140" spans="1:22" s="97" customFormat="1" ht="41.25" customHeight="1">
      <c r="A140" s="103"/>
      <c r="B140" s="418" t="s">
        <v>131</v>
      </c>
      <c r="C140" s="400"/>
      <c r="D140" s="401"/>
      <c r="E140" s="98"/>
      <c r="F140" s="382">
        <v>58.53</v>
      </c>
      <c r="G140" s="380">
        <f>F140*F160</f>
        <v>2550.7374</v>
      </c>
      <c r="H140" s="93"/>
      <c r="I140" s="227">
        <v>58.53</v>
      </c>
      <c r="J140" s="380">
        <f>I140*F160</f>
        <v>2550.7374</v>
      </c>
      <c r="K140" s="93"/>
      <c r="L140" s="227">
        <v>58.53</v>
      </c>
      <c r="M140" s="380">
        <f>L140*G160</f>
        <v>2652.5796</v>
      </c>
      <c r="N140" s="93"/>
      <c r="O140" s="227">
        <v>58.53</v>
      </c>
      <c r="P140" s="380">
        <f>O140*G160</f>
        <v>2652.5796</v>
      </c>
      <c r="Q140" s="385">
        <f>F140+I140+L140+O140</f>
        <v>234.12</v>
      </c>
      <c r="R140" s="305">
        <v>10406.64</v>
      </c>
      <c r="S140" s="94"/>
      <c r="T140" s="96"/>
      <c r="U140" s="96"/>
      <c r="V140" s="95"/>
    </row>
    <row r="141" spans="1:22" s="97" customFormat="1" ht="35.25" customHeight="1">
      <c r="A141" s="103"/>
      <c r="B141" s="418" t="s">
        <v>132</v>
      </c>
      <c r="C141" s="416"/>
      <c r="D141" s="417"/>
      <c r="E141" s="98"/>
      <c r="F141" s="382">
        <v>9</v>
      </c>
      <c r="G141" s="380">
        <f>F141*F161</f>
        <v>145.98</v>
      </c>
      <c r="H141" s="93"/>
      <c r="I141" s="317">
        <v>9</v>
      </c>
      <c r="J141" s="380">
        <f>I141*F161</f>
        <v>145.98</v>
      </c>
      <c r="K141" s="93"/>
      <c r="L141" s="317">
        <v>9</v>
      </c>
      <c r="M141" s="380">
        <f>L141*G161</f>
        <v>151.83</v>
      </c>
      <c r="N141" s="93"/>
      <c r="O141" s="317">
        <v>9</v>
      </c>
      <c r="P141" s="380">
        <f>O141*G161</f>
        <v>151.83</v>
      </c>
      <c r="Q141" s="385">
        <f>F141+I141+L141+O141</f>
        <v>36</v>
      </c>
      <c r="R141" s="305">
        <f>G141+J141+M141+P141</f>
        <v>595.62</v>
      </c>
      <c r="S141" s="94"/>
      <c r="T141" s="96"/>
      <c r="U141" s="96"/>
      <c r="V141" s="95"/>
    </row>
    <row r="142" spans="1:22" ht="30.75" customHeight="1">
      <c r="A142" s="33"/>
      <c r="B142" s="393" t="s">
        <v>136</v>
      </c>
      <c r="C142" s="394"/>
      <c r="D142" s="395"/>
      <c r="E142" s="8"/>
      <c r="F142" s="388">
        <v>15</v>
      </c>
      <c r="G142" s="240">
        <f>F142*F160</f>
        <v>653.6999999999999</v>
      </c>
      <c r="H142" s="60"/>
      <c r="I142" s="317">
        <v>15</v>
      </c>
      <c r="J142" s="240">
        <f>I142*F160</f>
        <v>653.6999999999999</v>
      </c>
      <c r="K142" s="226"/>
      <c r="L142" s="317">
        <v>15</v>
      </c>
      <c r="M142" s="240">
        <f>L142*G160</f>
        <v>679.8</v>
      </c>
      <c r="N142" s="226"/>
      <c r="O142" s="317">
        <v>15</v>
      </c>
      <c r="P142" s="240">
        <f>O142*G160</f>
        <v>679.8</v>
      </c>
      <c r="Q142" s="226">
        <f t="shared" si="24"/>
        <v>60</v>
      </c>
      <c r="R142" s="225">
        <f>G142+J142+M142+P142</f>
        <v>2667</v>
      </c>
      <c r="S142" s="67"/>
      <c r="T142" s="11"/>
      <c r="U142" s="11"/>
      <c r="V142" s="12"/>
    </row>
    <row r="143" spans="1:22" ht="32.25" customHeight="1">
      <c r="A143" s="33"/>
      <c r="B143" s="393" t="s">
        <v>137</v>
      </c>
      <c r="C143" s="394"/>
      <c r="D143" s="395"/>
      <c r="E143" s="8"/>
      <c r="F143" s="317">
        <v>0</v>
      </c>
      <c r="G143" s="240">
        <f>F143*F160</f>
        <v>0</v>
      </c>
      <c r="H143" s="60"/>
      <c r="I143" s="317">
        <v>0</v>
      </c>
      <c r="J143" s="240">
        <f>I143*F160</f>
        <v>0</v>
      </c>
      <c r="K143" s="226"/>
      <c r="L143" s="317">
        <v>0</v>
      </c>
      <c r="M143" s="240">
        <f>L143*G160</f>
        <v>0</v>
      </c>
      <c r="N143" s="226"/>
      <c r="O143" s="248">
        <v>0</v>
      </c>
      <c r="P143" s="240">
        <f>O143*G160</f>
        <v>0</v>
      </c>
      <c r="Q143" s="226">
        <f t="shared" si="24"/>
        <v>0</v>
      </c>
      <c r="R143" s="225">
        <f>G143+J143+M143+P143</f>
        <v>0</v>
      </c>
      <c r="S143" s="67"/>
      <c r="T143" s="11"/>
      <c r="U143" s="11"/>
      <c r="V143" s="12"/>
    </row>
    <row r="144" spans="1:22" s="97" customFormat="1" ht="33.75" customHeight="1">
      <c r="A144" s="103">
        <v>4</v>
      </c>
      <c r="B144" s="410" t="s">
        <v>43</v>
      </c>
      <c r="C144" s="411"/>
      <c r="D144" s="412"/>
      <c r="E144" s="98">
        <v>180</v>
      </c>
      <c r="F144" s="223">
        <f>F145</f>
        <v>23.4</v>
      </c>
      <c r="G144" s="238">
        <f>G145</f>
        <v>1019.7719999999999</v>
      </c>
      <c r="H144" s="93"/>
      <c r="I144" s="223">
        <f>I145</f>
        <v>23.4</v>
      </c>
      <c r="J144" s="238">
        <f>J145</f>
        <v>1019.7719999999999</v>
      </c>
      <c r="K144" s="93"/>
      <c r="L144" s="223">
        <f>L145</f>
        <v>23.7</v>
      </c>
      <c r="M144" s="238">
        <f>M145</f>
        <v>1074.084</v>
      </c>
      <c r="N144" s="93"/>
      <c r="O144" s="223">
        <f>O145</f>
        <v>23.1</v>
      </c>
      <c r="P144" s="238">
        <f>P145</f>
        <v>1046.892</v>
      </c>
      <c r="Q144" s="93">
        <f>Q145</f>
        <v>93.6</v>
      </c>
      <c r="R144" s="222">
        <f>R145</f>
        <v>4160.51</v>
      </c>
      <c r="S144" s="94"/>
      <c r="T144" s="96"/>
      <c r="U144" s="96"/>
      <c r="V144" s="95"/>
    </row>
    <row r="145" spans="1:22" ht="38.25" customHeight="1">
      <c r="A145" s="35"/>
      <c r="B145" s="393" t="s">
        <v>44</v>
      </c>
      <c r="C145" s="394"/>
      <c r="D145" s="395"/>
      <c r="E145" s="8"/>
      <c r="F145" s="227">
        <v>23.4</v>
      </c>
      <c r="G145" s="240">
        <f>F145*F160</f>
        <v>1019.7719999999999</v>
      </c>
      <c r="H145" s="226"/>
      <c r="I145" s="227">
        <v>23.4</v>
      </c>
      <c r="J145" s="240">
        <f>I145*F160</f>
        <v>1019.7719999999999</v>
      </c>
      <c r="K145" s="226"/>
      <c r="L145" s="227">
        <v>23.7</v>
      </c>
      <c r="M145" s="240">
        <f>L145*G160</f>
        <v>1074.084</v>
      </c>
      <c r="N145" s="226"/>
      <c r="O145" s="227">
        <v>23.1</v>
      </c>
      <c r="P145" s="240">
        <f>O145*G160</f>
        <v>1046.892</v>
      </c>
      <c r="Q145" s="226">
        <f>F145+I145+L145+O145</f>
        <v>93.6</v>
      </c>
      <c r="R145" s="225">
        <v>4160.51</v>
      </c>
      <c r="S145" s="67"/>
      <c r="T145" s="11"/>
      <c r="U145" s="11"/>
      <c r="V145" s="12"/>
    </row>
    <row r="146" spans="1:22" s="97" customFormat="1" ht="44.25" customHeight="1">
      <c r="A146" s="103">
        <v>5</v>
      </c>
      <c r="B146" s="410" t="s">
        <v>47</v>
      </c>
      <c r="C146" s="411"/>
      <c r="D146" s="412"/>
      <c r="E146" s="98"/>
      <c r="F146" s="223">
        <f>F147+F148+F149+F150</f>
        <v>197.28199999999998</v>
      </c>
      <c r="G146" s="238">
        <v>7776.75</v>
      </c>
      <c r="H146" s="93"/>
      <c r="I146" s="223">
        <f>I147+I148+I149+I150</f>
        <v>196.812</v>
      </c>
      <c r="J146" s="238">
        <f>J147+J148+J149+J150</f>
        <v>7482.6669600000005</v>
      </c>
      <c r="K146" s="93"/>
      <c r="L146" s="223">
        <f>L147+L148+L149+L150</f>
        <v>173.614</v>
      </c>
      <c r="M146" s="238">
        <v>6540.71</v>
      </c>
      <c r="N146" s="93"/>
      <c r="O146" s="223">
        <f>O147+O148+O149+O150</f>
        <v>245.33999999999997</v>
      </c>
      <c r="P146" s="238">
        <v>9980.81</v>
      </c>
      <c r="Q146" s="93">
        <v>813.04</v>
      </c>
      <c r="R146" s="222">
        <f>R147+R148+R149+R150</f>
        <v>31780.940000000002</v>
      </c>
      <c r="S146" s="94"/>
      <c r="T146" s="96"/>
      <c r="U146" s="96"/>
      <c r="V146" s="95"/>
    </row>
    <row r="147" spans="1:22" ht="39.75" customHeight="1">
      <c r="A147" s="33"/>
      <c r="B147" s="393" t="s">
        <v>48</v>
      </c>
      <c r="C147" s="394"/>
      <c r="D147" s="395"/>
      <c r="E147" s="8"/>
      <c r="F147" s="227">
        <v>16.782</v>
      </c>
      <c r="G147" s="240">
        <f>F147*F160</f>
        <v>731.35956</v>
      </c>
      <c r="H147" s="226"/>
      <c r="I147" s="227">
        <v>15.742</v>
      </c>
      <c r="J147" s="240">
        <f>I147*F160</f>
        <v>686.0363600000001</v>
      </c>
      <c r="K147" s="226"/>
      <c r="L147" s="227">
        <v>15.954</v>
      </c>
      <c r="M147" s="240">
        <f>L147*G160</f>
        <v>723.0352800000001</v>
      </c>
      <c r="N147" s="226"/>
      <c r="O147" s="227">
        <v>32.88</v>
      </c>
      <c r="P147" s="240">
        <f>O147*G160</f>
        <v>1490.1216000000002</v>
      </c>
      <c r="Q147" s="226">
        <f>F147+I147+L147+O147</f>
        <v>81.358</v>
      </c>
      <c r="R147" s="225">
        <v>3630.56</v>
      </c>
      <c r="S147" s="67"/>
      <c r="T147" s="11"/>
      <c r="U147" s="11"/>
      <c r="V147" s="12"/>
    </row>
    <row r="148" spans="1:22" ht="44.25" customHeight="1">
      <c r="A148" s="33"/>
      <c r="B148" s="393" t="s">
        <v>49</v>
      </c>
      <c r="C148" s="394"/>
      <c r="D148" s="395"/>
      <c r="E148" s="8"/>
      <c r="F148" s="227">
        <v>73</v>
      </c>
      <c r="G148" s="240">
        <f>53*F160+20*F161</f>
        <v>2634.14</v>
      </c>
      <c r="H148" s="226"/>
      <c r="I148" s="227">
        <v>72</v>
      </c>
      <c r="J148" s="240">
        <f>52*F160+20*F161</f>
        <v>2590.56</v>
      </c>
      <c r="K148" s="226"/>
      <c r="L148" s="227">
        <v>81.66</v>
      </c>
      <c r="M148" s="240">
        <f>55*G160+26.66*G161</f>
        <v>2942.3541999999998</v>
      </c>
      <c r="N148" s="226"/>
      <c r="O148" s="227">
        <v>71</v>
      </c>
      <c r="P148" s="240">
        <f>51*G160+20*G161</f>
        <v>2648.7200000000003</v>
      </c>
      <c r="Q148" s="226">
        <f>F148+I148+L148+O148</f>
        <v>297.65999999999997</v>
      </c>
      <c r="R148" s="225">
        <v>10815.77</v>
      </c>
      <c r="S148" s="67"/>
      <c r="T148" s="11"/>
      <c r="U148" s="11"/>
      <c r="V148" s="12"/>
    </row>
    <row r="149" spans="1:22" ht="45.75" customHeight="1">
      <c r="A149" s="33"/>
      <c r="B149" s="393" t="s">
        <v>50</v>
      </c>
      <c r="C149" s="394"/>
      <c r="D149" s="395"/>
      <c r="E149" s="8"/>
      <c r="F149" s="227">
        <v>47.3</v>
      </c>
      <c r="G149" s="240">
        <f>37.3*F160+10*F161</f>
        <v>1787.734</v>
      </c>
      <c r="H149" s="226"/>
      <c r="I149" s="227">
        <v>62.07</v>
      </c>
      <c r="J149" s="240">
        <f>42.07*F160+20*F161</f>
        <v>2157.8106</v>
      </c>
      <c r="K149" s="226"/>
      <c r="L149" s="227">
        <v>41.1</v>
      </c>
      <c r="M149" s="240">
        <f>21.1*G160+20*G161</f>
        <v>1293.652</v>
      </c>
      <c r="N149" s="226"/>
      <c r="O149" s="227">
        <v>47.5</v>
      </c>
      <c r="P149" s="240">
        <f>27.5*G160+20*G161</f>
        <v>1583.7</v>
      </c>
      <c r="Q149" s="226">
        <f>F149+I149+L149+O149</f>
        <v>197.97</v>
      </c>
      <c r="R149" s="225">
        <v>6822.89</v>
      </c>
      <c r="S149" s="67"/>
      <c r="T149" s="11"/>
      <c r="U149" s="11"/>
      <c r="V149" s="12"/>
    </row>
    <row r="150" spans="1:22" ht="33.75" customHeight="1">
      <c r="A150" s="33"/>
      <c r="B150" s="408" t="s">
        <v>40</v>
      </c>
      <c r="C150" s="408"/>
      <c r="D150" s="408"/>
      <c r="E150" s="8"/>
      <c r="F150" s="227">
        <v>60.2</v>
      </c>
      <c r="G150" s="240">
        <f>F150*F160</f>
        <v>2623.516</v>
      </c>
      <c r="H150" s="226"/>
      <c r="I150" s="227">
        <v>47</v>
      </c>
      <c r="J150" s="240">
        <f>I150*F160</f>
        <v>2048.2599999999998</v>
      </c>
      <c r="K150" s="226"/>
      <c r="L150" s="227">
        <v>34.9</v>
      </c>
      <c r="M150" s="240">
        <f>L150*G160</f>
        <v>1581.668</v>
      </c>
      <c r="N150" s="226"/>
      <c r="O150" s="227">
        <v>93.96</v>
      </c>
      <c r="P150" s="240">
        <f>O150*G160</f>
        <v>4258.267199999999</v>
      </c>
      <c r="Q150" s="226">
        <f>F150+I150+L150+O150</f>
        <v>236.06</v>
      </c>
      <c r="R150" s="225">
        <v>10511.72</v>
      </c>
      <c r="S150" s="67"/>
      <c r="T150" s="11"/>
      <c r="U150" s="11"/>
      <c r="V150" s="12"/>
    </row>
    <row r="151" spans="1:22" s="97" customFormat="1" ht="33.75" customHeight="1">
      <c r="A151" s="103">
        <v>6</v>
      </c>
      <c r="B151" s="410" t="s">
        <v>53</v>
      </c>
      <c r="C151" s="411"/>
      <c r="D151" s="412"/>
      <c r="E151" s="98"/>
      <c r="F151" s="223">
        <f>F152+F153+F154</f>
        <v>3319.1</v>
      </c>
      <c r="G151" s="238">
        <f>G152+G153+G154</f>
        <v>144646.378</v>
      </c>
      <c r="H151" s="93"/>
      <c r="I151" s="223">
        <f>I152+I153+I154</f>
        <v>3004.1</v>
      </c>
      <c r="J151" s="238">
        <f>J152+J153+J154</f>
        <v>130918.678</v>
      </c>
      <c r="K151" s="93"/>
      <c r="L151" s="223">
        <f>L152+L153+L154</f>
        <v>2722.1</v>
      </c>
      <c r="M151" s="238">
        <f>M152+M153+M154</f>
        <v>123365.572</v>
      </c>
      <c r="N151" s="93"/>
      <c r="O151" s="223">
        <f>O152+O153+O154</f>
        <v>3046.1</v>
      </c>
      <c r="P151" s="238">
        <f>P152+P153+P154</f>
        <v>138049.252</v>
      </c>
      <c r="Q151" s="93">
        <f>Q152+Q153+Q154</f>
        <v>12091.4</v>
      </c>
      <c r="R151" s="222">
        <f>R152+R153+R154</f>
        <v>536979.88</v>
      </c>
      <c r="S151" s="94"/>
      <c r="T151" s="96"/>
      <c r="U151" s="96"/>
      <c r="V151" s="95"/>
    </row>
    <row r="152" spans="1:22" ht="45.75" customHeight="1">
      <c r="A152" s="35"/>
      <c r="B152" s="422" t="s">
        <v>140</v>
      </c>
      <c r="C152" s="423"/>
      <c r="D152" s="424"/>
      <c r="E152" s="8"/>
      <c r="F152" s="227">
        <v>233</v>
      </c>
      <c r="G152" s="240">
        <f>F152*F160</f>
        <v>10154.14</v>
      </c>
      <c r="H152" s="226"/>
      <c r="I152" s="227">
        <v>218</v>
      </c>
      <c r="J152" s="240">
        <f>I152*F160</f>
        <v>9500.44</v>
      </c>
      <c r="K152" s="226"/>
      <c r="L152" s="227">
        <v>96</v>
      </c>
      <c r="M152" s="240">
        <f>L152*G160</f>
        <v>4350.72</v>
      </c>
      <c r="N152" s="226"/>
      <c r="O152" s="227">
        <v>260</v>
      </c>
      <c r="P152" s="240">
        <f>O152*G160</f>
        <v>11783.2</v>
      </c>
      <c r="Q152" s="226">
        <f>F152+I152+L152+O152</f>
        <v>807</v>
      </c>
      <c r="R152" s="225">
        <f>G152+J152+M152+P152</f>
        <v>35788.5</v>
      </c>
      <c r="S152" s="67"/>
      <c r="T152" s="11"/>
      <c r="U152" s="11"/>
      <c r="V152" s="12"/>
    </row>
    <row r="153" spans="1:22" ht="47.25" customHeight="1">
      <c r="A153" s="35"/>
      <c r="B153" s="393" t="s">
        <v>55</v>
      </c>
      <c r="C153" s="394"/>
      <c r="D153" s="395"/>
      <c r="E153" s="8"/>
      <c r="F153" s="227">
        <v>600</v>
      </c>
      <c r="G153" s="240">
        <f>F153*F160</f>
        <v>26148</v>
      </c>
      <c r="H153" s="226"/>
      <c r="I153" s="227">
        <v>300</v>
      </c>
      <c r="J153" s="240">
        <f>I153*F160</f>
        <v>13074</v>
      </c>
      <c r="K153" s="226"/>
      <c r="L153" s="248">
        <v>140</v>
      </c>
      <c r="M153" s="240">
        <f>L153*G160</f>
        <v>6344.8</v>
      </c>
      <c r="N153" s="226"/>
      <c r="O153" s="248">
        <v>300</v>
      </c>
      <c r="P153" s="240">
        <f>O153*G160</f>
        <v>13596</v>
      </c>
      <c r="Q153" s="226">
        <f>F153+I153+L153+O153</f>
        <v>1340</v>
      </c>
      <c r="R153" s="225">
        <f>G153+J153+M153+P153</f>
        <v>59162.8</v>
      </c>
      <c r="S153" s="67"/>
      <c r="T153" s="11"/>
      <c r="U153" s="11"/>
      <c r="V153" s="12"/>
    </row>
    <row r="154" spans="1:22" ht="50.25" customHeight="1">
      <c r="A154" s="35"/>
      <c r="B154" s="399" t="s">
        <v>84</v>
      </c>
      <c r="C154" s="474"/>
      <c r="D154" s="475"/>
      <c r="E154" s="8"/>
      <c r="F154" s="227">
        <v>2486.1</v>
      </c>
      <c r="G154" s="240">
        <f>SUM(F154)*F160</f>
        <v>108344.238</v>
      </c>
      <c r="H154" s="226"/>
      <c r="I154" s="227">
        <v>2486.1</v>
      </c>
      <c r="J154" s="240">
        <f>SUM(I154)*F160</f>
        <v>108344.238</v>
      </c>
      <c r="K154" s="226"/>
      <c r="L154" s="248">
        <v>2486.1</v>
      </c>
      <c r="M154" s="240">
        <f>SUM(L154)*G160</f>
        <v>112670.052</v>
      </c>
      <c r="N154" s="226"/>
      <c r="O154" s="248">
        <v>2486.1</v>
      </c>
      <c r="P154" s="240">
        <f>SUM(O154)*G160</f>
        <v>112670.052</v>
      </c>
      <c r="Q154" s="226">
        <f>F154+I154+L154+O154</f>
        <v>9944.4</v>
      </c>
      <c r="R154" s="225">
        <f>SUM(G154)+J154+M154+P154</f>
        <v>442028.57999999996</v>
      </c>
      <c r="S154" s="67"/>
      <c r="T154" s="11"/>
      <c r="U154" s="11"/>
      <c r="V154" s="12"/>
    </row>
    <row r="155" spans="1:22" ht="50.25" customHeight="1">
      <c r="A155" s="35">
        <v>7</v>
      </c>
      <c r="B155" s="410" t="s">
        <v>85</v>
      </c>
      <c r="C155" s="411"/>
      <c r="D155" s="412"/>
      <c r="E155" s="8"/>
      <c r="F155" s="282">
        <f>SUM(F156:F157)</f>
        <v>25</v>
      </c>
      <c r="G155" s="283">
        <f aca="true" t="shared" si="26" ref="G155:Q155">SUM(G156:G157)</f>
        <v>1089.5</v>
      </c>
      <c r="H155" s="281">
        <f t="shared" si="26"/>
        <v>0</v>
      </c>
      <c r="I155" s="282">
        <f t="shared" si="26"/>
        <v>25</v>
      </c>
      <c r="J155" s="283">
        <f t="shared" si="26"/>
        <v>1089.5</v>
      </c>
      <c r="K155" s="281">
        <f t="shared" si="26"/>
        <v>0</v>
      </c>
      <c r="L155" s="284">
        <f t="shared" si="26"/>
        <v>25</v>
      </c>
      <c r="M155" s="283">
        <f t="shared" si="26"/>
        <v>1133</v>
      </c>
      <c r="N155" s="281">
        <f t="shared" si="26"/>
        <v>0</v>
      </c>
      <c r="O155" s="284">
        <f t="shared" si="26"/>
        <v>25</v>
      </c>
      <c r="P155" s="283">
        <f t="shared" si="26"/>
        <v>1133</v>
      </c>
      <c r="Q155" s="281">
        <f t="shared" si="26"/>
        <v>100</v>
      </c>
      <c r="R155" s="285">
        <f>SUM(G155)+J155+M155+P155</f>
        <v>4445</v>
      </c>
      <c r="S155" s="67"/>
      <c r="T155" s="11"/>
      <c r="U155" s="11"/>
      <c r="V155" s="12"/>
    </row>
    <row r="156" spans="1:22" ht="36.75" customHeight="1">
      <c r="A156" s="35"/>
      <c r="B156" s="399" t="s">
        <v>86</v>
      </c>
      <c r="C156" s="474"/>
      <c r="D156" s="475"/>
      <c r="E156" s="8"/>
      <c r="F156" s="227">
        <v>0</v>
      </c>
      <c r="G156" s="240">
        <v>0</v>
      </c>
      <c r="H156" s="226"/>
      <c r="I156" s="227">
        <v>0</v>
      </c>
      <c r="J156" s="240">
        <v>0</v>
      </c>
      <c r="K156" s="226"/>
      <c r="L156" s="240">
        <v>0</v>
      </c>
      <c r="M156" s="240">
        <v>0</v>
      </c>
      <c r="N156" s="226"/>
      <c r="O156" s="240">
        <v>0</v>
      </c>
      <c r="P156" s="240">
        <v>0</v>
      </c>
      <c r="Q156" s="226">
        <f>F156+I156+L156+O156</f>
        <v>0</v>
      </c>
      <c r="R156" s="225">
        <f>SUM(G156)+J156+M156+P156</f>
        <v>0</v>
      </c>
      <c r="S156" s="67"/>
      <c r="T156" s="11"/>
      <c r="U156" s="11"/>
      <c r="V156" s="12"/>
    </row>
    <row r="157" spans="1:22" ht="29.25" customHeight="1">
      <c r="A157" s="35"/>
      <c r="B157" s="399" t="s">
        <v>87</v>
      </c>
      <c r="C157" s="474"/>
      <c r="D157" s="475"/>
      <c r="E157" s="8"/>
      <c r="F157" s="227">
        <v>25</v>
      </c>
      <c r="G157" s="240">
        <f>F157*F160</f>
        <v>1089.5</v>
      </c>
      <c r="H157" s="226"/>
      <c r="I157" s="227">
        <v>25</v>
      </c>
      <c r="J157" s="240">
        <f>I157*F160</f>
        <v>1089.5</v>
      </c>
      <c r="K157" s="226"/>
      <c r="L157" s="248">
        <v>25</v>
      </c>
      <c r="M157" s="240">
        <f>SUM(L157)*G160</f>
        <v>1133</v>
      </c>
      <c r="N157" s="226"/>
      <c r="O157" s="248">
        <v>25</v>
      </c>
      <c r="P157" s="240">
        <f>SUM(O157)*G160</f>
        <v>1133</v>
      </c>
      <c r="Q157" s="226">
        <f>F157+I157+L157+O157</f>
        <v>100</v>
      </c>
      <c r="R157" s="225">
        <f>SUM(G157)+J157+M157+P157</f>
        <v>4445</v>
      </c>
      <c r="S157" s="67"/>
      <c r="T157" s="11"/>
      <c r="U157" s="11"/>
      <c r="V157" s="12"/>
    </row>
    <row r="158" spans="1:22" ht="45.75" customHeight="1">
      <c r="A158" s="52"/>
      <c r="B158" s="466" t="s">
        <v>19</v>
      </c>
      <c r="C158" s="466"/>
      <c r="D158" s="466"/>
      <c r="E158" s="15">
        <f>SUM(E131:E144)</f>
        <v>6764.85</v>
      </c>
      <c r="F158" s="233">
        <f aca="true" t="shared" si="27" ref="F158:Q158">F131+F132+F139+F144+F146+F151+F155</f>
        <v>5985.1720000000005</v>
      </c>
      <c r="G158" s="249">
        <v>243077.15</v>
      </c>
      <c r="H158" s="60">
        <f t="shared" si="27"/>
        <v>17.5</v>
      </c>
      <c r="I158" s="233">
        <f t="shared" si="27"/>
        <v>5738.022000000001</v>
      </c>
      <c r="J158" s="249">
        <f t="shared" si="27"/>
        <v>222456.75876</v>
      </c>
      <c r="K158" s="60">
        <f t="shared" si="27"/>
        <v>17.5</v>
      </c>
      <c r="L158" s="233">
        <f t="shared" si="27"/>
        <v>5393.424</v>
      </c>
      <c r="M158" s="249">
        <f t="shared" si="27"/>
        <v>214965.4436</v>
      </c>
      <c r="N158" s="60">
        <f t="shared" si="27"/>
        <v>17.5</v>
      </c>
      <c r="O158" s="233">
        <f t="shared" si="27"/>
        <v>5777.120000000001</v>
      </c>
      <c r="P158" s="249">
        <f t="shared" si="27"/>
        <v>233397.5296</v>
      </c>
      <c r="Q158" s="60">
        <f t="shared" si="27"/>
        <v>22893.730000000003</v>
      </c>
      <c r="R158" s="234">
        <f>R131+R132+R139+R144+R146+R151+R155</f>
        <v>913896.8802</v>
      </c>
      <c r="S158" s="67"/>
      <c r="T158" s="53"/>
      <c r="U158" s="53"/>
      <c r="V158" s="53"/>
    </row>
    <row r="159" spans="1:18" ht="36.75" customHeight="1">
      <c r="A159" s="38"/>
      <c r="B159" s="471" t="s">
        <v>17</v>
      </c>
      <c r="C159" s="472"/>
      <c r="D159" s="473"/>
      <c r="E159" s="409" t="s">
        <v>127</v>
      </c>
      <c r="F159" s="409"/>
      <c r="G159" s="409"/>
      <c r="H159" s="409"/>
      <c r="I159" s="409"/>
      <c r="J159" s="409"/>
      <c r="K159" s="409"/>
      <c r="L159" s="409"/>
      <c r="M159" s="409"/>
      <c r="N159" s="409"/>
      <c r="O159" s="409"/>
      <c r="P159" s="409"/>
      <c r="Q159" s="409"/>
      <c r="R159" s="409"/>
    </row>
    <row r="160" spans="1:18" s="12" customFormat="1" ht="26.25">
      <c r="A160" s="5"/>
      <c r="B160" s="5"/>
      <c r="C160" s="5"/>
      <c r="D160" s="5"/>
      <c r="E160" s="5"/>
      <c r="F160" s="176">
        <v>43.58</v>
      </c>
      <c r="G160" s="179">
        <v>45.32</v>
      </c>
      <c r="H160" s="179"/>
      <c r="I160" s="179"/>
      <c r="J160" s="2"/>
      <c r="K160" s="5"/>
      <c r="L160" s="5"/>
      <c r="M160" s="5"/>
      <c r="N160" s="5"/>
      <c r="O160" s="5"/>
      <c r="P160" s="5"/>
      <c r="Q160" s="5"/>
      <c r="R160" s="5"/>
    </row>
    <row r="161" spans="1:18" s="12" customFormat="1" ht="26.25">
      <c r="A161" s="5"/>
      <c r="B161" s="5"/>
      <c r="C161" s="5"/>
      <c r="D161" s="5"/>
      <c r="E161" s="5"/>
      <c r="F161" s="176">
        <v>16.22</v>
      </c>
      <c r="G161" s="179">
        <v>16.87</v>
      </c>
      <c r="H161" s="179"/>
      <c r="I161" s="179"/>
      <c r="J161" s="2"/>
      <c r="K161" s="5"/>
      <c r="L161" s="5"/>
      <c r="M161" s="5"/>
      <c r="N161" s="5"/>
      <c r="O161" s="5"/>
      <c r="P161" s="5"/>
      <c r="Q161" s="5"/>
      <c r="R161" s="5"/>
    </row>
    <row r="162" spans="1:18" ht="26.25">
      <c r="A162" s="47"/>
      <c r="B162" s="43"/>
      <c r="C162" s="43"/>
      <c r="D162" s="43"/>
      <c r="E162" s="43"/>
      <c r="F162" s="43"/>
      <c r="G162" s="104"/>
      <c r="I162" s="43"/>
      <c r="J162" s="104"/>
      <c r="K162" s="43"/>
      <c r="L162" s="43"/>
      <c r="M162" s="104"/>
      <c r="N162" s="43"/>
      <c r="O162" s="43"/>
      <c r="P162" s="104"/>
      <c r="Q162" s="43"/>
      <c r="R162" s="104"/>
    </row>
    <row r="163" spans="1:18" ht="26.25">
      <c r="A163" s="51"/>
      <c r="B163" s="43"/>
      <c r="C163" s="43"/>
      <c r="D163" s="43"/>
      <c r="E163" s="43"/>
      <c r="F163" s="43"/>
      <c r="G163" s="104"/>
      <c r="H163" s="6"/>
      <c r="I163" s="6"/>
      <c r="J163" s="104"/>
      <c r="K163" s="43"/>
      <c r="L163" s="43"/>
      <c r="M163" s="104"/>
      <c r="N163" s="43"/>
      <c r="O163" s="43"/>
      <c r="P163" s="104"/>
      <c r="Q163" s="43"/>
      <c r="R163" s="104"/>
    </row>
    <row r="164" spans="1:18" ht="26.25">
      <c r="A164" s="6"/>
      <c r="B164" s="43"/>
      <c r="C164" s="43"/>
      <c r="D164" s="43"/>
      <c r="E164" s="43"/>
      <c r="F164" s="43"/>
      <c r="G164" s="104"/>
      <c r="H164" s="43"/>
      <c r="I164" s="43"/>
      <c r="J164" s="104"/>
      <c r="K164" s="43"/>
      <c r="L164" s="43"/>
      <c r="M164" s="104"/>
      <c r="N164" s="43"/>
      <c r="O164" s="43"/>
      <c r="P164" s="104"/>
      <c r="Q164" s="43"/>
      <c r="R164" s="104"/>
    </row>
    <row r="165" spans="1:18" ht="26.25">
      <c r="A165" s="6"/>
      <c r="B165" s="6"/>
      <c r="C165" s="6"/>
      <c r="D165" s="6"/>
      <c r="E165" s="6"/>
      <c r="F165" s="6"/>
      <c r="G165" s="104"/>
      <c r="H165" s="6"/>
      <c r="I165" s="6"/>
      <c r="J165" s="104"/>
      <c r="K165" s="6"/>
      <c r="L165" s="6"/>
      <c r="M165" s="104"/>
      <c r="N165" s="6"/>
      <c r="O165" s="6"/>
      <c r="P165" s="104"/>
      <c r="Q165" s="6"/>
      <c r="R165" s="104"/>
    </row>
    <row r="166" spans="1:18" ht="26.25">
      <c r="A166" s="6"/>
      <c r="B166" s="6"/>
      <c r="C166" s="6"/>
      <c r="D166" s="6"/>
      <c r="E166" s="6"/>
      <c r="F166" s="6"/>
      <c r="G166" s="104"/>
      <c r="H166" s="6"/>
      <c r="I166" s="6"/>
      <c r="J166" s="104"/>
      <c r="K166" s="6"/>
      <c r="L166" s="6"/>
      <c r="M166" s="104"/>
      <c r="N166" s="6"/>
      <c r="O166" s="6"/>
      <c r="P166" s="104"/>
      <c r="Q166" s="6"/>
      <c r="R166" s="104"/>
    </row>
    <row r="167" spans="1:18" ht="26.25">
      <c r="A167" s="6"/>
      <c r="B167" s="6"/>
      <c r="C167" s="6"/>
      <c r="D167" s="6"/>
      <c r="E167" s="54"/>
      <c r="K167" s="6"/>
      <c r="L167" s="6"/>
      <c r="M167" s="104"/>
      <c r="N167" s="6"/>
      <c r="O167" s="6"/>
      <c r="P167" s="104"/>
      <c r="Q167" s="6"/>
      <c r="R167" s="104"/>
    </row>
    <row r="168" ht="25.5">
      <c r="E168" s="55" t="s">
        <v>22</v>
      </c>
    </row>
    <row r="169" ht="25.5">
      <c r="E169" s="55" t="s">
        <v>23</v>
      </c>
    </row>
    <row r="170" ht="25.5">
      <c r="E170" s="55" t="s">
        <v>24</v>
      </c>
    </row>
    <row r="171" ht="25.5">
      <c r="E171" s="55" t="s">
        <v>25</v>
      </c>
    </row>
    <row r="172" ht="25.5">
      <c r="E172" s="55" t="s">
        <v>26</v>
      </c>
    </row>
    <row r="173" ht="25.5">
      <c r="E173" s="55" t="s">
        <v>27</v>
      </c>
    </row>
    <row r="174" ht="25.5">
      <c r="E174" s="55" t="s">
        <v>29</v>
      </c>
    </row>
    <row r="175" ht="25.5">
      <c r="E175" s="55" t="s">
        <v>30</v>
      </c>
    </row>
    <row r="176" ht="25.5">
      <c r="E176" s="55" t="s">
        <v>28</v>
      </c>
    </row>
  </sheetData>
  <sheetProtection/>
  <mergeCells count="172">
    <mergeCell ref="B40:D40"/>
    <mergeCell ref="B41:D41"/>
    <mergeCell ref="B82:D82"/>
    <mergeCell ref="B83:D83"/>
    <mergeCell ref="B42:D42"/>
    <mergeCell ref="B43:D43"/>
    <mergeCell ref="B44:D44"/>
    <mergeCell ref="B46:D46"/>
    <mergeCell ref="B47:D47"/>
    <mergeCell ref="B53:D53"/>
    <mergeCell ref="B121:D121"/>
    <mergeCell ref="B122:D122"/>
    <mergeCell ref="B123:D123"/>
    <mergeCell ref="B79:D79"/>
    <mergeCell ref="B80:D80"/>
    <mergeCell ref="B81:D81"/>
    <mergeCell ref="B102:D102"/>
    <mergeCell ref="B103:D103"/>
    <mergeCell ref="B104:D104"/>
    <mergeCell ref="B105:D105"/>
    <mergeCell ref="A7:R7"/>
    <mergeCell ref="P2:R2"/>
    <mergeCell ref="P3:R3"/>
    <mergeCell ref="P5:R5"/>
    <mergeCell ref="A8:R8"/>
    <mergeCell ref="A9:A10"/>
    <mergeCell ref="B9:D10"/>
    <mergeCell ref="E9:G9"/>
    <mergeCell ref="H9:J9"/>
    <mergeCell ref="K9:M9"/>
    <mergeCell ref="N9:P9"/>
    <mergeCell ref="Q9:R9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4:D24"/>
    <mergeCell ref="B20:D20"/>
    <mergeCell ref="B21:D21"/>
    <mergeCell ref="B22:D22"/>
    <mergeCell ref="B23:D23"/>
    <mergeCell ref="B25:D25"/>
    <mergeCell ref="B26:D26"/>
    <mergeCell ref="B27:D27"/>
    <mergeCell ref="B30:D30"/>
    <mergeCell ref="B31:D31"/>
    <mergeCell ref="B32:D32"/>
    <mergeCell ref="B28:D28"/>
    <mergeCell ref="B29:D29"/>
    <mergeCell ref="B33:D33"/>
    <mergeCell ref="B34:D34"/>
    <mergeCell ref="B35:D35"/>
    <mergeCell ref="B36:D36"/>
    <mergeCell ref="B37:D37"/>
    <mergeCell ref="B39:D39"/>
    <mergeCell ref="B38:D38"/>
    <mergeCell ref="E47:R47"/>
    <mergeCell ref="A50:R50"/>
    <mergeCell ref="A51:A52"/>
    <mergeCell ref="B51:D52"/>
    <mergeCell ref="E51:G51"/>
    <mergeCell ref="H51:J51"/>
    <mergeCell ref="K51:M51"/>
    <mergeCell ref="N51:P51"/>
    <mergeCell ref="Q51:R51"/>
    <mergeCell ref="B54:D54"/>
    <mergeCell ref="B55:D55"/>
    <mergeCell ref="B56:D56"/>
    <mergeCell ref="B57:D57"/>
    <mergeCell ref="B58:D58"/>
    <mergeCell ref="B59:D59"/>
    <mergeCell ref="B60:D60"/>
    <mergeCell ref="B61:D61"/>
    <mergeCell ref="B66:D66"/>
    <mergeCell ref="B67:D67"/>
    <mergeCell ref="B68:D68"/>
    <mergeCell ref="B69:D69"/>
    <mergeCell ref="B62:D62"/>
    <mergeCell ref="B63:D63"/>
    <mergeCell ref="B70:D70"/>
    <mergeCell ref="B71:D71"/>
    <mergeCell ref="B72:D72"/>
    <mergeCell ref="B73:D73"/>
    <mergeCell ref="B74:D74"/>
    <mergeCell ref="B75:D75"/>
    <mergeCell ref="B76:D76"/>
    <mergeCell ref="B77:D77"/>
    <mergeCell ref="B85:D85"/>
    <mergeCell ref="B86:D86"/>
    <mergeCell ref="B78:D78"/>
    <mergeCell ref="E86:R86"/>
    <mergeCell ref="P90:R90"/>
    <mergeCell ref="P91:R91"/>
    <mergeCell ref="P92:R92"/>
    <mergeCell ref="A94:R94"/>
    <mergeCell ref="A95:A96"/>
    <mergeCell ref="B95:D96"/>
    <mergeCell ref="E95:G95"/>
    <mergeCell ref="H95:J95"/>
    <mergeCell ref="K95:M95"/>
    <mergeCell ref="N95:P95"/>
    <mergeCell ref="Q95:R95"/>
    <mergeCell ref="B97:D97"/>
    <mergeCell ref="B98:D98"/>
    <mergeCell ref="B99:D99"/>
    <mergeCell ref="B100:D100"/>
    <mergeCell ref="B101:D101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4:D124"/>
    <mergeCell ref="B120:D120"/>
    <mergeCell ref="B125:D125"/>
    <mergeCell ref="E125:R125"/>
    <mergeCell ref="A128:R128"/>
    <mergeCell ref="A129:A130"/>
    <mergeCell ref="B129:D130"/>
    <mergeCell ref="E129:G129"/>
    <mergeCell ref="H129:J129"/>
    <mergeCell ref="K129:M129"/>
    <mergeCell ref="B137:D137"/>
    <mergeCell ref="B138:D138"/>
    <mergeCell ref="B139:D139"/>
    <mergeCell ref="B142:D142"/>
    <mergeCell ref="N129:P129"/>
    <mergeCell ref="Q129:R129"/>
    <mergeCell ref="B131:D131"/>
    <mergeCell ref="B132:D132"/>
    <mergeCell ref="B133:D133"/>
    <mergeCell ref="B134:D134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8:D158"/>
    <mergeCell ref="B159:D159"/>
    <mergeCell ref="E159:R159"/>
    <mergeCell ref="B154:D154"/>
    <mergeCell ref="B155:D155"/>
    <mergeCell ref="B156:D156"/>
    <mergeCell ref="B157:D157"/>
    <mergeCell ref="B106:D106"/>
    <mergeCell ref="B107:D107"/>
    <mergeCell ref="B140:D140"/>
    <mergeCell ref="B141:D141"/>
    <mergeCell ref="B45:D45"/>
    <mergeCell ref="B64:D64"/>
    <mergeCell ref="B65:D65"/>
    <mergeCell ref="B84:D84"/>
    <mergeCell ref="B135:D135"/>
    <mergeCell ref="B136:D136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6" r:id="rId1"/>
  <rowBreaks count="3" manualBreakCount="3">
    <brk id="47" max="17" man="1"/>
    <brk id="88" max="17" man="1"/>
    <brk id="127" max="17" man="1"/>
  </rowBreaks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8"/>
  <sheetViews>
    <sheetView tabSelected="1" view="pageBreakPreview" zoomScale="40" zoomScaleNormal="50" zoomScaleSheetLayoutView="40" zoomScalePageLayoutView="0" workbookViewId="0" topLeftCell="A1">
      <selection activeCell="B139" sqref="B139:D139"/>
    </sheetView>
  </sheetViews>
  <sheetFormatPr defaultColWidth="9.140625" defaultRowHeight="12.75"/>
  <cols>
    <col min="1" max="1" width="6.7109375" style="10" customWidth="1"/>
    <col min="2" max="2" width="9.140625" style="10" customWidth="1"/>
    <col min="3" max="3" width="21.140625" style="10" customWidth="1"/>
    <col min="4" max="4" width="83.57421875" style="10" customWidth="1"/>
    <col min="5" max="5" width="27.140625" style="10" customWidth="1"/>
    <col min="6" max="6" width="14.421875" style="10" hidden="1" customWidth="1"/>
    <col min="7" max="7" width="24.7109375" style="10" customWidth="1"/>
    <col min="8" max="8" width="33.00390625" style="10" customWidth="1"/>
    <col min="9" max="9" width="9.8515625" style="10" hidden="1" customWidth="1"/>
    <col min="10" max="10" width="29.421875" style="10" customWidth="1"/>
    <col min="11" max="11" width="28.00390625" style="10" customWidth="1"/>
    <col min="12" max="12" width="9.8515625" style="10" hidden="1" customWidth="1"/>
    <col min="13" max="13" width="28.140625" style="10" customWidth="1"/>
    <col min="14" max="14" width="27.00390625" style="10" customWidth="1"/>
    <col min="15" max="15" width="9.8515625" style="10" hidden="1" customWidth="1"/>
    <col min="16" max="16" width="27.00390625" style="10" customWidth="1"/>
    <col min="17" max="17" width="29.421875" style="10" customWidth="1"/>
    <col min="18" max="18" width="29.28125" style="10" customWidth="1"/>
    <col min="19" max="19" width="30.57421875" style="10" customWidth="1"/>
    <col min="20" max="20" width="18.00390625" style="67" customWidth="1"/>
    <col min="21" max="21" width="22.28125" style="10" bestFit="1" customWidth="1"/>
    <col min="22" max="22" width="12.8515625" style="10" customWidth="1"/>
    <col min="23" max="16384" width="9.140625" style="10" customWidth="1"/>
  </cols>
  <sheetData>
    <row r="1" spans="1:23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6"/>
      <c r="P1" s="126"/>
      <c r="Q1" s="56"/>
      <c r="R1" s="56"/>
      <c r="S1" s="126"/>
      <c r="U1" s="12"/>
      <c r="V1" s="12"/>
      <c r="W1" s="12"/>
    </row>
    <row r="2" spans="1:23" ht="35.25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26"/>
      <c r="P2" s="126"/>
      <c r="Q2" s="434"/>
      <c r="R2" s="434"/>
      <c r="S2" s="434"/>
      <c r="U2" s="12"/>
      <c r="V2" s="12"/>
      <c r="W2" s="12"/>
    </row>
    <row r="3" spans="1:23" ht="35.2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26"/>
      <c r="P3" s="126"/>
      <c r="Q3" s="434"/>
      <c r="R3" s="434"/>
      <c r="S3" s="434"/>
      <c r="U3" s="12"/>
      <c r="V3" s="12"/>
      <c r="W3" s="12"/>
    </row>
    <row r="4" spans="1:23" ht="35.25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26"/>
      <c r="P4" s="126"/>
      <c r="Q4" s="434"/>
      <c r="R4" s="434"/>
      <c r="S4" s="434"/>
      <c r="U4" s="12"/>
      <c r="V4" s="12"/>
      <c r="W4" s="12"/>
    </row>
    <row r="5" spans="1:23" ht="35.2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26"/>
      <c r="P5" s="126"/>
      <c r="Q5" s="126"/>
      <c r="R5" s="126"/>
      <c r="S5" s="126"/>
      <c r="U5" s="12"/>
      <c r="V5" s="12"/>
      <c r="W5" s="12"/>
    </row>
    <row r="6" spans="1:23" ht="33.75" customHeight="1" hidden="1">
      <c r="A6" s="476" t="s">
        <v>67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U6" s="12"/>
      <c r="V6" s="12"/>
      <c r="W6" s="12"/>
    </row>
    <row r="7" spans="1:23" ht="18.75" customHeight="1" hidden="1">
      <c r="A7" s="494" t="s">
        <v>15</v>
      </c>
      <c r="B7" s="485" t="s">
        <v>0</v>
      </c>
      <c r="C7" s="486"/>
      <c r="D7" s="487"/>
      <c r="E7" s="127"/>
      <c r="F7" s="427" t="s">
        <v>1</v>
      </c>
      <c r="G7" s="428"/>
      <c r="H7" s="429"/>
      <c r="I7" s="427" t="s">
        <v>3</v>
      </c>
      <c r="J7" s="428"/>
      <c r="K7" s="429"/>
      <c r="L7" s="427" t="s">
        <v>4</v>
      </c>
      <c r="M7" s="428"/>
      <c r="N7" s="429"/>
      <c r="O7" s="427" t="s">
        <v>6</v>
      </c>
      <c r="P7" s="428"/>
      <c r="Q7" s="429"/>
      <c r="R7" s="427" t="s">
        <v>7</v>
      </c>
      <c r="S7" s="429"/>
      <c r="V7" s="12"/>
      <c r="W7" s="12"/>
    </row>
    <row r="8" spans="1:23" ht="53.25" hidden="1">
      <c r="A8" s="495"/>
      <c r="B8" s="488"/>
      <c r="C8" s="489"/>
      <c r="D8" s="490"/>
      <c r="E8" s="129"/>
      <c r="F8" s="130"/>
      <c r="G8" s="130" t="s">
        <v>2</v>
      </c>
      <c r="H8" s="130" t="s">
        <v>5</v>
      </c>
      <c r="I8" s="130"/>
      <c r="J8" s="130" t="s">
        <v>2</v>
      </c>
      <c r="K8" s="130" t="s">
        <v>5</v>
      </c>
      <c r="L8" s="130"/>
      <c r="M8" s="130" t="s">
        <v>2</v>
      </c>
      <c r="N8" s="130" t="s">
        <v>5</v>
      </c>
      <c r="O8" s="130" t="s">
        <v>2</v>
      </c>
      <c r="P8" s="130" t="s">
        <v>2</v>
      </c>
      <c r="Q8" s="130" t="s">
        <v>5</v>
      </c>
      <c r="R8" s="130" t="s">
        <v>2</v>
      </c>
      <c r="S8" s="130" t="s">
        <v>5</v>
      </c>
      <c r="V8" s="12"/>
      <c r="W8" s="12"/>
    </row>
    <row r="9" spans="1:23" ht="30" customHeight="1" hidden="1">
      <c r="A9" s="15">
        <v>1</v>
      </c>
      <c r="B9" s="496" t="s">
        <v>33</v>
      </c>
      <c r="C9" s="497"/>
      <c r="D9" s="498"/>
      <c r="E9" s="133"/>
      <c r="F9" s="15">
        <v>22.6</v>
      </c>
      <c r="G9" s="57">
        <v>22.6</v>
      </c>
      <c r="H9" s="9">
        <f>G9*G36</f>
        <v>60523.252</v>
      </c>
      <c r="I9" s="9">
        <v>7.9</v>
      </c>
      <c r="J9" s="9">
        <v>7.5</v>
      </c>
      <c r="K9" s="9">
        <f>J9*G36</f>
        <v>20085.15</v>
      </c>
      <c r="L9" s="9">
        <v>2.9</v>
      </c>
      <c r="M9" s="9">
        <v>2.4</v>
      </c>
      <c r="N9" s="9">
        <f>M9*H36</f>
        <v>7174.727999999999</v>
      </c>
      <c r="O9" s="9">
        <v>20.6</v>
      </c>
      <c r="P9" s="9">
        <v>18.7</v>
      </c>
      <c r="Q9" s="9">
        <f>P9*H36</f>
        <v>55903.08899999999</v>
      </c>
      <c r="R9" s="9">
        <f aca="true" t="shared" si="0" ref="R9:S17">G9+J9+M9+P9</f>
        <v>51.2</v>
      </c>
      <c r="S9" s="9">
        <f t="shared" si="0"/>
        <v>143686.21899999998</v>
      </c>
      <c r="T9" s="67" t="s">
        <v>21</v>
      </c>
      <c r="U9" s="13"/>
      <c r="V9" s="11">
        <f>H9+K9+N9+Q9</f>
        <v>143686.21899999998</v>
      </c>
      <c r="W9" s="12">
        <f>G9+J9+M9+P9</f>
        <v>51.2</v>
      </c>
    </row>
    <row r="10" spans="1:23" ht="30" customHeight="1" hidden="1">
      <c r="A10" s="15">
        <v>2</v>
      </c>
      <c r="B10" s="496" t="s">
        <v>41</v>
      </c>
      <c r="C10" s="497"/>
      <c r="D10" s="498"/>
      <c r="E10" s="133"/>
      <c r="F10" s="15"/>
      <c r="G10" s="57">
        <f>G11+G12+G13+G14+G15+G16</f>
        <v>3047.7000000000003</v>
      </c>
      <c r="H10" s="9">
        <f>H11+H12+H13+H14+H15+H16</f>
        <v>8161801.554</v>
      </c>
      <c r="I10" s="9"/>
      <c r="J10" s="9">
        <f>J11+J12+J13+J14+J15+J16</f>
        <v>894.2</v>
      </c>
      <c r="K10" s="9">
        <f>K11+K12+K13+K14+K15+K16</f>
        <v>2394685.484</v>
      </c>
      <c r="L10" s="9"/>
      <c r="M10" s="9">
        <f>M11+M12+M13+M14+M15+M16</f>
        <v>284.29999999999995</v>
      </c>
      <c r="N10" s="9">
        <f>N11+N12+N13+N14+N15+N16</f>
        <v>849906.321</v>
      </c>
      <c r="O10" s="9"/>
      <c r="P10" s="9">
        <f>P11+P12+P13+P14+P15+P16</f>
        <v>2169.5</v>
      </c>
      <c r="Q10" s="9">
        <f>Q11+Q12+Q13+Q14+Q15+Q16</f>
        <v>6485655.165</v>
      </c>
      <c r="R10" s="9">
        <f>R11+R12+R13+R14+R15+R16</f>
        <v>6395.7</v>
      </c>
      <c r="S10" s="9">
        <f>S11+S12+S13+S14+S15+S16</f>
        <v>17892048.524</v>
      </c>
      <c r="T10" s="67" t="s">
        <v>21</v>
      </c>
      <c r="U10" s="13"/>
      <c r="V10" s="11"/>
      <c r="W10" s="12"/>
    </row>
    <row r="11" spans="1:23" ht="33.75" customHeight="1" hidden="1">
      <c r="A11" s="15"/>
      <c r="B11" s="422" t="s">
        <v>34</v>
      </c>
      <c r="C11" s="423"/>
      <c r="D11" s="424"/>
      <c r="E11" s="134"/>
      <c r="F11" s="15">
        <v>968.6</v>
      </c>
      <c r="G11" s="58">
        <v>780</v>
      </c>
      <c r="H11" s="16">
        <f>G11*G36</f>
        <v>2088855.6</v>
      </c>
      <c r="I11" s="16">
        <v>347.1</v>
      </c>
      <c r="J11" s="16">
        <v>150</v>
      </c>
      <c r="K11" s="16">
        <f>J11*G36</f>
        <v>401703</v>
      </c>
      <c r="L11" s="16">
        <v>138.9</v>
      </c>
      <c r="M11" s="16">
        <v>50</v>
      </c>
      <c r="N11" s="16">
        <f>M11*H36</f>
        <v>149473.5</v>
      </c>
      <c r="O11" s="16">
        <v>879.1</v>
      </c>
      <c r="P11" s="16">
        <v>290</v>
      </c>
      <c r="Q11" s="16">
        <f>P11*H36</f>
        <v>866946.2999999999</v>
      </c>
      <c r="R11" s="16">
        <f t="shared" si="0"/>
        <v>1270</v>
      </c>
      <c r="S11" s="16">
        <f t="shared" si="0"/>
        <v>3506978.4</v>
      </c>
      <c r="T11" s="67" t="s">
        <v>21</v>
      </c>
      <c r="U11" s="13"/>
      <c r="V11" s="11">
        <f aca="true" t="shared" si="1" ref="V11:V28">H11+K11+N11+Q11</f>
        <v>3506978.4</v>
      </c>
      <c r="W11" s="12">
        <f aca="true" t="shared" si="2" ref="W11:W28">G11+J11+M11+P11</f>
        <v>1270</v>
      </c>
    </row>
    <row r="12" spans="1:23" ht="31.5" customHeight="1" hidden="1">
      <c r="A12" s="15"/>
      <c r="B12" s="422" t="s">
        <v>35</v>
      </c>
      <c r="C12" s="423"/>
      <c r="D12" s="424"/>
      <c r="E12" s="134"/>
      <c r="F12" s="15">
        <v>275.5</v>
      </c>
      <c r="G12" s="58">
        <v>260.8</v>
      </c>
      <c r="H12" s="16">
        <f>G12*G36</f>
        <v>698427.616</v>
      </c>
      <c r="I12" s="16">
        <v>101.3</v>
      </c>
      <c r="J12" s="16">
        <v>82.4</v>
      </c>
      <c r="K12" s="16">
        <f>J12*G36</f>
        <v>220668.84800000003</v>
      </c>
      <c r="L12" s="16">
        <v>40.3</v>
      </c>
      <c r="M12" s="16">
        <v>24.8</v>
      </c>
      <c r="N12" s="16">
        <f>M12*H36</f>
        <v>74138.856</v>
      </c>
      <c r="O12" s="16">
        <v>245.5</v>
      </c>
      <c r="P12" s="16">
        <v>214.4</v>
      </c>
      <c r="Q12" s="16">
        <f>P12*H36</f>
        <v>640942.368</v>
      </c>
      <c r="R12" s="16">
        <f t="shared" si="0"/>
        <v>582.4000000000001</v>
      </c>
      <c r="S12" s="16">
        <f t="shared" si="0"/>
        <v>1634177.688</v>
      </c>
      <c r="T12" s="67" t="s">
        <v>21</v>
      </c>
      <c r="U12" s="13"/>
      <c r="V12" s="11">
        <f t="shared" si="1"/>
        <v>1634177.688</v>
      </c>
      <c r="W12" s="12">
        <f t="shared" si="2"/>
        <v>582.4000000000001</v>
      </c>
    </row>
    <row r="13" spans="1:23" ht="29.25" customHeight="1" hidden="1">
      <c r="A13" s="15"/>
      <c r="B13" s="422" t="s">
        <v>36</v>
      </c>
      <c r="C13" s="423"/>
      <c r="D13" s="424"/>
      <c r="E13" s="134"/>
      <c r="F13" s="15">
        <v>1020.1</v>
      </c>
      <c r="G13" s="58">
        <v>993.2</v>
      </c>
      <c r="H13" s="16">
        <f>G13*G36</f>
        <v>2659809.464</v>
      </c>
      <c r="I13" s="16">
        <v>343</v>
      </c>
      <c r="J13" s="16">
        <v>313.8</v>
      </c>
      <c r="K13" s="16">
        <f>J13*G36</f>
        <v>840362.676</v>
      </c>
      <c r="L13" s="16">
        <v>122.2</v>
      </c>
      <c r="M13" s="16">
        <v>95.1</v>
      </c>
      <c r="N13" s="16">
        <f>M13*H36</f>
        <v>284298.59699999995</v>
      </c>
      <c r="O13" s="16">
        <v>920.9</v>
      </c>
      <c r="P13" s="16">
        <v>816.6</v>
      </c>
      <c r="Q13" s="16">
        <f>P13*H36</f>
        <v>2441201.202</v>
      </c>
      <c r="R13" s="16">
        <f t="shared" si="0"/>
        <v>2218.7</v>
      </c>
      <c r="S13" s="16">
        <f t="shared" si="0"/>
        <v>6225671.939</v>
      </c>
      <c r="T13" s="67" t="s">
        <v>21</v>
      </c>
      <c r="U13" s="13"/>
      <c r="V13" s="11">
        <f t="shared" si="1"/>
        <v>6225671.939</v>
      </c>
      <c r="W13" s="12">
        <f t="shared" si="2"/>
        <v>2218.7</v>
      </c>
    </row>
    <row r="14" spans="1:23" ht="35.25" customHeight="1" hidden="1">
      <c r="A14" s="8"/>
      <c r="B14" s="422" t="s">
        <v>37</v>
      </c>
      <c r="C14" s="423"/>
      <c r="D14" s="424"/>
      <c r="E14" s="134"/>
      <c r="F14" s="8">
        <v>186.3</v>
      </c>
      <c r="G14" s="58">
        <v>215.9</v>
      </c>
      <c r="H14" s="16">
        <f>G14*G36</f>
        <v>578184.518</v>
      </c>
      <c r="I14" s="16">
        <v>55.3</v>
      </c>
      <c r="J14" s="16">
        <v>74.5</v>
      </c>
      <c r="K14" s="16">
        <f>J14*G36</f>
        <v>199512.49</v>
      </c>
      <c r="L14" s="16">
        <v>2.8</v>
      </c>
      <c r="M14" s="16">
        <v>24.7</v>
      </c>
      <c r="N14" s="16">
        <f>M14*H36</f>
        <v>73839.909</v>
      </c>
      <c r="O14" s="16">
        <v>158.5</v>
      </c>
      <c r="P14" s="16">
        <v>181.1</v>
      </c>
      <c r="Q14" s="16">
        <f>P14*H36</f>
        <v>541393.017</v>
      </c>
      <c r="R14" s="16">
        <f t="shared" si="0"/>
        <v>496.19999999999993</v>
      </c>
      <c r="S14" s="16">
        <f t="shared" si="0"/>
        <v>1392929.934</v>
      </c>
      <c r="T14" s="67" t="s">
        <v>21</v>
      </c>
      <c r="U14" s="13"/>
      <c r="V14" s="11">
        <f t="shared" si="1"/>
        <v>1392929.934</v>
      </c>
      <c r="W14" s="12">
        <f t="shared" si="2"/>
        <v>496.19999999999993</v>
      </c>
    </row>
    <row r="15" spans="1:23" ht="30" customHeight="1" hidden="1">
      <c r="A15" s="8"/>
      <c r="B15" s="422" t="s">
        <v>38</v>
      </c>
      <c r="C15" s="423"/>
      <c r="D15" s="424"/>
      <c r="E15" s="134"/>
      <c r="F15" s="8">
        <v>619</v>
      </c>
      <c r="G15" s="58">
        <v>550.4</v>
      </c>
      <c r="H15" s="16">
        <f>G15*G36</f>
        <v>1473982.2079999999</v>
      </c>
      <c r="I15" s="16">
        <v>532.4</v>
      </c>
      <c r="J15" s="16">
        <v>193.1</v>
      </c>
      <c r="K15" s="16">
        <f>J15*G36</f>
        <v>517125.66199999995</v>
      </c>
      <c r="L15" s="16">
        <v>142.3</v>
      </c>
      <c r="M15" s="16">
        <v>65</v>
      </c>
      <c r="N15" s="16">
        <f>M15*H36</f>
        <v>194315.55</v>
      </c>
      <c r="O15" s="16">
        <v>646.5</v>
      </c>
      <c r="P15" s="16">
        <v>463.1</v>
      </c>
      <c r="Q15" s="16">
        <f>P15*H36</f>
        <v>1384423.557</v>
      </c>
      <c r="R15" s="16">
        <f t="shared" si="0"/>
        <v>1271.6</v>
      </c>
      <c r="S15" s="16">
        <f t="shared" si="0"/>
        <v>3569846.977</v>
      </c>
      <c r="T15" s="67" t="s">
        <v>21</v>
      </c>
      <c r="U15" s="13"/>
      <c r="V15" s="11">
        <f t="shared" si="1"/>
        <v>3569846.977</v>
      </c>
      <c r="W15" s="12">
        <f t="shared" si="2"/>
        <v>1271.6</v>
      </c>
    </row>
    <row r="16" spans="1:23" ht="52.5" customHeight="1" hidden="1">
      <c r="A16" s="8"/>
      <c r="B16" s="422" t="s">
        <v>39</v>
      </c>
      <c r="C16" s="423"/>
      <c r="D16" s="424"/>
      <c r="E16" s="134"/>
      <c r="F16" s="8">
        <v>277.52</v>
      </c>
      <c r="G16" s="58">
        <v>247.4</v>
      </c>
      <c r="H16" s="16">
        <f>G16*G36</f>
        <v>662542.148</v>
      </c>
      <c r="I16" s="16">
        <v>129</v>
      </c>
      <c r="J16" s="16">
        <v>80.4</v>
      </c>
      <c r="K16" s="16">
        <f>J16*G36</f>
        <v>215312.80800000002</v>
      </c>
      <c r="L16" s="16">
        <v>7.2</v>
      </c>
      <c r="M16" s="16">
        <v>24.7</v>
      </c>
      <c r="N16" s="16">
        <f>M16*H36</f>
        <v>73839.909</v>
      </c>
      <c r="O16" s="16">
        <v>182.6</v>
      </c>
      <c r="P16" s="16">
        <v>204.3</v>
      </c>
      <c r="Q16" s="16">
        <f>P16*H36</f>
        <v>610748.721</v>
      </c>
      <c r="R16" s="16">
        <f t="shared" si="0"/>
        <v>556.8</v>
      </c>
      <c r="S16" s="16">
        <f t="shared" si="0"/>
        <v>1562443.5860000001</v>
      </c>
      <c r="T16" s="67" t="s">
        <v>21</v>
      </c>
      <c r="U16" s="13"/>
      <c r="V16" s="11">
        <f t="shared" si="1"/>
        <v>1562443.5860000001</v>
      </c>
      <c r="W16" s="12">
        <f t="shared" si="2"/>
        <v>556.8</v>
      </c>
    </row>
    <row r="17" spans="1:23" ht="30.75" customHeight="1" hidden="1">
      <c r="A17" s="15">
        <v>3</v>
      </c>
      <c r="B17" s="496" t="s">
        <v>42</v>
      </c>
      <c r="C17" s="497"/>
      <c r="D17" s="498"/>
      <c r="E17" s="133"/>
      <c r="F17" s="8"/>
      <c r="G17" s="57">
        <v>362.4</v>
      </c>
      <c r="H17" s="9">
        <f>G17*G36</f>
        <v>970514.448</v>
      </c>
      <c r="I17" s="9"/>
      <c r="J17" s="9">
        <v>118.4</v>
      </c>
      <c r="K17" s="9">
        <f>J17*G36</f>
        <v>317077.568</v>
      </c>
      <c r="L17" s="9"/>
      <c r="M17" s="9">
        <v>36.5</v>
      </c>
      <c r="N17" s="9">
        <f>M17*H36</f>
        <v>109115.655</v>
      </c>
      <c r="O17" s="9"/>
      <c r="P17" s="9">
        <v>300</v>
      </c>
      <c r="Q17" s="9">
        <f>P17*H36</f>
        <v>896840.9999999999</v>
      </c>
      <c r="R17" s="9">
        <f t="shared" si="0"/>
        <v>817.3</v>
      </c>
      <c r="S17" s="9">
        <f t="shared" si="0"/>
        <v>2293548.671</v>
      </c>
      <c r="U17" s="13"/>
      <c r="V17" s="11"/>
      <c r="W17" s="12">
        <f t="shared" si="2"/>
        <v>817.3</v>
      </c>
    </row>
    <row r="18" spans="1:23" ht="39" customHeight="1" hidden="1">
      <c r="A18" s="15">
        <v>4</v>
      </c>
      <c r="B18" s="496" t="s">
        <v>43</v>
      </c>
      <c r="C18" s="497"/>
      <c r="D18" s="498"/>
      <c r="E18" s="133"/>
      <c r="F18" s="8"/>
      <c r="G18" s="57">
        <f>G19+G20+G21</f>
        <v>40.4</v>
      </c>
      <c r="H18" s="9">
        <f>H19+H20+H21</f>
        <v>108192.008</v>
      </c>
      <c r="I18" s="9"/>
      <c r="J18" s="9">
        <f>J19+J20+J21</f>
        <v>13.200000000000001</v>
      </c>
      <c r="K18" s="9">
        <f>K19+K20+K21</f>
        <v>35349.864</v>
      </c>
      <c r="L18" s="9"/>
      <c r="M18" s="9">
        <f>M19+M20+M21</f>
        <v>4.2</v>
      </c>
      <c r="N18" s="9">
        <f>N19+N20+N21</f>
        <v>12555.774</v>
      </c>
      <c r="O18" s="9"/>
      <c r="P18" s="9">
        <f>P19+P20+P21</f>
        <v>33.5</v>
      </c>
      <c r="Q18" s="9">
        <f>Q19+Q20+Q21</f>
        <v>100147.245</v>
      </c>
      <c r="R18" s="9">
        <f>R19+R20+R21</f>
        <v>91.30000000000001</v>
      </c>
      <c r="S18" s="9">
        <f>S19+S20+S21</f>
        <v>256244.891</v>
      </c>
      <c r="U18" s="11"/>
      <c r="V18" s="11"/>
      <c r="W18" s="12"/>
    </row>
    <row r="19" spans="1:23" ht="27" customHeight="1" hidden="1">
      <c r="A19" s="8"/>
      <c r="B19" s="422" t="s">
        <v>44</v>
      </c>
      <c r="C19" s="423"/>
      <c r="D19" s="424"/>
      <c r="E19" s="134"/>
      <c r="F19" s="8"/>
      <c r="G19" s="58">
        <v>23.3</v>
      </c>
      <c r="H19" s="16">
        <f>G19*G36</f>
        <v>62397.866</v>
      </c>
      <c r="I19" s="16"/>
      <c r="J19" s="16">
        <v>7.5</v>
      </c>
      <c r="K19" s="16">
        <f>J19*G36</f>
        <v>20085.15</v>
      </c>
      <c r="L19" s="16"/>
      <c r="M19" s="16">
        <v>2.4</v>
      </c>
      <c r="N19" s="16">
        <f>M19*H36</f>
        <v>7174.727999999999</v>
      </c>
      <c r="O19" s="16"/>
      <c r="P19" s="16">
        <v>19.3</v>
      </c>
      <c r="Q19" s="16">
        <f>P19*H36</f>
        <v>57696.771</v>
      </c>
      <c r="R19" s="16">
        <f aca="true" t="shared" si="3" ref="R19:S21">G19+J19+M19+P19</f>
        <v>52.5</v>
      </c>
      <c r="S19" s="16">
        <f t="shared" si="3"/>
        <v>147354.515</v>
      </c>
      <c r="U19" s="11"/>
      <c r="V19" s="11"/>
      <c r="W19" s="12"/>
    </row>
    <row r="20" spans="1:23" ht="25.5" customHeight="1" hidden="1">
      <c r="A20" s="8"/>
      <c r="B20" s="422" t="s">
        <v>45</v>
      </c>
      <c r="C20" s="423"/>
      <c r="D20" s="424"/>
      <c r="E20" s="134"/>
      <c r="F20" s="8"/>
      <c r="G20" s="58">
        <v>2.4</v>
      </c>
      <c r="H20" s="16">
        <f>G20*G36</f>
        <v>6427.248</v>
      </c>
      <c r="I20" s="16"/>
      <c r="J20" s="16">
        <v>0.8</v>
      </c>
      <c r="K20" s="16">
        <f>J20*G36</f>
        <v>2142.416</v>
      </c>
      <c r="L20" s="16"/>
      <c r="M20" s="16">
        <v>0.2</v>
      </c>
      <c r="N20" s="16">
        <f>M20*H36</f>
        <v>597.894</v>
      </c>
      <c r="O20" s="16"/>
      <c r="P20" s="16">
        <v>2</v>
      </c>
      <c r="Q20" s="16">
        <f>P20*H36</f>
        <v>5978.94</v>
      </c>
      <c r="R20" s="16">
        <f t="shared" si="3"/>
        <v>5.4</v>
      </c>
      <c r="S20" s="16">
        <f t="shared" si="3"/>
        <v>15146.498</v>
      </c>
      <c r="U20" s="11"/>
      <c r="V20" s="11"/>
      <c r="W20" s="12"/>
    </row>
    <row r="21" spans="1:23" ht="26.25" customHeight="1" hidden="1">
      <c r="A21" s="8"/>
      <c r="B21" s="422" t="s">
        <v>46</v>
      </c>
      <c r="C21" s="423"/>
      <c r="D21" s="424"/>
      <c r="E21" s="134"/>
      <c r="F21" s="8"/>
      <c r="G21" s="58">
        <v>14.7</v>
      </c>
      <c r="H21" s="16">
        <f>G21*G36</f>
        <v>39366.894</v>
      </c>
      <c r="I21" s="16"/>
      <c r="J21" s="16">
        <v>4.9</v>
      </c>
      <c r="K21" s="16">
        <f>J21*G36</f>
        <v>13122.298</v>
      </c>
      <c r="L21" s="16"/>
      <c r="M21" s="16">
        <v>1.6</v>
      </c>
      <c r="N21" s="16">
        <f>M21*H36</f>
        <v>4783.152</v>
      </c>
      <c r="O21" s="16"/>
      <c r="P21" s="16">
        <v>12.2</v>
      </c>
      <c r="Q21" s="16">
        <f>P21*H36</f>
        <v>36471.53399999999</v>
      </c>
      <c r="R21" s="16">
        <f t="shared" si="3"/>
        <v>33.400000000000006</v>
      </c>
      <c r="S21" s="16">
        <f t="shared" si="3"/>
        <v>93743.878</v>
      </c>
      <c r="U21" s="11"/>
      <c r="V21" s="11"/>
      <c r="W21" s="12"/>
    </row>
    <row r="22" spans="1:23" ht="29.25" customHeight="1" hidden="1">
      <c r="A22" s="15">
        <v>5</v>
      </c>
      <c r="B22" s="496" t="s">
        <v>47</v>
      </c>
      <c r="C22" s="497"/>
      <c r="D22" s="498"/>
      <c r="E22" s="133"/>
      <c r="F22" s="8"/>
      <c r="G22" s="57">
        <f>G23+G24+G25+G26+G27+G28</f>
        <v>589.7</v>
      </c>
      <c r="H22" s="9">
        <f>H23+H24+H25+H26+H27+H28</f>
        <v>1579228.3939999996</v>
      </c>
      <c r="I22" s="9"/>
      <c r="J22" s="9">
        <f>J23+J24+J25+J26+J27+J28</f>
        <v>216.9</v>
      </c>
      <c r="K22" s="9">
        <f>K23+K24+K25+K26+K27+K28</f>
        <v>580862.5380000001</v>
      </c>
      <c r="L22" s="9"/>
      <c r="M22" s="9">
        <f>M23+M24+M25+M26+M27+M28</f>
        <v>24.800000000000004</v>
      </c>
      <c r="N22" s="9">
        <f>N23+N24+N25+N26+N27+N28</f>
        <v>74138.856</v>
      </c>
      <c r="O22" s="9"/>
      <c r="P22" s="9">
        <f>P23+P24+P25+P26+P27+P28</f>
        <v>407.8999999999999</v>
      </c>
      <c r="Q22" s="9">
        <f>Q23+Q24+Q25+Q26+Q27+Q28</f>
        <v>1219404.813</v>
      </c>
      <c r="R22" s="9">
        <f>R23+R24+R25+R26+R27+R28</f>
        <v>1239.2999999999997</v>
      </c>
      <c r="S22" s="9">
        <f>S23+S24+S25+S26+S27+S28</f>
        <v>3453634.601</v>
      </c>
      <c r="U22" s="11"/>
      <c r="V22" s="11"/>
      <c r="W22" s="12"/>
    </row>
    <row r="23" spans="1:23" ht="30" customHeight="1" hidden="1">
      <c r="A23" s="8"/>
      <c r="B23" s="422" t="s">
        <v>48</v>
      </c>
      <c r="C23" s="423"/>
      <c r="D23" s="424"/>
      <c r="E23" s="134"/>
      <c r="F23" s="8"/>
      <c r="G23" s="58">
        <v>19.7</v>
      </c>
      <c r="H23" s="16">
        <f>G23*G36</f>
        <v>52756.994</v>
      </c>
      <c r="I23" s="16"/>
      <c r="J23" s="16">
        <v>6.7</v>
      </c>
      <c r="K23" s="16">
        <f>J23*G36</f>
        <v>17942.734</v>
      </c>
      <c r="L23" s="16"/>
      <c r="M23" s="16">
        <v>2.3</v>
      </c>
      <c r="N23" s="16">
        <f>M23*H36</f>
        <v>6875.780999999999</v>
      </c>
      <c r="O23" s="16"/>
      <c r="P23" s="16">
        <v>17.2</v>
      </c>
      <c r="Q23" s="16">
        <f>P23*H36</f>
        <v>51418.88399999999</v>
      </c>
      <c r="R23" s="16">
        <f aca="true" t="shared" si="4" ref="R23:S28">G23+J23+M23+P23</f>
        <v>45.9</v>
      </c>
      <c r="S23" s="16">
        <f t="shared" si="4"/>
        <v>128994.393</v>
      </c>
      <c r="U23" s="11"/>
      <c r="V23" s="11"/>
      <c r="W23" s="12"/>
    </row>
    <row r="24" spans="1:23" ht="28.5" customHeight="1" hidden="1">
      <c r="A24" s="8"/>
      <c r="B24" s="422" t="s">
        <v>49</v>
      </c>
      <c r="C24" s="423"/>
      <c r="D24" s="424"/>
      <c r="E24" s="134"/>
      <c r="F24" s="8"/>
      <c r="G24" s="58">
        <v>317.5</v>
      </c>
      <c r="H24" s="16">
        <f>G24*G36</f>
        <v>850271.35</v>
      </c>
      <c r="I24" s="16"/>
      <c r="J24" s="16">
        <v>111.7</v>
      </c>
      <c r="K24" s="16">
        <f>J24*G36</f>
        <v>299134.83400000003</v>
      </c>
      <c r="L24" s="16"/>
      <c r="M24" s="16">
        <v>5.7</v>
      </c>
      <c r="N24" s="16">
        <f>M24*H36</f>
        <v>17039.979</v>
      </c>
      <c r="O24" s="16"/>
      <c r="P24" s="16">
        <v>205.7</v>
      </c>
      <c r="Q24" s="16">
        <f>P24*H36</f>
        <v>614933.9789999999</v>
      </c>
      <c r="R24" s="16">
        <f t="shared" si="4"/>
        <v>640.5999999999999</v>
      </c>
      <c r="S24" s="16">
        <f t="shared" si="4"/>
        <v>1781380.142</v>
      </c>
      <c r="U24" s="11"/>
      <c r="V24" s="11"/>
      <c r="W24" s="12"/>
    </row>
    <row r="25" spans="1:23" ht="32.25" customHeight="1" hidden="1">
      <c r="A25" s="8"/>
      <c r="B25" s="422" t="s">
        <v>50</v>
      </c>
      <c r="C25" s="423"/>
      <c r="D25" s="424"/>
      <c r="E25" s="134"/>
      <c r="F25" s="8"/>
      <c r="G25" s="58">
        <v>88.5</v>
      </c>
      <c r="H25" s="16">
        <f>G25*G36</f>
        <v>237004.77</v>
      </c>
      <c r="I25" s="16"/>
      <c r="J25" s="16">
        <v>28.3</v>
      </c>
      <c r="K25" s="16">
        <f>J25*G36</f>
        <v>75787.966</v>
      </c>
      <c r="L25" s="16"/>
      <c r="M25" s="16">
        <v>4.8</v>
      </c>
      <c r="N25" s="16">
        <f>M25*H36</f>
        <v>14349.455999999998</v>
      </c>
      <c r="O25" s="16"/>
      <c r="P25" s="16">
        <v>76.4</v>
      </c>
      <c r="Q25" s="16">
        <f>P25*H36</f>
        <v>228395.508</v>
      </c>
      <c r="R25" s="16">
        <f t="shared" si="4"/>
        <v>198</v>
      </c>
      <c r="S25" s="16">
        <f t="shared" si="4"/>
        <v>555537.7</v>
      </c>
      <c r="U25" s="11"/>
      <c r="V25" s="11"/>
      <c r="W25" s="12"/>
    </row>
    <row r="26" spans="1:23" ht="28.5" customHeight="1" hidden="1">
      <c r="A26" s="8"/>
      <c r="B26" s="422" t="s">
        <v>40</v>
      </c>
      <c r="C26" s="423"/>
      <c r="D26" s="424"/>
      <c r="E26" s="134"/>
      <c r="F26" s="8">
        <v>112.1</v>
      </c>
      <c r="G26" s="58">
        <v>70.8</v>
      </c>
      <c r="H26" s="16">
        <f>G26*G36</f>
        <v>189603.816</v>
      </c>
      <c r="I26" s="16"/>
      <c r="J26" s="16">
        <v>33.6</v>
      </c>
      <c r="K26" s="16">
        <f>J26*G36</f>
        <v>89981.47200000001</v>
      </c>
      <c r="L26" s="16"/>
      <c r="M26" s="16">
        <v>6.8</v>
      </c>
      <c r="N26" s="16">
        <f>M26*H36</f>
        <v>20328.395999999997</v>
      </c>
      <c r="O26" s="16"/>
      <c r="P26" s="16">
        <v>40.5</v>
      </c>
      <c r="Q26" s="16">
        <f>P26*H36</f>
        <v>121073.53499999999</v>
      </c>
      <c r="R26" s="16">
        <f t="shared" si="4"/>
        <v>151.7</v>
      </c>
      <c r="S26" s="16">
        <f t="shared" si="4"/>
        <v>420987.219</v>
      </c>
      <c r="T26" s="67" t="s">
        <v>21</v>
      </c>
      <c r="U26" s="11">
        <f>4206.13*P26</f>
        <v>170348.265</v>
      </c>
      <c r="V26" s="11">
        <f t="shared" si="1"/>
        <v>420987.219</v>
      </c>
      <c r="W26" s="12">
        <f t="shared" si="2"/>
        <v>151.7</v>
      </c>
    </row>
    <row r="27" spans="1:23" ht="33" customHeight="1" hidden="1">
      <c r="A27" s="8"/>
      <c r="B27" s="422" t="s">
        <v>51</v>
      </c>
      <c r="C27" s="423"/>
      <c r="D27" s="424"/>
      <c r="E27" s="134"/>
      <c r="F27" s="8">
        <v>87.8</v>
      </c>
      <c r="G27" s="58">
        <v>30.2</v>
      </c>
      <c r="H27" s="16">
        <f>G27*G36</f>
        <v>80876.204</v>
      </c>
      <c r="I27" s="16"/>
      <c r="J27" s="16">
        <v>9.6</v>
      </c>
      <c r="K27" s="16">
        <f>J27*G36</f>
        <v>25708.992</v>
      </c>
      <c r="L27" s="16"/>
      <c r="M27" s="16">
        <v>3.1</v>
      </c>
      <c r="N27" s="16">
        <f>M27*H36</f>
        <v>9267.357</v>
      </c>
      <c r="O27" s="16"/>
      <c r="P27" s="16">
        <v>25.9</v>
      </c>
      <c r="Q27" s="16">
        <f>P27*H36</f>
        <v>77427.27299999999</v>
      </c>
      <c r="R27" s="16">
        <f t="shared" si="4"/>
        <v>68.8</v>
      </c>
      <c r="S27" s="16">
        <f t="shared" si="4"/>
        <v>193279.826</v>
      </c>
      <c r="T27" s="67" t="s">
        <v>21</v>
      </c>
      <c r="U27" s="11">
        <f>4206.13*P27</f>
        <v>108938.76699999999</v>
      </c>
      <c r="V27" s="11">
        <f t="shared" si="1"/>
        <v>193279.826</v>
      </c>
      <c r="W27" s="12">
        <f t="shared" si="2"/>
        <v>68.8</v>
      </c>
    </row>
    <row r="28" spans="1:23" ht="26.25" customHeight="1" hidden="1">
      <c r="A28" s="8"/>
      <c r="B28" s="422" t="s">
        <v>52</v>
      </c>
      <c r="C28" s="423"/>
      <c r="D28" s="424"/>
      <c r="E28" s="134"/>
      <c r="F28" s="8">
        <v>331.5</v>
      </c>
      <c r="G28" s="58">
        <v>63</v>
      </c>
      <c r="H28" s="16">
        <f>G28*G36</f>
        <v>168715.26</v>
      </c>
      <c r="I28" s="16"/>
      <c r="J28" s="16">
        <v>27</v>
      </c>
      <c r="K28" s="16">
        <f>J28*G36</f>
        <v>72306.54</v>
      </c>
      <c r="L28" s="16"/>
      <c r="M28" s="16">
        <v>2.1</v>
      </c>
      <c r="N28" s="16">
        <f>M28*H36</f>
        <v>6277.887</v>
      </c>
      <c r="O28" s="16"/>
      <c r="P28" s="16">
        <v>42.2</v>
      </c>
      <c r="Q28" s="16">
        <f>P28*H36</f>
        <v>126155.634</v>
      </c>
      <c r="R28" s="16">
        <f t="shared" si="4"/>
        <v>134.3</v>
      </c>
      <c r="S28" s="16">
        <f t="shared" si="4"/>
        <v>373455.321</v>
      </c>
      <c r="T28" s="67" t="s">
        <v>21</v>
      </c>
      <c r="U28" s="11">
        <f>4206.13*P28</f>
        <v>177498.68600000002</v>
      </c>
      <c r="V28" s="11">
        <f t="shared" si="1"/>
        <v>373455.321</v>
      </c>
      <c r="W28" s="12">
        <f t="shared" si="2"/>
        <v>134.3</v>
      </c>
    </row>
    <row r="29" spans="1:23" ht="28.5" customHeight="1" hidden="1">
      <c r="A29" s="15">
        <v>6</v>
      </c>
      <c r="B29" s="496" t="s">
        <v>53</v>
      </c>
      <c r="C29" s="497"/>
      <c r="D29" s="498"/>
      <c r="E29" s="133"/>
      <c r="F29" s="8"/>
      <c r="G29" s="57">
        <f>G30+G31</f>
        <v>224.79999999999998</v>
      </c>
      <c r="H29" s="9">
        <f>H30+H31</f>
        <v>602018.896</v>
      </c>
      <c r="I29" s="9"/>
      <c r="J29" s="9">
        <f>J30+J31</f>
        <v>73.6</v>
      </c>
      <c r="K29" s="9">
        <f>K30+K31</f>
        <v>197102.272</v>
      </c>
      <c r="L29" s="9"/>
      <c r="M29" s="9">
        <f>M30+M31</f>
        <v>23.2</v>
      </c>
      <c r="N29" s="9">
        <f>N30+N31</f>
        <v>69355.704</v>
      </c>
      <c r="O29" s="9"/>
      <c r="P29" s="9">
        <f>P30+P31</f>
        <v>186.39999999999998</v>
      </c>
      <c r="Q29" s="9">
        <f>Q30+Q31</f>
        <v>557237.2079999999</v>
      </c>
      <c r="R29" s="9">
        <f>R30+R31</f>
        <v>508</v>
      </c>
      <c r="S29" s="9">
        <f>S30+S31</f>
        <v>1425714.08</v>
      </c>
      <c r="U29" s="11"/>
      <c r="V29" s="11"/>
      <c r="W29" s="12"/>
    </row>
    <row r="30" spans="1:23" ht="28.5" customHeight="1" hidden="1">
      <c r="A30" s="8"/>
      <c r="B30" s="422" t="s">
        <v>54</v>
      </c>
      <c r="C30" s="423"/>
      <c r="D30" s="424"/>
      <c r="E30" s="134"/>
      <c r="F30" s="8"/>
      <c r="G30" s="58">
        <v>87.6</v>
      </c>
      <c r="H30" s="16">
        <f>G30*G36</f>
        <v>234594.552</v>
      </c>
      <c r="I30" s="16"/>
      <c r="J30" s="16">
        <v>30.2</v>
      </c>
      <c r="K30" s="16">
        <f>J30*G36</f>
        <v>80876.204</v>
      </c>
      <c r="L30" s="16"/>
      <c r="M30" s="16">
        <v>10.1</v>
      </c>
      <c r="N30" s="16">
        <f>M30*H36</f>
        <v>30193.646999999997</v>
      </c>
      <c r="O30" s="16"/>
      <c r="P30" s="16">
        <v>73.6</v>
      </c>
      <c r="Q30" s="16">
        <f>P30*H36</f>
        <v>220024.99199999997</v>
      </c>
      <c r="R30" s="16">
        <f aca="true" t="shared" si="5" ref="R30:S32">G30+J30+M30+P30</f>
        <v>201.5</v>
      </c>
      <c r="S30" s="16">
        <f t="shared" si="5"/>
        <v>565689.395</v>
      </c>
      <c r="U30" s="11"/>
      <c r="V30" s="11"/>
      <c r="W30" s="12"/>
    </row>
    <row r="31" spans="1:23" ht="27" customHeight="1" hidden="1">
      <c r="A31" s="8"/>
      <c r="B31" s="422" t="s">
        <v>55</v>
      </c>
      <c r="C31" s="423"/>
      <c r="D31" s="424"/>
      <c r="E31" s="134"/>
      <c r="F31" s="8"/>
      <c r="G31" s="58">
        <v>137.2</v>
      </c>
      <c r="H31" s="16">
        <f>G31*G36</f>
        <v>367424.344</v>
      </c>
      <c r="I31" s="16"/>
      <c r="J31" s="16">
        <v>43.4</v>
      </c>
      <c r="K31" s="16">
        <f>J31*G36</f>
        <v>116226.068</v>
      </c>
      <c r="L31" s="16"/>
      <c r="M31" s="16">
        <v>13.1</v>
      </c>
      <c r="N31" s="16">
        <f>M31*H36</f>
        <v>39162.05699999999</v>
      </c>
      <c r="O31" s="16"/>
      <c r="P31" s="16">
        <v>112.8</v>
      </c>
      <c r="Q31" s="16">
        <f>P31*H36</f>
        <v>337212.21599999996</v>
      </c>
      <c r="R31" s="16">
        <f t="shared" si="5"/>
        <v>306.5</v>
      </c>
      <c r="S31" s="16">
        <f t="shared" si="5"/>
        <v>860024.6849999999</v>
      </c>
      <c r="U31" s="11"/>
      <c r="V31" s="11"/>
      <c r="W31" s="12"/>
    </row>
    <row r="32" spans="1:23" ht="27" customHeight="1" hidden="1">
      <c r="A32" s="15">
        <v>7</v>
      </c>
      <c r="B32" s="496" t="s">
        <v>56</v>
      </c>
      <c r="C32" s="497"/>
      <c r="D32" s="498"/>
      <c r="E32" s="133"/>
      <c r="F32" s="8"/>
      <c r="G32" s="57">
        <v>127</v>
      </c>
      <c r="H32" s="9">
        <f>G32*G36</f>
        <v>340108.54</v>
      </c>
      <c r="I32" s="9"/>
      <c r="J32" s="9">
        <v>43.6</v>
      </c>
      <c r="K32" s="9">
        <f>J32*G36</f>
        <v>116761.672</v>
      </c>
      <c r="L32" s="9"/>
      <c r="M32" s="9">
        <v>14.4</v>
      </c>
      <c r="N32" s="9">
        <f>M32*H36</f>
        <v>43048.367999999995</v>
      </c>
      <c r="O32" s="9"/>
      <c r="P32" s="9">
        <v>106.3</v>
      </c>
      <c r="Q32" s="9">
        <f>P32*H36</f>
        <v>317780.66099999996</v>
      </c>
      <c r="R32" s="9">
        <f t="shared" si="5"/>
        <v>291.3</v>
      </c>
      <c r="S32" s="9">
        <f t="shared" si="5"/>
        <v>817699.2409999999</v>
      </c>
      <c r="U32" s="11"/>
      <c r="V32" s="11"/>
      <c r="W32" s="12"/>
    </row>
    <row r="33" spans="1:23" ht="26.25" customHeight="1" hidden="1">
      <c r="A33" s="8"/>
      <c r="B33" s="499" t="s">
        <v>19</v>
      </c>
      <c r="C33" s="500"/>
      <c r="D33" s="501"/>
      <c r="E33" s="135"/>
      <c r="F33" s="15" t="e">
        <f>F9+#REF!+#REF!+F11+F12+F13+F14+F15+F16+F26+F27+F28+#REF!</f>
        <v>#REF!</v>
      </c>
      <c r="G33" s="9">
        <f>G9+G10+G17+G18+G22+G29+G32</f>
        <v>4414.6</v>
      </c>
      <c r="H33" s="9">
        <f>H9+H10+H17+H18+H22+H29+H32</f>
        <v>11822387.091999998</v>
      </c>
      <c r="I33" s="9">
        <f aca="true" t="shared" si="6" ref="I33:O33">I9+I11+I12+I13+I14+I15+I16+I26+I27+I28</f>
        <v>1516</v>
      </c>
      <c r="J33" s="9">
        <f>J9+J10+J17+J18+J22+J29+J32</f>
        <v>1367.3999999999999</v>
      </c>
      <c r="K33" s="9">
        <f>K9+K10+K17+K18+K22+K29+K32</f>
        <v>3661924.548</v>
      </c>
      <c r="L33" s="9">
        <f t="shared" si="6"/>
        <v>456.6</v>
      </c>
      <c r="M33" s="9">
        <f>M9+M10+M17+M18+M22+M29+M32</f>
        <v>389.7999999999999</v>
      </c>
      <c r="N33" s="9">
        <f>N9+N10+N17+N18+N22+N29+N32</f>
        <v>1165295.406</v>
      </c>
      <c r="O33" s="9">
        <f t="shared" si="6"/>
        <v>3053.7</v>
      </c>
      <c r="P33" s="9">
        <f>P9+P10+P17+P18+P22+P29+P32</f>
        <v>3222.3</v>
      </c>
      <c r="Q33" s="9">
        <f>Q9+Q10+Q17+Q22+Q29+Q32+Q18</f>
        <v>9632969.181</v>
      </c>
      <c r="R33" s="9">
        <f>R9+R10+R17+R18+R22+R29+R32</f>
        <v>9394.099999999999</v>
      </c>
      <c r="S33" s="9">
        <f>S9+S10+S17+S18+S22+S29+S32</f>
        <v>26282576.227</v>
      </c>
      <c r="T33" s="69"/>
      <c r="U33" s="20"/>
      <c r="V33" s="12"/>
      <c r="W33" s="12"/>
    </row>
    <row r="34" spans="1:23" ht="25.5" customHeight="1" hidden="1">
      <c r="A34" s="59"/>
      <c r="B34" s="502" t="s">
        <v>8</v>
      </c>
      <c r="C34" s="503"/>
      <c r="D34" s="504"/>
      <c r="E34" s="136"/>
      <c r="F34" s="427" t="s">
        <v>65</v>
      </c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9"/>
      <c r="U34" s="12"/>
      <c r="V34" s="12"/>
      <c r="W34" s="12"/>
    </row>
    <row r="35" spans="1:23" ht="15.75" customHeight="1" hidden="1">
      <c r="A35" s="22"/>
      <c r="B35" s="23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U35" s="12"/>
      <c r="V35" s="12"/>
      <c r="W35" s="12"/>
    </row>
    <row r="36" spans="1:23" ht="28.5" customHeight="1" hidden="1">
      <c r="A36" s="25"/>
      <c r="B36" s="26"/>
      <c r="C36" s="26"/>
      <c r="D36" s="27"/>
      <c r="E36" s="27"/>
      <c r="F36" s="28" t="s">
        <v>11</v>
      </c>
      <c r="G36" s="3">
        <v>2678.02</v>
      </c>
      <c r="H36" s="4">
        <v>2989.47</v>
      </c>
      <c r="I36" s="28" t="s">
        <v>16</v>
      </c>
      <c r="J36" s="28"/>
      <c r="K36" s="28"/>
      <c r="L36" s="28"/>
      <c r="M36" s="28"/>
      <c r="N36" s="26"/>
      <c r="O36" s="29"/>
      <c r="P36" s="29"/>
      <c r="Q36" s="29"/>
      <c r="R36" s="29"/>
      <c r="S36" s="29"/>
      <c r="U36" s="12"/>
      <c r="V36" s="12"/>
      <c r="W36" s="12"/>
    </row>
    <row r="37" spans="1:23" ht="20.25" customHeight="1" hidden="1">
      <c r="A37" s="476" t="s">
        <v>68</v>
      </c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U37" s="12"/>
      <c r="V37" s="12"/>
      <c r="W37" s="12"/>
    </row>
    <row r="38" spans="1:23" ht="19.5" customHeight="1" hidden="1">
      <c r="A38" s="484" t="s">
        <v>15</v>
      </c>
      <c r="B38" s="485" t="s">
        <v>0</v>
      </c>
      <c r="C38" s="486"/>
      <c r="D38" s="487"/>
      <c r="E38" s="128"/>
      <c r="F38" s="409" t="s">
        <v>1</v>
      </c>
      <c r="G38" s="409"/>
      <c r="H38" s="409"/>
      <c r="I38" s="409" t="s">
        <v>3</v>
      </c>
      <c r="J38" s="409"/>
      <c r="K38" s="409"/>
      <c r="L38" s="409" t="s">
        <v>4</v>
      </c>
      <c r="M38" s="409"/>
      <c r="N38" s="409"/>
      <c r="O38" s="409" t="s">
        <v>6</v>
      </c>
      <c r="P38" s="409"/>
      <c r="Q38" s="409"/>
      <c r="R38" s="409" t="s">
        <v>7</v>
      </c>
      <c r="S38" s="409"/>
      <c r="U38" s="12"/>
      <c r="V38" s="12"/>
      <c r="W38" s="12"/>
    </row>
    <row r="39" spans="1:23" ht="30" customHeight="1" hidden="1">
      <c r="A39" s="484"/>
      <c r="B39" s="488"/>
      <c r="C39" s="489"/>
      <c r="D39" s="490"/>
      <c r="E39" s="129"/>
      <c r="F39" s="125"/>
      <c r="G39" s="125" t="s">
        <v>9</v>
      </c>
      <c r="H39" s="125" t="s">
        <v>5</v>
      </c>
      <c r="I39" s="125" t="s">
        <v>9</v>
      </c>
      <c r="J39" s="125" t="s">
        <v>9</v>
      </c>
      <c r="K39" s="125" t="s">
        <v>5</v>
      </c>
      <c r="L39" s="125" t="s">
        <v>9</v>
      </c>
      <c r="M39" s="125" t="s">
        <v>9</v>
      </c>
      <c r="N39" s="125" t="s">
        <v>5</v>
      </c>
      <c r="O39" s="125" t="s">
        <v>9</v>
      </c>
      <c r="P39" s="125" t="s">
        <v>9</v>
      </c>
      <c r="Q39" s="125" t="s">
        <v>5</v>
      </c>
      <c r="R39" s="125" t="s">
        <v>9</v>
      </c>
      <c r="S39" s="125" t="s">
        <v>5</v>
      </c>
      <c r="U39" s="12"/>
      <c r="V39" s="12"/>
      <c r="W39" s="12"/>
    </row>
    <row r="40" spans="1:23" ht="30" customHeight="1" hidden="1">
      <c r="A40" s="31">
        <v>1</v>
      </c>
      <c r="B40" s="505" t="s">
        <v>33</v>
      </c>
      <c r="C40" s="506"/>
      <c r="D40" s="507"/>
      <c r="E40" s="137"/>
      <c r="F40" s="31">
        <v>1800</v>
      </c>
      <c r="G40" s="32">
        <v>1750</v>
      </c>
      <c r="H40" s="32">
        <f>G40*G65</f>
        <v>8792.7</v>
      </c>
      <c r="I40" s="32">
        <v>1200</v>
      </c>
      <c r="J40" s="32">
        <v>1750</v>
      </c>
      <c r="K40" s="32">
        <f>J40*G65</f>
        <v>8792.7</v>
      </c>
      <c r="L40" s="32">
        <v>1500</v>
      </c>
      <c r="M40" s="32">
        <v>1750</v>
      </c>
      <c r="N40" s="32">
        <f>M40*H65</f>
        <v>9759.75</v>
      </c>
      <c r="O40" s="32">
        <v>1500</v>
      </c>
      <c r="P40" s="32">
        <v>1751.1</v>
      </c>
      <c r="Q40" s="32">
        <f>P40*H65</f>
        <v>9765.884699999999</v>
      </c>
      <c r="R40" s="32">
        <f>G40+J40+M40+P40</f>
        <v>7001.1</v>
      </c>
      <c r="S40" s="32">
        <f>H40+K40+N40+Q40</f>
        <v>37111.034700000004</v>
      </c>
      <c r="T40" s="67" t="s">
        <v>21</v>
      </c>
      <c r="U40" s="12">
        <f>5.629*P40</f>
        <v>9856.941899999998</v>
      </c>
      <c r="V40" s="11">
        <f>H40+K40+N40+Q40</f>
        <v>37111.034700000004</v>
      </c>
      <c r="W40" s="12">
        <f>G40+J40+M40+P40</f>
        <v>7001.1</v>
      </c>
    </row>
    <row r="41" spans="1:23" ht="30" customHeight="1" hidden="1">
      <c r="A41" s="15">
        <v>2</v>
      </c>
      <c r="B41" s="496" t="s">
        <v>41</v>
      </c>
      <c r="C41" s="497"/>
      <c r="D41" s="498"/>
      <c r="E41" s="133"/>
      <c r="F41" s="31"/>
      <c r="G41" s="32">
        <f>G42+G43+G44+G45+G46+G47</f>
        <v>181078</v>
      </c>
      <c r="H41" s="32">
        <f>H42+H43+H44+H45+H46+H47</f>
        <v>909808.3032000001</v>
      </c>
      <c r="I41" s="32"/>
      <c r="J41" s="32">
        <f>J42+J43+J44+J45+J46+J47</f>
        <v>182881</v>
      </c>
      <c r="K41" s="32">
        <f>K42+K43+K44+K45+K46+K47</f>
        <v>918867.2964000001</v>
      </c>
      <c r="L41" s="32"/>
      <c r="M41" s="32">
        <f>M42+M43+M44+M45+M46+M47</f>
        <v>167091</v>
      </c>
      <c r="N41" s="32">
        <f>N42+N43+N44+N45+N46+N47</f>
        <v>931866.507</v>
      </c>
      <c r="O41" s="32"/>
      <c r="P41" s="32">
        <f>P42+P43+P44+P45+P46+P47</f>
        <v>250747</v>
      </c>
      <c r="Q41" s="32">
        <f>Q42+Q43+Q44+Q45+Q46+Q47</f>
        <v>1398416.019</v>
      </c>
      <c r="R41" s="32">
        <f>R42+R43+R44+R45+R46+R47</f>
        <v>781797</v>
      </c>
      <c r="S41" s="32">
        <f>S42+S43+S44+S45+S46+S47</f>
        <v>4158958.1255999994</v>
      </c>
      <c r="U41" s="12"/>
      <c r="V41" s="11"/>
      <c r="W41" s="12"/>
    </row>
    <row r="42" spans="1:23" ht="33" customHeight="1" hidden="1">
      <c r="A42" s="15"/>
      <c r="B42" s="422" t="s">
        <v>34</v>
      </c>
      <c r="C42" s="423"/>
      <c r="D42" s="424"/>
      <c r="E42" s="134"/>
      <c r="F42" s="15">
        <v>53000</v>
      </c>
      <c r="G42" s="16">
        <v>40000</v>
      </c>
      <c r="H42" s="16">
        <f>G42*G65</f>
        <v>200976</v>
      </c>
      <c r="I42" s="16">
        <v>36000</v>
      </c>
      <c r="J42" s="16">
        <v>43500</v>
      </c>
      <c r="K42" s="16">
        <f>J42*G65</f>
        <v>218561.4</v>
      </c>
      <c r="L42" s="16">
        <v>24000</v>
      </c>
      <c r="M42" s="16">
        <v>25200</v>
      </c>
      <c r="N42" s="16">
        <f>M42*H65</f>
        <v>140540.4</v>
      </c>
      <c r="O42" s="16">
        <v>50000</v>
      </c>
      <c r="P42" s="16">
        <v>64000</v>
      </c>
      <c r="Q42" s="16">
        <f>P42*H65</f>
        <v>356928</v>
      </c>
      <c r="R42" s="16">
        <f aca="true" t="shared" si="7" ref="R42:S48">G42+J42+M42+P42</f>
        <v>172700</v>
      </c>
      <c r="S42" s="16">
        <f t="shared" si="7"/>
        <v>917005.8</v>
      </c>
      <c r="T42" s="67" t="s">
        <v>21</v>
      </c>
      <c r="U42" s="12">
        <f aca="true" t="shared" si="8" ref="U42:U52">5.629*P42</f>
        <v>360256</v>
      </c>
      <c r="V42" s="11">
        <f aca="true" t="shared" si="9" ref="V42:V51">H42+K42+N42+Q42</f>
        <v>917005.8</v>
      </c>
      <c r="W42" s="12">
        <f>G42+J42+M42+P42</f>
        <v>172700</v>
      </c>
    </row>
    <row r="43" spans="1:23" ht="33.75" customHeight="1" hidden="1">
      <c r="A43" s="31"/>
      <c r="B43" s="508" t="s">
        <v>57</v>
      </c>
      <c r="C43" s="509"/>
      <c r="D43" s="510"/>
      <c r="E43" s="138"/>
      <c r="F43" s="31">
        <v>27000</v>
      </c>
      <c r="G43" s="34">
        <v>23250</v>
      </c>
      <c r="H43" s="34">
        <f>G43*G65</f>
        <v>116817.3</v>
      </c>
      <c r="I43" s="34">
        <v>17000</v>
      </c>
      <c r="J43" s="34">
        <v>17820</v>
      </c>
      <c r="K43" s="34">
        <f>J43*G65</f>
        <v>89534.808</v>
      </c>
      <c r="L43" s="34">
        <v>19000</v>
      </c>
      <c r="M43" s="34">
        <v>18549</v>
      </c>
      <c r="N43" s="34">
        <f>M43*H65</f>
        <v>103447.773</v>
      </c>
      <c r="O43" s="34">
        <v>41000</v>
      </c>
      <c r="P43" s="34">
        <v>35010</v>
      </c>
      <c r="Q43" s="34">
        <f>P43*H65</f>
        <v>195250.77</v>
      </c>
      <c r="R43" s="34">
        <f t="shared" si="7"/>
        <v>94629</v>
      </c>
      <c r="S43" s="34">
        <f t="shared" si="7"/>
        <v>505050.65099999995</v>
      </c>
      <c r="T43" s="67" t="s">
        <v>21</v>
      </c>
      <c r="U43" s="12">
        <f t="shared" si="8"/>
        <v>197071.28999999998</v>
      </c>
      <c r="V43" s="11">
        <f t="shared" si="9"/>
        <v>505050.65099999995</v>
      </c>
      <c r="W43" s="12">
        <f aca="true" t="shared" si="10" ref="W43:W52">G43+J43+M43+P43</f>
        <v>94629</v>
      </c>
    </row>
    <row r="44" spans="1:23" ht="35.25" customHeight="1" hidden="1">
      <c r="A44" s="15"/>
      <c r="B44" s="422" t="s">
        <v>36</v>
      </c>
      <c r="C44" s="423"/>
      <c r="D44" s="424"/>
      <c r="E44" s="134"/>
      <c r="F44" s="15">
        <v>70000</v>
      </c>
      <c r="G44" s="16">
        <v>29500</v>
      </c>
      <c r="H44" s="16">
        <f>G44*G65</f>
        <v>148219.8</v>
      </c>
      <c r="I44" s="16">
        <v>55000</v>
      </c>
      <c r="J44" s="16">
        <v>46750</v>
      </c>
      <c r="K44" s="16">
        <f>J44*G65</f>
        <v>234890.7</v>
      </c>
      <c r="L44" s="16">
        <v>45000</v>
      </c>
      <c r="M44" s="16">
        <v>38250</v>
      </c>
      <c r="N44" s="16">
        <f>M44*H65</f>
        <v>213320.25</v>
      </c>
      <c r="O44" s="16">
        <v>70000</v>
      </c>
      <c r="P44" s="16">
        <v>39500</v>
      </c>
      <c r="Q44" s="16">
        <f>P44*H65</f>
        <v>220291.5</v>
      </c>
      <c r="R44" s="16">
        <f t="shared" si="7"/>
        <v>154000</v>
      </c>
      <c r="S44" s="16">
        <f t="shared" si="7"/>
        <v>816722.25</v>
      </c>
      <c r="T44" s="67" t="s">
        <v>21</v>
      </c>
      <c r="U44" s="12">
        <f t="shared" si="8"/>
        <v>222345.49999999997</v>
      </c>
      <c r="V44" s="11">
        <f t="shared" si="9"/>
        <v>816722.25</v>
      </c>
      <c r="W44" s="12">
        <f t="shared" si="10"/>
        <v>154000</v>
      </c>
    </row>
    <row r="45" spans="1:23" ht="30.75" customHeight="1" hidden="1">
      <c r="A45" s="8"/>
      <c r="B45" s="511" t="s">
        <v>37</v>
      </c>
      <c r="C45" s="511"/>
      <c r="D45" s="511"/>
      <c r="E45" s="139"/>
      <c r="F45" s="8">
        <v>17000</v>
      </c>
      <c r="G45" s="16">
        <v>49478</v>
      </c>
      <c r="H45" s="16">
        <f>G45*G65</f>
        <v>248597.2632</v>
      </c>
      <c r="I45" s="16">
        <v>14000</v>
      </c>
      <c r="J45" s="16">
        <v>40561</v>
      </c>
      <c r="K45" s="16">
        <f>J45*G65</f>
        <v>203794.68839999998</v>
      </c>
      <c r="L45" s="16">
        <v>13000</v>
      </c>
      <c r="M45" s="16">
        <v>34292</v>
      </c>
      <c r="N45" s="16">
        <f>M45*H65</f>
        <v>191246.484</v>
      </c>
      <c r="O45" s="16">
        <v>24000</v>
      </c>
      <c r="P45" s="16">
        <v>62737</v>
      </c>
      <c r="Q45" s="16">
        <f>P45*H65</f>
        <v>349884.249</v>
      </c>
      <c r="R45" s="16">
        <f t="shared" si="7"/>
        <v>187068</v>
      </c>
      <c r="S45" s="16">
        <f t="shared" si="7"/>
        <v>993522.6846</v>
      </c>
      <c r="T45" s="67" t="s">
        <v>21</v>
      </c>
      <c r="U45" s="12">
        <f t="shared" si="8"/>
        <v>353146.573</v>
      </c>
      <c r="V45" s="11">
        <f t="shared" si="9"/>
        <v>993522.6846</v>
      </c>
      <c r="W45" s="12">
        <f t="shared" si="10"/>
        <v>187068</v>
      </c>
    </row>
    <row r="46" spans="1:23" ht="29.25" customHeight="1" hidden="1">
      <c r="A46" s="8"/>
      <c r="B46" s="511" t="s">
        <v>38</v>
      </c>
      <c r="C46" s="511"/>
      <c r="D46" s="511"/>
      <c r="E46" s="139"/>
      <c r="F46" s="8">
        <v>31000</v>
      </c>
      <c r="G46" s="16">
        <v>29350</v>
      </c>
      <c r="H46" s="16">
        <f>G46*G65</f>
        <v>147466.13999999998</v>
      </c>
      <c r="I46" s="16">
        <v>27000</v>
      </c>
      <c r="J46" s="16">
        <v>25950</v>
      </c>
      <c r="K46" s="16">
        <f>J46*G65</f>
        <v>130383.18</v>
      </c>
      <c r="L46" s="16">
        <v>58000</v>
      </c>
      <c r="M46" s="16">
        <v>43300</v>
      </c>
      <c r="N46" s="16">
        <f>M46*H65</f>
        <v>241484.1</v>
      </c>
      <c r="O46" s="16">
        <v>44000</v>
      </c>
      <c r="P46" s="16">
        <v>37400</v>
      </c>
      <c r="Q46" s="16">
        <f>P46*H65</f>
        <v>208579.8</v>
      </c>
      <c r="R46" s="16">
        <f t="shared" si="7"/>
        <v>136000</v>
      </c>
      <c r="S46" s="16">
        <f t="shared" si="7"/>
        <v>727913.22</v>
      </c>
      <c r="T46" s="67" t="s">
        <v>21</v>
      </c>
      <c r="U46" s="12">
        <f t="shared" si="8"/>
        <v>210524.59999999998</v>
      </c>
      <c r="V46" s="11">
        <f t="shared" si="9"/>
        <v>727913.22</v>
      </c>
      <c r="W46" s="12">
        <f t="shared" si="10"/>
        <v>136000</v>
      </c>
    </row>
    <row r="47" spans="1:23" ht="46.5" customHeight="1" hidden="1">
      <c r="A47" s="8"/>
      <c r="B47" s="511" t="s">
        <v>39</v>
      </c>
      <c r="C47" s="511"/>
      <c r="D47" s="511"/>
      <c r="E47" s="139"/>
      <c r="F47" s="8">
        <v>8000</v>
      </c>
      <c r="G47" s="16">
        <v>9500</v>
      </c>
      <c r="H47" s="16">
        <f>G47*G65</f>
        <v>47731.8</v>
      </c>
      <c r="I47" s="16">
        <v>12000</v>
      </c>
      <c r="J47" s="16">
        <v>8300</v>
      </c>
      <c r="K47" s="16">
        <f>J47*G65</f>
        <v>41702.52</v>
      </c>
      <c r="L47" s="16">
        <v>9000</v>
      </c>
      <c r="M47" s="16">
        <v>7500</v>
      </c>
      <c r="N47" s="16">
        <f>M47*H65</f>
        <v>41827.5</v>
      </c>
      <c r="O47" s="16">
        <v>15000</v>
      </c>
      <c r="P47" s="16">
        <v>12100</v>
      </c>
      <c r="Q47" s="16">
        <f>P47*H65</f>
        <v>67481.7</v>
      </c>
      <c r="R47" s="16">
        <f t="shared" si="7"/>
        <v>37400</v>
      </c>
      <c r="S47" s="16">
        <f t="shared" si="7"/>
        <v>198743.52000000002</v>
      </c>
      <c r="T47" s="67" t="s">
        <v>21</v>
      </c>
      <c r="U47" s="12">
        <f t="shared" si="8"/>
        <v>68110.9</v>
      </c>
      <c r="V47" s="11">
        <f t="shared" si="9"/>
        <v>198743.52000000002</v>
      </c>
      <c r="W47" s="12">
        <f t="shared" si="10"/>
        <v>37400</v>
      </c>
    </row>
    <row r="48" spans="1:23" ht="27" customHeight="1" hidden="1">
      <c r="A48" s="15">
        <v>3</v>
      </c>
      <c r="B48" s="496" t="s">
        <v>42</v>
      </c>
      <c r="C48" s="497"/>
      <c r="D48" s="498"/>
      <c r="E48" s="133"/>
      <c r="F48" s="15">
        <v>9000</v>
      </c>
      <c r="G48" s="9">
        <v>35398</v>
      </c>
      <c r="H48" s="9">
        <f>G48*G65</f>
        <v>177853.7112</v>
      </c>
      <c r="I48" s="9"/>
      <c r="J48" s="9">
        <v>25770</v>
      </c>
      <c r="K48" s="9">
        <f>J48*G65</f>
        <v>129478.788</v>
      </c>
      <c r="L48" s="9"/>
      <c r="M48" s="9">
        <v>28284</v>
      </c>
      <c r="N48" s="9">
        <f>M48*H65</f>
        <v>157739.868</v>
      </c>
      <c r="O48" s="9"/>
      <c r="P48" s="9">
        <v>35088</v>
      </c>
      <c r="Q48" s="9">
        <f>P48*H65</f>
        <v>195685.776</v>
      </c>
      <c r="R48" s="9">
        <f t="shared" si="7"/>
        <v>124540</v>
      </c>
      <c r="S48" s="9">
        <f t="shared" si="7"/>
        <v>660758.1432</v>
      </c>
      <c r="T48" s="67" t="s">
        <v>21</v>
      </c>
      <c r="U48" s="12">
        <f t="shared" si="8"/>
        <v>197510.35199999998</v>
      </c>
      <c r="V48" s="11">
        <f t="shared" si="9"/>
        <v>660758.1432</v>
      </c>
      <c r="W48" s="12">
        <f t="shared" si="10"/>
        <v>124540</v>
      </c>
    </row>
    <row r="49" spans="1:23" ht="28.5" customHeight="1" hidden="1">
      <c r="A49" s="15">
        <v>4</v>
      </c>
      <c r="B49" s="496" t="s">
        <v>43</v>
      </c>
      <c r="C49" s="497"/>
      <c r="D49" s="498"/>
      <c r="E49" s="133"/>
      <c r="F49" s="15">
        <v>20000</v>
      </c>
      <c r="G49" s="9">
        <f>G50+G51+G52</f>
        <v>33699</v>
      </c>
      <c r="H49" s="9">
        <f>H50+H51+H52</f>
        <v>169317.25559999997</v>
      </c>
      <c r="I49" s="9"/>
      <c r="J49" s="9">
        <f>J50+J51+J52</f>
        <v>22466</v>
      </c>
      <c r="K49" s="9">
        <f>K50+K51+K52</f>
        <v>112878.1704</v>
      </c>
      <c r="L49" s="9"/>
      <c r="M49" s="9">
        <f>M50+M51+M52</f>
        <v>22466</v>
      </c>
      <c r="N49" s="9">
        <f>N50+N51+N52</f>
        <v>125292.882</v>
      </c>
      <c r="O49" s="9"/>
      <c r="P49" s="9">
        <f>P50+P51+P52</f>
        <v>33699</v>
      </c>
      <c r="Q49" s="9">
        <f>Q50+Q51+Q52</f>
        <v>187939.323</v>
      </c>
      <c r="R49" s="9">
        <f>R50+R51+R52</f>
        <v>112330</v>
      </c>
      <c r="S49" s="9">
        <f>S50+S51+S52</f>
        <v>595427.6309999999</v>
      </c>
      <c r="T49" s="67" t="s">
        <v>21</v>
      </c>
      <c r="U49" s="12">
        <f t="shared" si="8"/>
        <v>189691.67099999997</v>
      </c>
      <c r="V49" s="11">
        <f t="shared" si="9"/>
        <v>595427.6309999999</v>
      </c>
      <c r="W49" s="12">
        <f t="shared" si="10"/>
        <v>112330</v>
      </c>
    </row>
    <row r="50" spans="1:23" ht="28.5" customHeight="1" hidden="1">
      <c r="A50" s="8"/>
      <c r="B50" s="422" t="s">
        <v>44</v>
      </c>
      <c r="C50" s="423"/>
      <c r="D50" s="424"/>
      <c r="E50" s="134"/>
      <c r="F50" s="8"/>
      <c r="G50" s="16">
        <v>5264</v>
      </c>
      <c r="H50" s="16">
        <f>G50*G65</f>
        <v>26448.4416</v>
      </c>
      <c r="I50" s="16"/>
      <c r="J50" s="16">
        <v>3510</v>
      </c>
      <c r="K50" s="16">
        <f>J50*G65</f>
        <v>17635.644</v>
      </c>
      <c r="L50" s="16"/>
      <c r="M50" s="16">
        <v>3510</v>
      </c>
      <c r="N50" s="16">
        <f>M50*H65</f>
        <v>19575.27</v>
      </c>
      <c r="O50" s="16"/>
      <c r="P50" s="16">
        <v>5264</v>
      </c>
      <c r="Q50" s="16">
        <f>P50*H65</f>
        <v>29357.328</v>
      </c>
      <c r="R50" s="16">
        <f aca="true" t="shared" si="11" ref="R50:S52">G50+J50+M50+P50</f>
        <v>17548</v>
      </c>
      <c r="S50" s="16">
        <f t="shared" si="11"/>
        <v>93016.68359999999</v>
      </c>
      <c r="U50" s="12"/>
      <c r="V50" s="11"/>
      <c r="W50" s="12"/>
    </row>
    <row r="51" spans="1:23" ht="27" customHeight="1" hidden="1">
      <c r="A51" s="8"/>
      <c r="B51" s="422" t="s">
        <v>58</v>
      </c>
      <c r="C51" s="423"/>
      <c r="D51" s="424"/>
      <c r="E51" s="134"/>
      <c r="F51" s="8">
        <v>29400</v>
      </c>
      <c r="G51" s="16">
        <v>23198</v>
      </c>
      <c r="H51" s="16">
        <f>G51*G65</f>
        <v>116556.0312</v>
      </c>
      <c r="I51" s="16"/>
      <c r="J51" s="16">
        <v>15465</v>
      </c>
      <c r="K51" s="16">
        <f>J51*G65</f>
        <v>77702.346</v>
      </c>
      <c r="L51" s="16"/>
      <c r="M51" s="16">
        <v>15465</v>
      </c>
      <c r="N51" s="16">
        <f>M51*H65</f>
        <v>86248.305</v>
      </c>
      <c r="O51" s="16"/>
      <c r="P51" s="16">
        <v>23198</v>
      </c>
      <c r="Q51" s="16">
        <f>P51*H65</f>
        <v>129375.246</v>
      </c>
      <c r="R51" s="16">
        <f t="shared" si="11"/>
        <v>77326</v>
      </c>
      <c r="S51" s="16">
        <f t="shared" si="11"/>
        <v>409881.92819999997</v>
      </c>
      <c r="T51" s="67" t="s">
        <v>21</v>
      </c>
      <c r="U51" s="12">
        <f t="shared" si="8"/>
        <v>130581.54199999999</v>
      </c>
      <c r="V51" s="11">
        <f t="shared" si="9"/>
        <v>409881.92819999997</v>
      </c>
      <c r="W51" s="12">
        <f t="shared" si="10"/>
        <v>77326</v>
      </c>
    </row>
    <row r="52" spans="1:23" ht="27" customHeight="1" hidden="1">
      <c r="A52" s="8"/>
      <c r="B52" s="422" t="s">
        <v>59</v>
      </c>
      <c r="C52" s="423"/>
      <c r="D52" s="424"/>
      <c r="E52" s="134"/>
      <c r="F52" s="8"/>
      <c r="G52" s="16">
        <v>5237</v>
      </c>
      <c r="H52" s="16">
        <f>G52*G65</f>
        <v>26312.7828</v>
      </c>
      <c r="I52" s="16"/>
      <c r="J52" s="16">
        <v>3491</v>
      </c>
      <c r="K52" s="16">
        <f>J52*G65</f>
        <v>17540.1804</v>
      </c>
      <c r="L52" s="16"/>
      <c r="M52" s="16">
        <v>3491</v>
      </c>
      <c r="N52" s="16">
        <f>M52*H65</f>
        <v>19469.307</v>
      </c>
      <c r="O52" s="16"/>
      <c r="P52" s="16">
        <v>5237</v>
      </c>
      <c r="Q52" s="16">
        <f>P52*H65</f>
        <v>29206.749</v>
      </c>
      <c r="R52" s="16">
        <f t="shared" si="11"/>
        <v>17456</v>
      </c>
      <c r="S52" s="16">
        <f t="shared" si="11"/>
        <v>92529.0192</v>
      </c>
      <c r="U52" s="12">
        <f t="shared" si="8"/>
        <v>29479.072999999997</v>
      </c>
      <c r="V52" s="11"/>
      <c r="W52" s="12">
        <f t="shared" si="10"/>
        <v>17456</v>
      </c>
    </row>
    <row r="53" spans="1:23" ht="27" customHeight="1" hidden="1">
      <c r="A53" s="15">
        <v>5</v>
      </c>
      <c r="B53" s="496" t="s">
        <v>47</v>
      </c>
      <c r="C53" s="497"/>
      <c r="D53" s="498"/>
      <c r="E53" s="133"/>
      <c r="F53" s="8"/>
      <c r="G53" s="9">
        <f>G54+G55+G56+G57+G58+G59</f>
        <v>22584</v>
      </c>
      <c r="H53" s="9">
        <f>H54+H55+H56+H57+H58+H59</f>
        <v>113471.0496</v>
      </c>
      <c r="I53" s="9"/>
      <c r="J53" s="9">
        <f>J54+J55+J56+J57+J58+J59</f>
        <v>19435</v>
      </c>
      <c r="K53" s="9">
        <f>K54+K55+K56+K57+K58+K59</f>
        <v>97649.21399999998</v>
      </c>
      <c r="L53" s="9"/>
      <c r="M53" s="9">
        <f>M54+M55+M56+M57+M58+M59</f>
        <v>24051</v>
      </c>
      <c r="N53" s="9">
        <f>N54+N55+N56+N57+N58+N59</f>
        <v>134132.427</v>
      </c>
      <c r="O53" s="9"/>
      <c r="P53" s="9">
        <f>P54+P55+P56+P57+P58+P59</f>
        <v>23137</v>
      </c>
      <c r="Q53" s="9">
        <f>Q54+Q55+Q56+Q57+Q58+Q59</f>
        <v>129035.049</v>
      </c>
      <c r="R53" s="9">
        <f>R54+R55+R56+R57+R58+R59</f>
        <v>89207</v>
      </c>
      <c r="S53" s="9">
        <f>S54+S55+S56++S57+S58+S59</f>
        <v>474287.7396</v>
      </c>
      <c r="U53" s="12"/>
      <c r="V53" s="11"/>
      <c r="W53" s="12"/>
    </row>
    <row r="54" spans="1:23" ht="27" customHeight="1" hidden="1">
      <c r="A54" s="8"/>
      <c r="B54" s="422" t="s">
        <v>48</v>
      </c>
      <c r="C54" s="423"/>
      <c r="D54" s="424"/>
      <c r="E54" s="134"/>
      <c r="F54" s="8"/>
      <c r="G54" s="16">
        <v>3093</v>
      </c>
      <c r="H54" s="36">
        <f>G54*G65</f>
        <v>15540.4692</v>
      </c>
      <c r="I54" s="16"/>
      <c r="J54" s="16">
        <v>2715</v>
      </c>
      <c r="K54" s="16">
        <f>J54*G65</f>
        <v>13641.246</v>
      </c>
      <c r="L54" s="16"/>
      <c r="M54" s="16">
        <v>2752</v>
      </c>
      <c r="N54" s="16">
        <f>M54*H65</f>
        <v>15347.904</v>
      </c>
      <c r="O54" s="16"/>
      <c r="P54" s="16">
        <v>2588</v>
      </c>
      <c r="Q54" s="16">
        <f>P54*H65</f>
        <v>14433.276</v>
      </c>
      <c r="R54" s="16">
        <f aca="true" t="shared" si="12" ref="R54:S59">G54+J54+M54+P54</f>
        <v>11148</v>
      </c>
      <c r="S54" s="16">
        <f t="shared" si="12"/>
        <v>58962.8952</v>
      </c>
      <c r="U54" s="12"/>
      <c r="V54" s="11"/>
      <c r="W54" s="12"/>
    </row>
    <row r="55" spans="1:23" ht="27" customHeight="1" hidden="1">
      <c r="A55" s="8"/>
      <c r="B55" s="422" t="s">
        <v>49</v>
      </c>
      <c r="C55" s="423"/>
      <c r="D55" s="424"/>
      <c r="E55" s="134"/>
      <c r="F55" s="8"/>
      <c r="G55" s="16">
        <v>5045</v>
      </c>
      <c r="H55" s="16">
        <f>G55*G65</f>
        <v>25348.097999999998</v>
      </c>
      <c r="I55" s="16"/>
      <c r="J55" s="16">
        <v>3390</v>
      </c>
      <c r="K55" s="16">
        <f>J55*G65</f>
        <v>17032.716</v>
      </c>
      <c r="L55" s="16"/>
      <c r="M55" s="16">
        <v>5675</v>
      </c>
      <c r="N55" s="16">
        <f>M55*H65</f>
        <v>31649.475</v>
      </c>
      <c r="O55" s="16"/>
      <c r="P55" s="16">
        <v>6890</v>
      </c>
      <c r="Q55" s="16">
        <f>P55*H65</f>
        <v>38425.53</v>
      </c>
      <c r="R55" s="16">
        <f t="shared" si="12"/>
        <v>21000</v>
      </c>
      <c r="S55" s="16">
        <f t="shared" si="12"/>
        <v>112455.81899999999</v>
      </c>
      <c r="U55" s="12"/>
      <c r="V55" s="11"/>
      <c r="W55" s="12"/>
    </row>
    <row r="56" spans="1:23" ht="27" customHeight="1" hidden="1">
      <c r="A56" s="8"/>
      <c r="B56" s="422" t="s">
        <v>50</v>
      </c>
      <c r="C56" s="423"/>
      <c r="D56" s="424"/>
      <c r="E56" s="134"/>
      <c r="F56" s="8"/>
      <c r="G56" s="16">
        <v>5253</v>
      </c>
      <c r="H56" s="16">
        <f>G56*G65</f>
        <v>26393.1732</v>
      </c>
      <c r="I56" s="16"/>
      <c r="J56" s="16">
        <v>5294</v>
      </c>
      <c r="K56" s="16">
        <f>J56*G65</f>
        <v>26599.1736</v>
      </c>
      <c r="L56" s="16"/>
      <c r="M56" s="16">
        <v>7570</v>
      </c>
      <c r="N56" s="16">
        <f>M56*H65</f>
        <v>42217.89</v>
      </c>
      <c r="O56" s="16"/>
      <c r="P56" s="16">
        <v>4038</v>
      </c>
      <c r="Q56" s="16">
        <f>P56*H65</f>
        <v>22519.926</v>
      </c>
      <c r="R56" s="16">
        <f t="shared" si="12"/>
        <v>22155</v>
      </c>
      <c r="S56" s="16">
        <f t="shared" si="12"/>
        <v>117730.16279999999</v>
      </c>
      <c r="U56" s="12"/>
      <c r="V56" s="11"/>
      <c r="W56" s="12"/>
    </row>
    <row r="57" spans="1:23" ht="27" customHeight="1" hidden="1">
      <c r="A57" s="8"/>
      <c r="B57" s="511" t="s">
        <v>40</v>
      </c>
      <c r="C57" s="511"/>
      <c r="D57" s="511"/>
      <c r="E57" s="139"/>
      <c r="F57" s="8"/>
      <c r="G57" s="16">
        <v>3278</v>
      </c>
      <c r="H57" s="16">
        <f>G57*G65</f>
        <v>16469.9832</v>
      </c>
      <c r="I57" s="16"/>
      <c r="J57" s="16">
        <v>2211</v>
      </c>
      <c r="K57" s="16">
        <f>J57*G65</f>
        <v>11108.9484</v>
      </c>
      <c r="L57" s="16"/>
      <c r="M57" s="16">
        <v>2959</v>
      </c>
      <c r="N57" s="16">
        <f>M57*H65</f>
        <v>16502.343</v>
      </c>
      <c r="O57" s="16"/>
      <c r="P57" s="16">
        <v>3696</v>
      </c>
      <c r="Q57" s="16">
        <f>P57*H65</f>
        <v>20612.592</v>
      </c>
      <c r="R57" s="16">
        <f t="shared" si="12"/>
        <v>12144</v>
      </c>
      <c r="S57" s="16">
        <f t="shared" si="12"/>
        <v>64693.866599999994</v>
      </c>
      <c r="U57" s="12"/>
      <c r="V57" s="11"/>
      <c r="W57" s="12"/>
    </row>
    <row r="58" spans="1:23" ht="27" customHeight="1" hidden="1">
      <c r="A58" s="8"/>
      <c r="B58" s="511" t="s">
        <v>51</v>
      </c>
      <c r="C58" s="511"/>
      <c r="D58" s="511"/>
      <c r="E58" s="139"/>
      <c r="F58" s="8"/>
      <c r="G58" s="16">
        <v>1865</v>
      </c>
      <c r="H58" s="16">
        <f>G58*G65</f>
        <v>9370.506</v>
      </c>
      <c r="I58" s="16"/>
      <c r="J58" s="16">
        <v>1775</v>
      </c>
      <c r="K58" s="16">
        <f>J58*G65</f>
        <v>8918.31</v>
      </c>
      <c r="L58" s="16"/>
      <c r="M58" s="16">
        <v>1145</v>
      </c>
      <c r="N58" s="16">
        <f>M58*H65</f>
        <v>6385.665</v>
      </c>
      <c r="O58" s="16"/>
      <c r="P58" s="16">
        <v>1875</v>
      </c>
      <c r="Q58" s="16">
        <f>P58*H65</f>
        <v>10456.875</v>
      </c>
      <c r="R58" s="16">
        <f t="shared" si="12"/>
        <v>6660</v>
      </c>
      <c r="S58" s="16">
        <f t="shared" si="12"/>
        <v>35131.356</v>
      </c>
      <c r="U58" s="12"/>
      <c r="V58" s="11"/>
      <c r="W58" s="12"/>
    </row>
    <row r="59" spans="1:23" ht="27" customHeight="1" hidden="1">
      <c r="A59" s="8"/>
      <c r="B59" s="511" t="s">
        <v>52</v>
      </c>
      <c r="C59" s="511"/>
      <c r="D59" s="511"/>
      <c r="E59" s="139"/>
      <c r="F59" s="8"/>
      <c r="G59" s="16">
        <v>4050</v>
      </c>
      <c r="H59" s="16">
        <f>G59*G65</f>
        <v>20348.82</v>
      </c>
      <c r="I59" s="16"/>
      <c r="J59" s="16">
        <v>4050</v>
      </c>
      <c r="K59" s="16">
        <f>J59*G65</f>
        <v>20348.82</v>
      </c>
      <c r="L59" s="16"/>
      <c r="M59" s="16">
        <v>3950</v>
      </c>
      <c r="N59" s="16">
        <f>M59*H65</f>
        <v>22029.15</v>
      </c>
      <c r="O59" s="16"/>
      <c r="P59" s="16">
        <v>4050</v>
      </c>
      <c r="Q59" s="16">
        <f>P59*H65</f>
        <v>22586.85</v>
      </c>
      <c r="R59" s="16">
        <f t="shared" si="12"/>
        <v>16100</v>
      </c>
      <c r="S59" s="16">
        <f t="shared" si="12"/>
        <v>85313.64</v>
      </c>
      <c r="U59" s="12"/>
      <c r="V59" s="11"/>
      <c r="W59" s="12"/>
    </row>
    <row r="60" spans="1:23" ht="27" customHeight="1" hidden="1">
      <c r="A60" s="15">
        <v>6</v>
      </c>
      <c r="B60" s="496" t="s">
        <v>53</v>
      </c>
      <c r="C60" s="497"/>
      <c r="D60" s="498"/>
      <c r="E60" s="133"/>
      <c r="F60" s="8"/>
      <c r="G60" s="9">
        <f>G61+G62</f>
        <v>60125.76</v>
      </c>
      <c r="H60" s="9">
        <f>H61+H62</f>
        <v>302095.86854399997</v>
      </c>
      <c r="I60" s="9"/>
      <c r="J60" s="9">
        <f>J61+J62</f>
        <v>33427</v>
      </c>
      <c r="K60" s="9">
        <f>K61+K62</f>
        <v>167950.6188</v>
      </c>
      <c r="L60" s="9"/>
      <c r="M60" s="9">
        <f>M61+M62</f>
        <v>27041.07</v>
      </c>
      <c r="N60" s="9">
        <f>N61+N62</f>
        <v>150808.04739000002</v>
      </c>
      <c r="O60" s="9"/>
      <c r="P60" s="9">
        <f>P61+P62</f>
        <v>74463</v>
      </c>
      <c r="Q60" s="9">
        <f>Q61+Q62</f>
        <v>415280.151</v>
      </c>
      <c r="R60" s="9">
        <f>R61+R62</f>
        <v>195056.83000000002</v>
      </c>
      <c r="S60" s="9">
        <f>S61+S62</f>
        <v>1036134.685734</v>
      </c>
      <c r="U60" s="12"/>
      <c r="V60" s="11"/>
      <c r="W60" s="12"/>
    </row>
    <row r="61" spans="1:23" ht="27" customHeight="1" hidden="1">
      <c r="A61" s="8"/>
      <c r="B61" s="422" t="s">
        <v>54</v>
      </c>
      <c r="C61" s="423"/>
      <c r="D61" s="424"/>
      <c r="E61" s="134"/>
      <c r="F61" s="8"/>
      <c r="G61" s="16">
        <v>7650</v>
      </c>
      <c r="H61" s="16">
        <f>G61*G65</f>
        <v>38436.659999999996</v>
      </c>
      <c r="I61" s="16"/>
      <c r="J61" s="16">
        <v>10200</v>
      </c>
      <c r="K61" s="16">
        <f>J61*G65</f>
        <v>51248.88</v>
      </c>
      <c r="L61" s="16"/>
      <c r="M61" s="16">
        <v>7650</v>
      </c>
      <c r="N61" s="16">
        <f>M61*H65</f>
        <v>42664.05</v>
      </c>
      <c r="O61" s="16"/>
      <c r="P61" s="16">
        <v>13600</v>
      </c>
      <c r="Q61" s="16">
        <f>P61*H65</f>
        <v>75847.2</v>
      </c>
      <c r="R61" s="16">
        <f>G61+J61+M61+P61</f>
        <v>39100</v>
      </c>
      <c r="S61" s="16">
        <f>H61+K61+N61+Q61</f>
        <v>208196.78999999998</v>
      </c>
      <c r="U61" s="12"/>
      <c r="V61" s="11"/>
      <c r="W61" s="12"/>
    </row>
    <row r="62" spans="1:23" ht="27" customHeight="1" hidden="1">
      <c r="A62" s="8"/>
      <c r="B62" s="422" t="s">
        <v>55</v>
      </c>
      <c r="C62" s="423"/>
      <c r="D62" s="424"/>
      <c r="E62" s="134"/>
      <c r="F62" s="8"/>
      <c r="G62" s="16">
        <v>52475.76</v>
      </c>
      <c r="H62" s="16">
        <f>G62*G65</f>
        <v>263659.208544</v>
      </c>
      <c r="I62" s="16"/>
      <c r="J62" s="16">
        <v>23227</v>
      </c>
      <c r="K62" s="16">
        <f>J62*G65</f>
        <v>116701.7388</v>
      </c>
      <c r="L62" s="16"/>
      <c r="M62" s="16">
        <v>19391.07</v>
      </c>
      <c r="N62" s="16">
        <f>M62*H65</f>
        <v>108143.99739</v>
      </c>
      <c r="O62" s="16"/>
      <c r="P62" s="16">
        <v>60863</v>
      </c>
      <c r="Q62" s="16">
        <f>P62*H65</f>
        <v>339432.951</v>
      </c>
      <c r="R62" s="16">
        <f>G62+J62+M62+P62</f>
        <v>155956.83000000002</v>
      </c>
      <c r="S62" s="16">
        <f>H62+K62+N62+Q62</f>
        <v>827937.895734</v>
      </c>
      <c r="U62" s="12"/>
      <c r="V62" s="11"/>
      <c r="W62" s="12"/>
    </row>
    <row r="63" spans="1:23" ht="30" customHeight="1" hidden="1">
      <c r="A63" s="8"/>
      <c r="B63" s="512" t="s">
        <v>19</v>
      </c>
      <c r="C63" s="512"/>
      <c r="D63" s="512"/>
      <c r="E63" s="140"/>
      <c r="F63" s="15">
        <f>SUM(F40:F51)</f>
        <v>266200</v>
      </c>
      <c r="G63" s="9">
        <f>G40+G41+G48+G49+G53+G60</f>
        <v>334634.76</v>
      </c>
      <c r="H63" s="9">
        <f>H40+H41+H48+H49+H53+H60</f>
        <v>1681338.888144</v>
      </c>
      <c r="I63" s="9">
        <f>SUM(I40:I51)</f>
        <v>162200</v>
      </c>
      <c r="J63" s="9">
        <f>J40+J41+J48+J49+J53+J60</f>
        <v>285729</v>
      </c>
      <c r="K63" s="9">
        <f>K40+K41+K48+K49+K53+K60</f>
        <v>1435616.7876</v>
      </c>
      <c r="L63" s="9">
        <f>SUM(L40:L51)</f>
        <v>169500</v>
      </c>
      <c r="M63" s="9">
        <f>M40+M41+M48+M49+M53+M60</f>
        <v>270683.07</v>
      </c>
      <c r="N63" s="9">
        <f>N40+N41+N48+N49+N53+N60</f>
        <v>1509599.4813899999</v>
      </c>
      <c r="O63" s="9">
        <f>SUM(O40:O51)</f>
        <v>245500</v>
      </c>
      <c r="P63" s="9">
        <f>P40+P41+P48+P49+P53+P60</f>
        <v>418885.1</v>
      </c>
      <c r="Q63" s="9">
        <f>Q40+Q41+Q48+Q49+Q53+Q60</f>
        <v>2336122.2027000003</v>
      </c>
      <c r="R63" s="9">
        <f>R40+R41+R48+R49+R53+R60</f>
        <v>1309931.9300000002</v>
      </c>
      <c r="S63" s="9">
        <f>S40+S41+S48+S49+S53+S60</f>
        <v>6962677.359834</v>
      </c>
      <c r="T63" s="69"/>
      <c r="U63" s="37"/>
      <c r="V63" s="12"/>
      <c r="W63" s="12"/>
    </row>
    <row r="64" spans="1:23" ht="50.25" customHeight="1" hidden="1">
      <c r="A64" s="54"/>
      <c r="B64" s="513" t="s">
        <v>8</v>
      </c>
      <c r="C64" s="513"/>
      <c r="D64" s="513"/>
      <c r="E64" s="145"/>
      <c r="F64" s="427" t="s">
        <v>69</v>
      </c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9"/>
      <c r="U64" s="12"/>
      <c r="V64" s="12"/>
      <c r="W64" s="12"/>
    </row>
    <row r="65" spans="1:23" ht="32.25" customHeight="1" hidden="1">
      <c r="A65" s="47"/>
      <c r="B65" s="47"/>
      <c r="C65" s="47"/>
      <c r="D65" s="5" t="s">
        <v>14</v>
      </c>
      <c r="E65" s="5"/>
      <c r="F65" s="5">
        <v>4.38</v>
      </c>
      <c r="G65" s="5">
        <v>5.0244</v>
      </c>
      <c r="H65" s="5">
        <v>5.577</v>
      </c>
      <c r="I65" s="6"/>
      <c r="J65" s="6"/>
      <c r="K65" s="43"/>
      <c r="L65" s="43"/>
      <c r="M65" s="43"/>
      <c r="N65" s="47"/>
      <c r="O65" s="47"/>
      <c r="P65" s="47"/>
      <c r="Q65" s="56"/>
      <c r="R65" s="56"/>
      <c r="S65" s="47"/>
      <c r="U65" s="12"/>
      <c r="V65" s="12"/>
      <c r="W65" s="12"/>
    </row>
    <row r="66" spans="1:23" ht="33.75" customHeight="1" hidden="1">
      <c r="A66" s="47"/>
      <c r="B66" s="47"/>
      <c r="C66" s="47"/>
      <c r="D66" s="5" t="s">
        <v>66</v>
      </c>
      <c r="E66" s="5"/>
      <c r="F66" s="5"/>
      <c r="G66" s="5"/>
      <c r="H66" s="5"/>
      <c r="I66" s="6"/>
      <c r="J66" s="6"/>
      <c r="K66" s="43"/>
      <c r="L66" s="43"/>
      <c r="M66" s="43"/>
      <c r="N66" s="47"/>
      <c r="O66" s="47"/>
      <c r="P66" s="47"/>
      <c r="Q66" s="514"/>
      <c r="R66" s="514"/>
      <c r="S66" s="514"/>
      <c r="U66" s="12"/>
      <c r="V66" s="12"/>
      <c r="W66" s="12"/>
    </row>
    <row r="67" spans="1:23" ht="47.25" customHeight="1">
      <c r="A67" s="604" t="s">
        <v>115</v>
      </c>
      <c r="B67" s="604"/>
      <c r="C67" s="604"/>
      <c r="D67" s="604"/>
      <c r="E67" s="604"/>
      <c r="F67" s="604"/>
      <c r="G67" s="604"/>
      <c r="H67" s="604"/>
      <c r="I67" s="604"/>
      <c r="J67" s="604"/>
      <c r="K67" s="604"/>
      <c r="L67" s="604"/>
      <c r="M67" s="604"/>
      <c r="N67" s="604"/>
      <c r="O67" s="604"/>
      <c r="P67" s="604"/>
      <c r="Q67" s="604"/>
      <c r="R67" s="604"/>
      <c r="S67" s="604"/>
      <c r="U67" s="12"/>
      <c r="V67" s="12"/>
      <c r="W67" s="12"/>
    </row>
    <row r="68" spans="1:23" ht="27.75" customHeight="1">
      <c r="A68" s="595" t="s">
        <v>15</v>
      </c>
      <c r="B68" s="596" t="s">
        <v>0</v>
      </c>
      <c r="C68" s="597"/>
      <c r="D68" s="598"/>
      <c r="E68" s="602" t="s">
        <v>70</v>
      </c>
      <c r="F68" s="594" t="s">
        <v>1</v>
      </c>
      <c r="G68" s="594"/>
      <c r="H68" s="594"/>
      <c r="I68" s="594" t="s">
        <v>3</v>
      </c>
      <c r="J68" s="594"/>
      <c r="K68" s="594"/>
      <c r="L68" s="594" t="s">
        <v>4</v>
      </c>
      <c r="M68" s="594"/>
      <c r="N68" s="594"/>
      <c r="O68" s="594" t="s">
        <v>6</v>
      </c>
      <c r="P68" s="594"/>
      <c r="Q68" s="594"/>
      <c r="R68" s="594" t="s">
        <v>7</v>
      </c>
      <c r="S68" s="594"/>
      <c r="U68" s="12"/>
      <c r="V68" s="12"/>
      <c r="W68" s="12"/>
    </row>
    <row r="69" spans="1:23" ht="47.25" customHeight="1">
      <c r="A69" s="595"/>
      <c r="B69" s="599"/>
      <c r="C69" s="600"/>
      <c r="D69" s="601"/>
      <c r="E69" s="603"/>
      <c r="F69" s="336"/>
      <c r="G69" s="336"/>
      <c r="H69" s="336" t="s">
        <v>5</v>
      </c>
      <c r="I69" s="336" t="s">
        <v>10</v>
      </c>
      <c r="J69" s="336"/>
      <c r="K69" s="336" t="s">
        <v>5</v>
      </c>
      <c r="L69" s="336" t="s">
        <v>10</v>
      </c>
      <c r="M69" s="336"/>
      <c r="N69" s="336" t="s">
        <v>5</v>
      </c>
      <c r="O69" s="336" t="s">
        <v>10</v>
      </c>
      <c r="P69" s="336"/>
      <c r="Q69" s="336" t="s">
        <v>5</v>
      </c>
      <c r="R69" s="336" t="s">
        <v>10</v>
      </c>
      <c r="S69" s="336" t="s">
        <v>5</v>
      </c>
      <c r="U69" s="12"/>
      <c r="V69" s="12"/>
      <c r="W69" s="12"/>
    </row>
    <row r="70" spans="1:23" s="97" customFormat="1" ht="48.75" customHeight="1">
      <c r="A70" s="337">
        <v>1</v>
      </c>
      <c r="B70" s="590" t="s">
        <v>33</v>
      </c>
      <c r="C70" s="591"/>
      <c r="D70" s="592"/>
      <c r="E70" s="338" t="s">
        <v>80</v>
      </c>
      <c r="F70" s="337">
        <v>0</v>
      </c>
      <c r="G70" s="93"/>
      <c r="H70" s="93">
        <f>H71+H72</f>
        <v>2661.5119999999997</v>
      </c>
      <c r="I70" s="93"/>
      <c r="J70" s="93"/>
      <c r="K70" s="93">
        <f>K71+K72</f>
        <v>2207.9064</v>
      </c>
      <c r="L70" s="93"/>
      <c r="M70" s="93"/>
      <c r="N70" s="93">
        <f>N71+N72</f>
        <v>2525.4456</v>
      </c>
      <c r="O70" s="93"/>
      <c r="P70" s="93"/>
      <c r="Q70" s="93">
        <f>Q71+Q72</f>
        <v>3788.1684000000005</v>
      </c>
      <c r="R70" s="93"/>
      <c r="S70" s="93">
        <f>S71+S72</f>
        <v>11183.04</v>
      </c>
      <c r="T70" s="94"/>
      <c r="U70" s="95">
        <f>37.94*P70</f>
        <v>0</v>
      </c>
      <c r="V70" s="96">
        <f>H70+K70+N70+Q70</f>
        <v>11183.0324</v>
      </c>
      <c r="W70" s="95">
        <f>G70+J70+M70+P70</f>
        <v>0</v>
      </c>
    </row>
    <row r="71" spans="1:23" ht="40.5" customHeight="1">
      <c r="A71" s="339"/>
      <c r="B71" s="569"/>
      <c r="C71" s="570"/>
      <c r="D71" s="571"/>
      <c r="E71" s="340" t="s">
        <v>71</v>
      </c>
      <c r="F71" s="341"/>
      <c r="G71" s="60">
        <v>7</v>
      </c>
      <c r="H71" s="60">
        <f>G71*H161</f>
        <v>378.28</v>
      </c>
      <c r="I71" s="60"/>
      <c r="J71" s="60">
        <v>6</v>
      </c>
      <c r="K71" s="60">
        <f>J71*H161</f>
        <v>324.24</v>
      </c>
      <c r="L71" s="60"/>
      <c r="M71" s="60">
        <v>6</v>
      </c>
      <c r="N71" s="60">
        <f>M71*J161</f>
        <v>337.20000000000005</v>
      </c>
      <c r="O71" s="60"/>
      <c r="P71" s="60">
        <v>9</v>
      </c>
      <c r="Q71" s="60">
        <f>P71*J161</f>
        <v>505.8</v>
      </c>
      <c r="R71" s="60">
        <f>G71+J71+M71+P71</f>
        <v>28</v>
      </c>
      <c r="S71" s="60">
        <f>H71+K71+N71+Q71</f>
        <v>1545.52</v>
      </c>
      <c r="U71" s="12"/>
      <c r="V71" s="11"/>
      <c r="W71" s="12"/>
    </row>
    <row r="72" spans="1:23" ht="40.5" customHeight="1">
      <c r="A72" s="339"/>
      <c r="B72" s="569"/>
      <c r="C72" s="570"/>
      <c r="D72" s="571"/>
      <c r="E72" s="340" t="s">
        <v>2</v>
      </c>
      <c r="F72" s="341"/>
      <c r="G72" s="60">
        <v>0.4</v>
      </c>
      <c r="H72" s="60">
        <f>G72*H163</f>
        <v>2283.232</v>
      </c>
      <c r="I72" s="60"/>
      <c r="J72" s="60">
        <v>0.33</v>
      </c>
      <c r="K72" s="60">
        <f>J72*H163</f>
        <v>1883.6664</v>
      </c>
      <c r="L72" s="60"/>
      <c r="M72" s="60">
        <v>0.36</v>
      </c>
      <c r="N72" s="60">
        <f>M72*J163</f>
        <v>2188.2455999999997</v>
      </c>
      <c r="O72" s="60"/>
      <c r="P72" s="60">
        <v>0.54</v>
      </c>
      <c r="Q72" s="60">
        <f>P72*J164</f>
        <v>3282.3684000000003</v>
      </c>
      <c r="R72" s="60">
        <f>G72+J72+M72+P72</f>
        <v>1.63</v>
      </c>
      <c r="S72" s="60">
        <v>9637.52</v>
      </c>
      <c r="U72" s="12"/>
      <c r="V72" s="11"/>
      <c r="W72" s="12"/>
    </row>
    <row r="73" spans="1:23" s="97" customFormat="1" ht="45" customHeight="1">
      <c r="A73" s="337">
        <v>2</v>
      </c>
      <c r="B73" s="590" t="s">
        <v>72</v>
      </c>
      <c r="C73" s="591"/>
      <c r="D73" s="592"/>
      <c r="E73" s="338" t="s">
        <v>80</v>
      </c>
      <c r="F73" s="342"/>
      <c r="G73" s="93"/>
      <c r="H73" s="93">
        <f>H76+H79+H82+H85+H88+H91</f>
        <v>426187.87519999995</v>
      </c>
      <c r="I73" s="93"/>
      <c r="J73" s="93"/>
      <c r="K73" s="93">
        <f>K76+K79+K82+K85+K88+K91</f>
        <v>455847.0048</v>
      </c>
      <c r="L73" s="93"/>
      <c r="M73" s="93"/>
      <c r="N73" s="93">
        <f>N76+N79+N82+N85+N88+N91</f>
        <v>341830.6084</v>
      </c>
      <c r="O73" s="93"/>
      <c r="P73" s="93"/>
      <c r="Q73" s="93">
        <v>545279.86</v>
      </c>
      <c r="R73" s="93"/>
      <c r="S73" s="93">
        <v>1769145.35</v>
      </c>
      <c r="T73" s="94"/>
      <c r="U73" s="95"/>
      <c r="V73" s="96"/>
      <c r="W73" s="95"/>
    </row>
    <row r="74" spans="1:23" ht="45" customHeight="1">
      <c r="A74" s="339"/>
      <c r="B74" s="343"/>
      <c r="C74" s="344"/>
      <c r="D74" s="345"/>
      <c r="E74" s="346" t="s">
        <v>71</v>
      </c>
      <c r="F74" s="341"/>
      <c r="G74" s="60">
        <f>G77+G80+G83+G86+G89+G92</f>
        <v>1122</v>
      </c>
      <c r="H74" s="60">
        <f>H77+H80+H83+H86+H89+H92</f>
        <v>64067.27999999999</v>
      </c>
      <c r="I74" s="60"/>
      <c r="J74" s="60">
        <f>J77+J80+J83+J86+J89+J92</f>
        <v>1218</v>
      </c>
      <c r="K74" s="60">
        <f>K77+K80+K83+K86+K89+K92</f>
        <v>70209.12</v>
      </c>
      <c r="L74" s="60"/>
      <c r="M74" s="60">
        <f>M77+M80+M83+M86+M89+M92</f>
        <v>786</v>
      </c>
      <c r="N74" s="60">
        <f>N77+N80+N83+N86+N89+N92</f>
        <v>46782.16</v>
      </c>
      <c r="O74" s="60"/>
      <c r="P74" s="60">
        <f>P77+P80+P83+P86+P89+P92</f>
        <v>1293</v>
      </c>
      <c r="Q74" s="60">
        <f>Q77+Q80+Q83+Q86+Q89+Q92</f>
        <v>77299.23999999999</v>
      </c>
      <c r="R74" s="60">
        <f>G74+J74+M74+P74</f>
        <v>4419</v>
      </c>
      <c r="S74" s="60">
        <f>H74+K74+N74+Q74</f>
        <v>258357.8</v>
      </c>
      <c r="U74" s="12"/>
      <c r="V74" s="11"/>
      <c r="W74" s="12"/>
    </row>
    <row r="75" spans="1:23" ht="45" customHeight="1">
      <c r="A75" s="339"/>
      <c r="B75" s="586"/>
      <c r="C75" s="587"/>
      <c r="D75" s="588"/>
      <c r="E75" s="346" t="s">
        <v>2</v>
      </c>
      <c r="F75" s="341"/>
      <c r="G75" s="60">
        <f>G78+G81+G84+G87+G90+G93</f>
        <v>63.44</v>
      </c>
      <c r="H75" s="60">
        <f>H78+H81+H84+H87+H90+H93</f>
        <v>362120.5952</v>
      </c>
      <c r="I75" s="60"/>
      <c r="J75" s="60">
        <f>J78+J81+J84+J87+J90+J93</f>
        <v>67.56</v>
      </c>
      <c r="K75" s="60">
        <f>K78+K81+K84+K87+K90+K93</f>
        <v>385637.88480000006</v>
      </c>
      <c r="L75" s="60"/>
      <c r="M75" s="60">
        <f>M78+M81+M84+M87+M90+M93</f>
        <v>48.54</v>
      </c>
      <c r="N75" s="60">
        <f>N78+N81+N84+N87+N90+N93</f>
        <v>295048.4484</v>
      </c>
      <c r="O75" s="60"/>
      <c r="P75" s="60">
        <f>P78+P81+P84+P87+P90+P93</f>
        <v>76.99000000000001</v>
      </c>
      <c r="Q75" s="60">
        <v>467980.62</v>
      </c>
      <c r="R75" s="60">
        <f>G75+J75+M75+P75</f>
        <v>256.53</v>
      </c>
      <c r="S75" s="60">
        <f>H75+K75+N75+Q75</f>
        <v>1510787.5484</v>
      </c>
      <c r="U75" s="12"/>
      <c r="V75" s="11"/>
      <c r="W75" s="12"/>
    </row>
    <row r="76" spans="1:23" ht="36" customHeight="1">
      <c r="A76" s="339"/>
      <c r="B76" s="576" t="s">
        <v>34</v>
      </c>
      <c r="C76" s="577"/>
      <c r="D76" s="578"/>
      <c r="E76" s="347"/>
      <c r="F76" s="341">
        <v>420</v>
      </c>
      <c r="G76" s="226"/>
      <c r="H76" s="226">
        <f>H77+H78</f>
        <v>46009.03999999999</v>
      </c>
      <c r="I76" s="226"/>
      <c r="J76" s="226"/>
      <c r="K76" s="226">
        <f>K77+K78</f>
        <v>65402.96000000001</v>
      </c>
      <c r="L76" s="226"/>
      <c r="M76" s="226"/>
      <c r="N76" s="226">
        <f>N77+N78</f>
        <v>48394.020000000004</v>
      </c>
      <c r="O76" s="226"/>
      <c r="P76" s="226"/>
      <c r="Q76" s="226">
        <f>Q77+Q78</f>
        <v>62517.94</v>
      </c>
      <c r="R76" s="226"/>
      <c r="S76" s="226">
        <f>S77+S78</f>
        <v>222323.96000000002</v>
      </c>
      <c r="U76" s="12">
        <f>37.94*P76</f>
        <v>0</v>
      </c>
      <c r="V76" s="11">
        <f>H76+K76+N76+Q76</f>
        <v>222323.96000000002</v>
      </c>
      <c r="W76" s="12">
        <f>G76+J76+M76+P76</f>
        <v>0</v>
      </c>
    </row>
    <row r="77" spans="1:23" ht="39.75" customHeight="1">
      <c r="A77" s="339"/>
      <c r="B77" s="569"/>
      <c r="C77" s="570"/>
      <c r="D77" s="571"/>
      <c r="E77" s="340" t="s">
        <v>71</v>
      </c>
      <c r="F77" s="341"/>
      <c r="G77" s="226">
        <v>112</v>
      </c>
      <c r="H77" s="226">
        <f>G77*H161</f>
        <v>6052.48</v>
      </c>
      <c r="I77" s="226"/>
      <c r="J77" s="226">
        <v>154</v>
      </c>
      <c r="K77" s="226">
        <f>J77*H161</f>
        <v>8322.16</v>
      </c>
      <c r="L77" s="226"/>
      <c r="M77" s="226">
        <v>104</v>
      </c>
      <c r="N77" s="226">
        <f>M77*J161</f>
        <v>5844.8</v>
      </c>
      <c r="O77" s="226"/>
      <c r="P77" s="226">
        <v>139</v>
      </c>
      <c r="Q77" s="226">
        <f>P77*J161</f>
        <v>7811.8</v>
      </c>
      <c r="R77" s="226">
        <f>G77+J77+M77+P77</f>
        <v>509</v>
      </c>
      <c r="S77" s="226">
        <f>H77+K77+N77+Q77</f>
        <v>28031.239999999998</v>
      </c>
      <c r="U77" s="12"/>
      <c r="V77" s="11"/>
      <c r="W77" s="12"/>
    </row>
    <row r="78" spans="1:23" ht="36" customHeight="1">
      <c r="A78" s="339"/>
      <c r="B78" s="569"/>
      <c r="C78" s="570"/>
      <c r="D78" s="571"/>
      <c r="E78" s="340" t="s">
        <v>2</v>
      </c>
      <c r="F78" s="341"/>
      <c r="G78" s="226">
        <v>7</v>
      </c>
      <c r="H78" s="226">
        <f>G78*H163</f>
        <v>39956.56</v>
      </c>
      <c r="I78" s="226"/>
      <c r="J78" s="226">
        <v>10</v>
      </c>
      <c r="K78" s="226">
        <f>J78*H163</f>
        <v>57080.8</v>
      </c>
      <c r="L78" s="226"/>
      <c r="M78" s="226">
        <v>7</v>
      </c>
      <c r="N78" s="226">
        <f>M78*J163</f>
        <v>42549.22</v>
      </c>
      <c r="O78" s="226"/>
      <c r="P78" s="226">
        <v>9</v>
      </c>
      <c r="Q78" s="226">
        <f>P78*J163</f>
        <v>54706.14</v>
      </c>
      <c r="R78" s="226">
        <f>G78+J78+M78+P78</f>
        <v>33</v>
      </c>
      <c r="S78" s="226">
        <f>H78+K78+N78+Q78</f>
        <v>194292.72000000003</v>
      </c>
      <c r="U78" s="12"/>
      <c r="V78" s="11"/>
      <c r="W78" s="12"/>
    </row>
    <row r="79" spans="1:23" ht="33.75" customHeight="1">
      <c r="A79" s="339"/>
      <c r="B79" s="576" t="s">
        <v>35</v>
      </c>
      <c r="C79" s="577"/>
      <c r="D79" s="578"/>
      <c r="E79" s="347"/>
      <c r="F79" s="341">
        <v>171</v>
      </c>
      <c r="G79" s="226"/>
      <c r="H79" s="226">
        <f>H80+H81</f>
        <v>37255.0864</v>
      </c>
      <c r="I79" s="226"/>
      <c r="J79" s="226"/>
      <c r="K79" s="226">
        <f>K80+K81</f>
        <v>37255.0864</v>
      </c>
      <c r="L79" s="226"/>
      <c r="M79" s="226"/>
      <c r="N79" s="226">
        <f>N80+N81</f>
        <v>21227.733799999998</v>
      </c>
      <c r="O79" s="226"/>
      <c r="P79" s="226"/>
      <c r="Q79" s="226">
        <f>Q80+Q81</f>
        <v>42394.683</v>
      </c>
      <c r="R79" s="226"/>
      <c r="S79" s="226">
        <f>S80+S81</f>
        <v>138132.5896</v>
      </c>
      <c r="U79" s="12">
        <f>37.94*P79</f>
        <v>0</v>
      </c>
      <c r="V79" s="11">
        <f>H79+K79+N79+Q79</f>
        <v>138132.5896</v>
      </c>
      <c r="W79" s="12">
        <f>G79+J79+M79+P79</f>
        <v>0</v>
      </c>
    </row>
    <row r="80" spans="1:23" ht="36" customHeight="1">
      <c r="A80" s="339"/>
      <c r="B80" s="569"/>
      <c r="C80" s="570"/>
      <c r="D80" s="571"/>
      <c r="E80" s="340" t="s">
        <v>71</v>
      </c>
      <c r="F80" s="341"/>
      <c r="G80" s="226">
        <v>100</v>
      </c>
      <c r="H80" s="226">
        <f>G80*H161</f>
        <v>5404</v>
      </c>
      <c r="I80" s="226"/>
      <c r="J80" s="226">
        <v>100</v>
      </c>
      <c r="K80" s="226">
        <f>J80*H161</f>
        <v>5404</v>
      </c>
      <c r="L80" s="226"/>
      <c r="M80" s="226">
        <v>50</v>
      </c>
      <c r="N80" s="226">
        <f>M80*J161</f>
        <v>2810</v>
      </c>
      <c r="O80" s="226"/>
      <c r="P80" s="226">
        <v>100</v>
      </c>
      <c r="Q80" s="226">
        <f>P80*J161</f>
        <v>5620</v>
      </c>
      <c r="R80" s="226">
        <f>G80+J80+M80+P80</f>
        <v>350</v>
      </c>
      <c r="S80" s="226">
        <f>H80+K80+N80+Q80</f>
        <v>19238</v>
      </c>
      <c r="U80" s="12"/>
      <c r="V80" s="11"/>
      <c r="W80" s="12"/>
    </row>
    <row r="81" spans="1:23" ht="36" customHeight="1">
      <c r="A81" s="339"/>
      <c r="B81" s="569"/>
      <c r="C81" s="570"/>
      <c r="D81" s="571"/>
      <c r="E81" s="340" t="s">
        <v>2</v>
      </c>
      <c r="F81" s="341"/>
      <c r="G81" s="226">
        <v>5.58</v>
      </c>
      <c r="H81" s="226">
        <f>G81*H163</f>
        <v>31851.0864</v>
      </c>
      <c r="I81" s="226"/>
      <c r="J81" s="226">
        <v>5.58</v>
      </c>
      <c r="K81" s="226">
        <f>J81*H163</f>
        <v>31851.0864</v>
      </c>
      <c r="L81" s="226"/>
      <c r="M81" s="226">
        <v>3.03</v>
      </c>
      <c r="N81" s="226">
        <f>M81*J163</f>
        <v>18417.733799999998</v>
      </c>
      <c r="O81" s="226"/>
      <c r="P81" s="226">
        <v>6.05</v>
      </c>
      <c r="Q81" s="226">
        <f>P81*J163</f>
        <v>36774.683</v>
      </c>
      <c r="R81" s="226">
        <f>G81+J81+M81+P81</f>
        <v>20.24</v>
      </c>
      <c r="S81" s="226">
        <f>H81+K81+N81+Q81</f>
        <v>118894.5896</v>
      </c>
      <c r="U81" s="12"/>
      <c r="V81" s="11"/>
      <c r="W81" s="12"/>
    </row>
    <row r="82" spans="1:23" ht="38.25" customHeight="1">
      <c r="A82" s="339"/>
      <c r="B82" s="576" t="s">
        <v>36</v>
      </c>
      <c r="C82" s="577"/>
      <c r="D82" s="578"/>
      <c r="E82" s="347"/>
      <c r="F82" s="341">
        <v>213</v>
      </c>
      <c r="G82" s="226"/>
      <c r="H82" s="226">
        <f>H83+H84</f>
        <v>38209.0864</v>
      </c>
      <c r="I82" s="226"/>
      <c r="J82" s="226"/>
      <c r="K82" s="226">
        <f>K83+K84</f>
        <v>76418.1728</v>
      </c>
      <c r="L82" s="226"/>
      <c r="M82" s="226"/>
      <c r="N82" s="226">
        <f>N83+N84</f>
        <v>30415.9316</v>
      </c>
      <c r="O82" s="226"/>
      <c r="P82" s="226"/>
      <c r="Q82" s="226">
        <f>Q83+Q84</f>
        <v>78270.9526</v>
      </c>
      <c r="R82" s="226"/>
      <c r="S82" s="226">
        <f>S83+S84</f>
        <v>223314.1434</v>
      </c>
      <c r="U82" s="12">
        <f>49.34*P82</f>
        <v>0</v>
      </c>
      <c r="V82" s="11">
        <f>H82+K82+N82+Q82</f>
        <v>223314.1434</v>
      </c>
      <c r="W82" s="12">
        <f>G82+J82+M82+P82</f>
        <v>0</v>
      </c>
    </row>
    <row r="83" spans="1:23" ht="36" customHeight="1">
      <c r="A83" s="339"/>
      <c r="B83" s="569"/>
      <c r="C83" s="570"/>
      <c r="D83" s="571"/>
      <c r="E83" s="340" t="s">
        <v>71</v>
      </c>
      <c r="F83" s="341"/>
      <c r="G83" s="226">
        <v>100</v>
      </c>
      <c r="H83" s="226">
        <f>G83*H162</f>
        <v>6358</v>
      </c>
      <c r="I83" s="226"/>
      <c r="J83" s="226">
        <v>200</v>
      </c>
      <c r="K83" s="226">
        <f>J83*H162</f>
        <v>12716</v>
      </c>
      <c r="L83" s="226"/>
      <c r="M83" s="226">
        <v>50</v>
      </c>
      <c r="N83" s="226">
        <f>M83*J162</f>
        <v>3306</v>
      </c>
      <c r="O83" s="226"/>
      <c r="P83" s="226">
        <v>190</v>
      </c>
      <c r="Q83" s="226">
        <f>P83*J162</f>
        <v>12562.800000000001</v>
      </c>
      <c r="R83" s="226">
        <f aca="true" t="shared" si="13" ref="R83:R93">G83+J83+M83+P83</f>
        <v>540</v>
      </c>
      <c r="S83" s="226">
        <f>H83+K83+N83+Q83</f>
        <v>34942.8</v>
      </c>
      <c r="U83" s="12"/>
      <c r="V83" s="11"/>
      <c r="W83" s="12"/>
    </row>
    <row r="84" spans="1:23" ht="38.25" customHeight="1">
      <c r="A84" s="339"/>
      <c r="B84" s="569"/>
      <c r="C84" s="570"/>
      <c r="D84" s="571"/>
      <c r="E84" s="340" t="s">
        <v>2</v>
      </c>
      <c r="F84" s="341"/>
      <c r="G84" s="226">
        <v>5.58</v>
      </c>
      <c r="H84" s="226">
        <f>G84*H164</f>
        <v>31851.0864</v>
      </c>
      <c r="I84" s="226"/>
      <c r="J84" s="226">
        <v>11.16</v>
      </c>
      <c r="K84" s="226">
        <f>J84*H164</f>
        <v>63702.1728</v>
      </c>
      <c r="L84" s="226"/>
      <c r="M84" s="226">
        <v>4.46</v>
      </c>
      <c r="N84" s="226">
        <f>M84*J164</f>
        <v>27109.9316</v>
      </c>
      <c r="O84" s="226"/>
      <c r="P84" s="226">
        <v>10.81</v>
      </c>
      <c r="Q84" s="226">
        <f>P84*J164</f>
        <v>65708.1526</v>
      </c>
      <c r="R84" s="226">
        <f>G84+J84+M84+P84</f>
        <v>32.010000000000005</v>
      </c>
      <c r="S84" s="226">
        <f>H84+K84+N84+Q84</f>
        <v>188371.3434</v>
      </c>
      <c r="U84" s="12"/>
      <c r="V84" s="11"/>
      <c r="W84" s="12"/>
    </row>
    <row r="85" spans="1:23" ht="36.75" customHeight="1">
      <c r="A85" s="339"/>
      <c r="B85" s="589" t="s">
        <v>37</v>
      </c>
      <c r="C85" s="589"/>
      <c r="D85" s="589"/>
      <c r="E85" s="348"/>
      <c r="F85" s="341">
        <v>0</v>
      </c>
      <c r="G85" s="226"/>
      <c r="H85" s="226">
        <f>H86+H87</f>
        <v>87938.8808</v>
      </c>
      <c r="I85" s="226"/>
      <c r="J85" s="226"/>
      <c r="K85" s="226">
        <f>K86+K87</f>
        <v>87938.8808</v>
      </c>
      <c r="L85" s="226"/>
      <c r="M85" s="226"/>
      <c r="N85" s="226">
        <f>N86+N87</f>
        <v>72558.3452</v>
      </c>
      <c r="O85" s="226"/>
      <c r="P85" s="226"/>
      <c r="Q85" s="226">
        <f>Q86+Q87</f>
        <v>91013.62160000001</v>
      </c>
      <c r="R85" s="226"/>
      <c r="S85" s="226">
        <f>S86+S87</f>
        <v>339449.7284</v>
      </c>
      <c r="U85" s="12">
        <f>49.34*P85</f>
        <v>0</v>
      </c>
      <c r="V85" s="11">
        <f>H85+K85+N85+Q85</f>
        <v>339449.7284</v>
      </c>
      <c r="W85" s="12">
        <f>G85+J85+M85+P85</f>
        <v>0</v>
      </c>
    </row>
    <row r="86" spans="1:23" ht="39" customHeight="1">
      <c r="A86" s="339"/>
      <c r="B86" s="569"/>
      <c r="C86" s="570"/>
      <c r="D86" s="571"/>
      <c r="E86" s="340" t="s">
        <v>71</v>
      </c>
      <c r="F86" s="341"/>
      <c r="G86" s="226">
        <v>260</v>
      </c>
      <c r="H86" s="226">
        <f>G86*H162</f>
        <v>16530.8</v>
      </c>
      <c r="I86" s="226"/>
      <c r="J86" s="226">
        <v>260</v>
      </c>
      <c r="K86" s="226">
        <f>J86*H162</f>
        <v>16530.8</v>
      </c>
      <c r="L86" s="226"/>
      <c r="M86" s="226">
        <v>213</v>
      </c>
      <c r="N86" s="226">
        <f>M86*J162</f>
        <v>14083.560000000001</v>
      </c>
      <c r="O86" s="226"/>
      <c r="P86" s="226">
        <v>277</v>
      </c>
      <c r="Q86" s="226">
        <f>P86*J162</f>
        <v>18315.24</v>
      </c>
      <c r="R86" s="226">
        <f t="shared" si="13"/>
        <v>1010</v>
      </c>
      <c r="S86" s="226">
        <f>H86+K86+N86+Q86</f>
        <v>65460.40000000001</v>
      </c>
      <c r="U86" s="12"/>
      <c r="V86" s="11"/>
      <c r="W86" s="12"/>
    </row>
    <row r="87" spans="1:23" ht="35.25" customHeight="1">
      <c r="A87" s="339"/>
      <c r="B87" s="569"/>
      <c r="C87" s="570"/>
      <c r="D87" s="571"/>
      <c r="E87" s="340" t="s">
        <v>2</v>
      </c>
      <c r="F87" s="341"/>
      <c r="G87" s="226">
        <v>12.51</v>
      </c>
      <c r="H87" s="226">
        <f>G87*H164</f>
        <v>71408.0808</v>
      </c>
      <c r="I87" s="226"/>
      <c r="J87" s="226">
        <v>12.51</v>
      </c>
      <c r="K87" s="226">
        <f>J87*H164</f>
        <v>71408.0808</v>
      </c>
      <c r="L87" s="226"/>
      <c r="M87" s="226">
        <v>9.62</v>
      </c>
      <c r="N87" s="226">
        <f>M87*J164</f>
        <v>58474.7852</v>
      </c>
      <c r="O87" s="226"/>
      <c r="P87" s="226">
        <v>11.96</v>
      </c>
      <c r="Q87" s="226">
        <f>P87*J164</f>
        <v>72698.38160000001</v>
      </c>
      <c r="R87" s="226">
        <f t="shared" si="13"/>
        <v>46.6</v>
      </c>
      <c r="S87" s="226">
        <f>H87+K87+N87+Q87</f>
        <v>273989.3284</v>
      </c>
      <c r="U87" s="12"/>
      <c r="V87" s="11"/>
      <c r="W87" s="12"/>
    </row>
    <row r="88" spans="1:23" s="120" customFormat="1" ht="35.25" customHeight="1">
      <c r="A88" s="349"/>
      <c r="B88" s="593" t="s">
        <v>38</v>
      </c>
      <c r="C88" s="593"/>
      <c r="D88" s="593"/>
      <c r="E88" s="350"/>
      <c r="F88" s="351">
        <v>651</v>
      </c>
      <c r="G88" s="244"/>
      <c r="H88" s="244">
        <f>H89+H90</f>
        <v>199754.2344</v>
      </c>
      <c r="I88" s="244"/>
      <c r="J88" s="244"/>
      <c r="K88" s="244">
        <f>K89+K90</f>
        <v>172206.8824</v>
      </c>
      <c r="L88" s="244"/>
      <c r="M88" s="244"/>
      <c r="N88" s="244">
        <f>N89+N90</f>
        <v>142006.4768</v>
      </c>
      <c r="O88" s="244"/>
      <c r="P88" s="244"/>
      <c r="Q88" s="244">
        <f>Q89+Q90</f>
        <v>248670.3144</v>
      </c>
      <c r="R88" s="244"/>
      <c r="S88" s="244">
        <f>S89+S90</f>
        <v>762637.9</v>
      </c>
      <c r="T88" s="117"/>
      <c r="U88" s="118">
        <f>37.94*P88</f>
        <v>0</v>
      </c>
      <c r="V88" s="119">
        <f>H88+K88+N88+Q88</f>
        <v>762637.9079999999</v>
      </c>
      <c r="W88" s="118">
        <f>G88+J88+M88+P88</f>
        <v>0</v>
      </c>
    </row>
    <row r="89" spans="1:23" ht="36.75" customHeight="1">
      <c r="A89" s="339"/>
      <c r="B89" s="569"/>
      <c r="C89" s="570"/>
      <c r="D89" s="571"/>
      <c r="E89" s="340" t="s">
        <v>71</v>
      </c>
      <c r="F89" s="341"/>
      <c r="G89" s="226">
        <v>535</v>
      </c>
      <c r="H89" s="226">
        <f>G89*H161</f>
        <v>28911.399999999998</v>
      </c>
      <c r="I89" s="226"/>
      <c r="J89" s="226">
        <v>490</v>
      </c>
      <c r="K89" s="226">
        <f>J89*H161</f>
        <v>26479.6</v>
      </c>
      <c r="L89" s="226"/>
      <c r="M89" s="226">
        <v>355</v>
      </c>
      <c r="N89" s="226">
        <f>M89*J161</f>
        <v>19951</v>
      </c>
      <c r="O89" s="226"/>
      <c r="P89" s="226">
        <v>570</v>
      </c>
      <c r="Q89" s="226">
        <f>P89*J161</f>
        <v>32034</v>
      </c>
      <c r="R89" s="226">
        <f t="shared" si="13"/>
        <v>1950</v>
      </c>
      <c r="S89" s="226">
        <f>H89+K89+N89+Q89</f>
        <v>107376</v>
      </c>
      <c r="U89" s="12"/>
      <c r="V89" s="11"/>
      <c r="W89" s="12"/>
    </row>
    <row r="90" spans="1:23" ht="35.25" customHeight="1">
      <c r="A90" s="339"/>
      <c r="B90" s="569"/>
      <c r="C90" s="570"/>
      <c r="D90" s="571"/>
      <c r="E90" s="340" t="s">
        <v>2</v>
      </c>
      <c r="F90" s="341"/>
      <c r="G90" s="226">
        <v>29.93</v>
      </c>
      <c r="H90" s="226">
        <f>G90*H163</f>
        <v>170842.8344</v>
      </c>
      <c r="I90" s="226"/>
      <c r="J90" s="226">
        <v>25.53</v>
      </c>
      <c r="K90" s="226">
        <f>J90*H163</f>
        <v>145727.2824</v>
      </c>
      <c r="L90" s="226"/>
      <c r="M90" s="226">
        <v>20.08</v>
      </c>
      <c r="N90" s="226">
        <f>M90*J163</f>
        <v>122055.47679999999</v>
      </c>
      <c r="O90" s="226"/>
      <c r="P90" s="226">
        <v>35.64</v>
      </c>
      <c r="Q90" s="226">
        <f>P90*J163</f>
        <v>216636.3144</v>
      </c>
      <c r="R90" s="226">
        <f t="shared" si="13"/>
        <v>111.17999999999999</v>
      </c>
      <c r="S90" s="226">
        <v>655261.9</v>
      </c>
      <c r="U90" s="12"/>
      <c r="V90" s="11"/>
      <c r="W90" s="12"/>
    </row>
    <row r="91" spans="1:23" ht="60" customHeight="1">
      <c r="A91" s="339"/>
      <c r="B91" s="589" t="s">
        <v>39</v>
      </c>
      <c r="C91" s="589"/>
      <c r="D91" s="589"/>
      <c r="E91" s="348"/>
      <c r="F91" s="341">
        <v>15.1</v>
      </c>
      <c r="G91" s="226"/>
      <c r="H91" s="226">
        <f>H92+H93</f>
        <v>17021.547199999997</v>
      </c>
      <c r="I91" s="226"/>
      <c r="J91" s="226"/>
      <c r="K91" s="226">
        <f>K92+K93</f>
        <v>16625.022399999998</v>
      </c>
      <c r="L91" s="226"/>
      <c r="M91" s="226"/>
      <c r="N91" s="226">
        <f>N92+N93</f>
        <v>27228.101</v>
      </c>
      <c r="O91" s="226"/>
      <c r="P91" s="226"/>
      <c r="Q91" s="226">
        <f>Q92+Q93</f>
        <v>22412.3638</v>
      </c>
      <c r="R91" s="226"/>
      <c r="S91" s="226">
        <f>S92+S93</f>
        <v>83287.03439999999</v>
      </c>
      <c r="U91" s="12">
        <f>37.94*P91</f>
        <v>0</v>
      </c>
      <c r="V91" s="11">
        <f>H91+K91+N91+Q91</f>
        <v>83287.0344</v>
      </c>
      <c r="W91" s="12">
        <f>G91+J91+M91+P91</f>
        <v>0</v>
      </c>
    </row>
    <row r="92" spans="1:23" ht="39.75" customHeight="1">
      <c r="A92" s="339"/>
      <c r="B92" s="569"/>
      <c r="C92" s="570"/>
      <c r="D92" s="571"/>
      <c r="E92" s="340" t="s">
        <v>71</v>
      </c>
      <c r="F92" s="341"/>
      <c r="G92" s="226">
        <v>15</v>
      </c>
      <c r="H92" s="226">
        <f>G92*H161</f>
        <v>810.6</v>
      </c>
      <c r="I92" s="226"/>
      <c r="J92" s="226">
        <v>14</v>
      </c>
      <c r="K92" s="226">
        <f>J92*H161</f>
        <v>756.56</v>
      </c>
      <c r="L92" s="226"/>
      <c r="M92" s="226">
        <v>14</v>
      </c>
      <c r="N92" s="226">
        <f>M92*J161</f>
        <v>786.8000000000001</v>
      </c>
      <c r="O92" s="226"/>
      <c r="P92" s="226">
        <v>17</v>
      </c>
      <c r="Q92" s="226">
        <f>P92*J161</f>
        <v>955.4000000000001</v>
      </c>
      <c r="R92" s="226">
        <f t="shared" si="13"/>
        <v>60</v>
      </c>
      <c r="S92" s="226">
        <f>H92+K92+N92+Q92</f>
        <v>3309.36</v>
      </c>
      <c r="U92" s="12"/>
      <c r="V92" s="11"/>
      <c r="W92" s="12"/>
    </row>
    <row r="93" spans="1:23" ht="41.25" customHeight="1">
      <c r="A93" s="339"/>
      <c r="B93" s="569"/>
      <c r="C93" s="570"/>
      <c r="D93" s="571"/>
      <c r="E93" s="340" t="s">
        <v>2</v>
      </c>
      <c r="F93" s="341"/>
      <c r="G93" s="226">
        <v>2.84</v>
      </c>
      <c r="H93" s="226">
        <f>G93*H163</f>
        <v>16210.947199999999</v>
      </c>
      <c r="I93" s="226"/>
      <c r="J93" s="226">
        <v>2.78</v>
      </c>
      <c r="K93" s="226">
        <f>J93*H163</f>
        <v>15868.462399999999</v>
      </c>
      <c r="L93" s="226"/>
      <c r="M93" s="226">
        <v>4.35</v>
      </c>
      <c r="N93" s="226">
        <f>M93*J163</f>
        <v>26441.301</v>
      </c>
      <c r="O93" s="226"/>
      <c r="P93" s="226">
        <v>3.53</v>
      </c>
      <c r="Q93" s="226">
        <f>P93*J163</f>
        <v>21456.963799999998</v>
      </c>
      <c r="R93" s="226">
        <f t="shared" si="13"/>
        <v>13.499999999999998</v>
      </c>
      <c r="S93" s="226">
        <f>H93+K93+N93+Q93</f>
        <v>79977.67439999999</v>
      </c>
      <c r="U93" s="12"/>
      <c r="V93" s="11"/>
      <c r="W93" s="12"/>
    </row>
    <row r="94" spans="1:23" s="97" customFormat="1" ht="54.75" customHeight="1">
      <c r="A94" s="337">
        <v>3</v>
      </c>
      <c r="B94" s="590" t="s">
        <v>42</v>
      </c>
      <c r="C94" s="591"/>
      <c r="D94" s="592"/>
      <c r="E94" s="338" t="s">
        <v>80</v>
      </c>
      <c r="F94" s="342"/>
      <c r="G94" s="93"/>
      <c r="H94" s="93">
        <f>H97+H100+H103+H106</f>
        <v>58550.74391999999</v>
      </c>
      <c r="I94" s="93"/>
      <c r="J94" s="93"/>
      <c r="K94" s="93">
        <f>K97+K100+K103+K106</f>
        <v>36349.30016</v>
      </c>
      <c r="L94" s="93"/>
      <c r="M94" s="93"/>
      <c r="N94" s="93">
        <v>19638.9</v>
      </c>
      <c r="O94" s="93"/>
      <c r="P94" s="93"/>
      <c r="Q94" s="93">
        <f>Q97+Q100+Q103+Q106</f>
        <v>54390.090800000005</v>
      </c>
      <c r="R94" s="93"/>
      <c r="S94" s="93">
        <f>H94+K94+N94+Q94</f>
        <v>168929.03488</v>
      </c>
      <c r="T94" s="94"/>
      <c r="U94" s="95"/>
      <c r="V94" s="96"/>
      <c r="W94" s="95">
        <f>G94+J94+M94+P94</f>
        <v>0</v>
      </c>
    </row>
    <row r="95" spans="1:23" ht="54.75" customHeight="1">
      <c r="A95" s="339"/>
      <c r="B95" s="586"/>
      <c r="C95" s="587"/>
      <c r="D95" s="588"/>
      <c r="E95" s="346" t="s">
        <v>71</v>
      </c>
      <c r="F95" s="341"/>
      <c r="G95" s="384">
        <f>G98+G101+G104+G107</f>
        <v>18.349000000000004</v>
      </c>
      <c r="H95" s="60">
        <f aca="true" t="shared" si="14" ref="H95:Q95">H98+H101+H104+H107</f>
        <v>1018.98838</v>
      </c>
      <c r="I95" s="60">
        <f t="shared" si="14"/>
        <v>0</v>
      </c>
      <c r="J95" s="384">
        <f t="shared" si="14"/>
        <v>17.753000000000004</v>
      </c>
      <c r="K95" s="60">
        <f t="shared" si="14"/>
        <v>987.7440799999999</v>
      </c>
      <c r="L95" s="60">
        <f t="shared" si="14"/>
        <v>0</v>
      </c>
      <c r="M95" s="384">
        <f t="shared" si="14"/>
        <v>17.032</v>
      </c>
      <c r="N95" s="60">
        <f t="shared" si="14"/>
        <v>990.1923200000001</v>
      </c>
      <c r="O95" s="60">
        <f t="shared" si="14"/>
        <v>0</v>
      </c>
      <c r="P95" s="384">
        <f t="shared" si="14"/>
        <v>20.404999999999998</v>
      </c>
      <c r="Q95" s="60">
        <f t="shared" si="14"/>
        <v>1179.25892</v>
      </c>
      <c r="R95" s="384">
        <f>G95+J95+M95+P95</f>
        <v>73.539</v>
      </c>
      <c r="S95" s="60">
        <f>H95+K95+N95+Q95</f>
        <v>4176.1837000000005</v>
      </c>
      <c r="U95" s="12"/>
      <c r="V95" s="11"/>
      <c r="W95" s="12"/>
    </row>
    <row r="96" spans="1:23" ht="54.75" customHeight="1">
      <c r="A96" s="339"/>
      <c r="B96" s="586"/>
      <c r="C96" s="587"/>
      <c r="D96" s="588"/>
      <c r="E96" s="346" t="s">
        <v>2</v>
      </c>
      <c r="F96" s="341"/>
      <c r="G96" s="384">
        <f aca="true" t="shared" si="15" ref="G96:P96">G99+G102+G105+G108</f>
        <v>10.079</v>
      </c>
      <c r="H96" s="60">
        <v>57531.75</v>
      </c>
      <c r="I96" s="60">
        <f t="shared" si="15"/>
        <v>0</v>
      </c>
      <c r="J96" s="384">
        <f t="shared" si="15"/>
        <v>6.195</v>
      </c>
      <c r="K96" s="60">
        <f t="shared" si="15"/>
        <v>35361.5556</v>
      </c>
      <c r="L96" s="60">
        <f t="shared" si="15"/>
        <v>0</v>
      </c>
      <c r="M96" s="384">
        <f t="shared" si="15"/>
        <v>3.068</v>
      </c>
      <c r="N96" s="60">
        <v>18648.71</v>
      </c>
      <c r="O96" s="60">
        <f t="shared" si="15"/>
        <v>0</v>
      </c>
      <c r="P96" s="384">
        <f t="shared" si="15"/>
        <v>8.754000000000001</v>
      </c>
      <c r="Q96" s="60">
        <v>53210.83</v>
      </c>
      <c r="R96" s="389">
        <f>G96+J96+M96+P96</f>
        <v>28.096000000000004</v>
      </c>
      <c r="S96" s="60">
        <v>164752.85</v>
      </c>
      <c r="U96" s="12"/>
      <c r="V96" s="11"/>
      <c r="W96" s="12"/>
    </row>
    <row r="97" spans="1:23" ht="54.75" customHeight="1">
      <c r="A97" s="339"/>
      <c r="B97" s="422" t="s">
        <v>98</v>
      </c>
      <c r="C97" s="416"/>
      <c r="D97" s="417"/>
      <c r="E97" s="370"/>
      <c r="F97" s="8"/>
      <c r="G97" s="299"/>
      <c r="H97" s="226">
        <f>H98+H99</f>
        <v>23031.123919999998</v>
      </c>
      <c r="I97" s="226"/>
      <c r="J97" s="299"/>
      <c r="K97" s="226">
        <f>K98+K99</f>
        <v>18442.956000000002</v>
      </c>
      <c r="L97" s="226"/>
      <c r="M97" s="299"/>
      <c r="N97" s="226">
        <v>14929.75</v>
      </c>
      <c r="O97" s="226"/>
      <c r="P97" s="299"/>
      <c r="Q97" s="226">
        <f>Q98+Q99</f>
        <v>21911.82966</v>
      </c>
      <c r="R97" s="300"/>
      <c r="S97" s="226">
        <f>H97+K97+N97+Q97</f>
        <v>78315.65958</v>
      </c>
      <c r="U97" s="12"/>
      <c r="V97" s="11"/>
      <c r="W97" s="12"/>
    </row>
    <row r="98" spans="1:23" ht="54.75" customHeight="1">
      <c r="A98" s="339"/>
      <c r="B98" s="422"/>
      <c r="C98" s="416"/>
      <c r="D98" s="417"/>
      <c r="E98" s="371" t="s">
        <v>71</v>
      </c>
      <c r="F98" s="8"/>
      <c r="G98" s="254">
        <v>12.974</v>
      </c>
      <c r="H98" s="226">
        <f>G98*H161</f>
        <v>701.11496</v>
      </c>
      <c r="I98" s="226"/>
      <c r="J98" s="254">
        <v>12.678</v>
      </c>
      <c r="K98" s="226">
        <f>J98*H161</f>
        <v>685.1191200000001</v>
      </c>
      <c r="L98" s="226"/>
      <c r="M98" s="254">
        <v>12.457</v>
      </c>
      <c r="N98" s="226">
        <f>M98*J161</f>
        <v>700.0834000000001</v>
      </c>
      <c r="O98" s="226"/>
      <c r="P98" s="254">
        <v>14.475</v>
      </c>
      <c r="Q98" s="226">
        <f>P98*J161</f>
        <v>813.495</v>
      </c>
      <c r="R98" s="390">
        <f>G98+J98+M98+P98</f>
        <v>52.584</v>
      </c>
      <c r="S98" s="226">
        <f>H98+K98+N98+Q98</f>
        <v>2899.81248</v>
      </c>
      <c r="U98" s="12"/>
      <c r="V98" s="11"/>
      <c r="W98" s="12"/>
    </row>
    <row r="99" spans="1:23" ht="54.75" customHeight="1">
      <c r="A99" s="339"/>
      <c r="B99" s="422"/>
      <c r="C99" s="416"/>
      <c r="D99" s="417"/>
      <c r="E99" s="371" t="s">
        <v>2</v>
      </c>
      <c r="F99" s="8"/>
      <c r="G99" s="254">
        <v>3.912</v>
      </c>
      <c r="H99" s="226">
        <f>G99*H163</f>
        <v>22330.00896</v>
      </c>
      <c r="I99" s="226"/>
      <c r="J99" s="254">
        <v>3.111</v>
      </c>
      <c r="K99" s="226">
        <f>J99*H163</f>
        <v>17757.836880000003</v>
      </c>
      <c r="L99" s="226"/>
      <c r="M99" s="254">
        <v>2.341</v>
      </c>
      <c r="N99" s="226">
        <f>M99*J163</f>
        <v>14229.674860000001</v>
      </c>
      <c r="O99" s="226"/>
      <c r="P99" s="254">
        <v>3.471</v>
      </c>
      <c r="Q99" s="226">
        <f>P99*J163</f>
        <v>21098.33466</v>
      </c>
      <c r="R99" s="390">
        <f>G99+J99+M99+P99</f>
        <v>12.835</v>
      </c>
      <c r="S99" s="226">
        <v>75415.85</v>
      </c>
      <c r="U99" s="12"/>
      <c r="V99" s="11"/>
      <c r="W99" s="12"/>
    </row>
    <row r="100" spans="1:23" ht="54.75" customHeight="1">
      <c r="A100" s="339"/>
      <c r="B100" s="422" t="s">
        <v>99</v>
      </c>
      <c r="C100" s="416"/>
      <c r="D100" s="417"/>
      <c r="E100" s="370"/>
      <c r="F100" s="8"/>
      <c r="G100" s="299"/>
      <c r="H100" s="226">
        <v>1113.09</v>
      </c>
      <c r="I100" s="226"/>
      <c r="J100" s="299"/>
      <c r="K100" s="226">
        <v>1153.76</v>
      </c>
      <c r="L100" s="226"/>
      <c r="M100" s="299"/>
      <c r="N100" s="226">
        <v>1368.75</v>
      </c>
      <c r="O100" s="226"/>
      <c r="P100" s="299"/>
      <c r="Q100" s="226">
        <f>Q101+Q102</f>
        <v>1347.20268</v>
      </c>
      <c r="R100" s="300"/>
      <c r="S100" s="226">
        <f>H100+K100+N100+Q100</f>
        <v>4982.80268</v>
      </c>
      <c r="U100" s="12"/>
      <c r="V100" s="11"/>
      <c r="W100" s="12"/>
    </row>
    <row r="101" spans="1:23" ht="54.75" customHeight="1">
      <c r="A101" s="339"/>
      <c r="B101" s="422"/>
      <c r="C101" s="416"/>
      <c r="D101" s="417"/>
      <c r="E101" s="371" t="s">
        <v>71</v>
      </c>
      <c r="F101" s="8"/>
      <c r="G101" s="254">
        <v>2.873</v>
      </c>
      <c r="H101" s="226">
        <f>G101*H162</f>
        <v>182.66534000000001</v>
      </c>
      <c r="I101" s="226"/>
      <c r="J101" s="254">
        <v>2.974</v>
      </c>
      <c r="K101" s="226">
        <f>J101*H162</f>
        <v>189.08692000000002</v>
      </c>
      <c r="L101" s="226"/>
      <c r="M101" s="254">
        <v>3.326</v>
      </c>
      <c r="N101" s="226">
        <f>M101*J162</f>
        <v>219.91512000000003</v>
      </c>
      <c r="O101" s="226"/>
      <c r="P101" s="254">
        <v>3.276</v>
      </c>
      <c r="Q101" s="226">
        <f>P101*J162</f>
        <v>216.60912</v>
      </c>
      <c r="R101" s="390">
        <f>G101+J101+M101+P101</f>
        <v>12.449</v>
      </c>
      <c r="S101" s="226">
        <v>808.29</v>
      </c>
      <c r="U101" s="12"/>
      <c r="V101" s="11"/>
      <c r="W101" s="12"/>
    </row>
    <row r="102" spans="1:23" ht="54.75" customHeight="1">
      <c r="A102" s="339"/>
      <c r="B102" s="422"/>
      <c r="C102" s="416"/>
      <c r="D102" s="417"/>
      <c r="E102" s="371" t="s">
        <v>2</v>
      </c>
      <c r="F102" s="8"/>
      <c r="G102" s="254">
        <v>0.163</v>
      </c>
      <c r="H102" s="226">
        <f>G102*H164</f>
        <v>930.41704</v>
      </c>
      <c r="I102" s="226"/>
      <c r="J102" s="254">
        <v>0.169</v>
      </c>
      <c r="K102" s="226">
        <f>J102*H164</f>
        <v>964.66552</v>
      </c>
      <c r="L102" s="226"/>
      <c r="M102" s="254">
        <v>0.189</v>
      </c>
      <c r="N102" s="226">
        <f>M102*J164</f>
        <v>1148.82894</v>
      </c>
      <c r="O102" s="226"/>
      <c r="P102" s="254">
        <v>0.186</v>
      </c>
      <c r="Q102" s="226">
        <f>P102*J164</f>
        <v>1130.59356</v>
      </c>
      <c r="R102" s="390">
        <f>G102+J102+M102+P102</f>
        <v>0.7070000000000001</v>
      </c>
      <c r="S102" s="226">
        <f>H102+K102+N102+Q102</f>
        <v>4174.50506</v>
      </c>
      <c r="U102" s="12"/>
      <c r="V102" s="11"/>
      <c r="W102" s="12"/>
    </row>
    <row r="103" spans="1:23" ht="47.25" customHeight="1">
      <c r="A103" s="339"/>
      <c r="B103" s="422" t="s">
        <v>136</v>
      </c>
      <c r="C103" s="423"/>
      <c r="D103" s="424"/>
      <c r="E103" s="371"/>
      <c r="F103" s="8"/>
      <c r="G103" s="299"/>
      <c r="H103" s="226">
        <v>324.07</v>
      </c>
      <c r="I103" s="226"/>
      <c r="J103" s="299"/>
      <c r="K103" s="226">
        <f>SUM(K104:K105)</f>
        <v>342.75415999999996</v>
      </c>
      <c r="L103" s="226"/>
      <c r="M103" s="299"/>
      <c r="N103" s="226">
        <f>SUM(N104:N105)</f>
        <v>399.86222</v>
      </c>
      <c r="O103" s="226"/>
      <c r="P103" s="299"/>
      <c r="Q103" s="226">
        <v>392.99</v>
      </c>
      <c r="R103" s="226"/>
      <c r="S103" s="226">
        <v>1459.67</v>
      </c>
      <c r="U103" s="12"/>
      <c r="V103" s="11"/>
      <c r="W103" s="12"/>
    </row>
    <row r="104" spans="1:23" ht="43.5" customHeight="1">
      <c r="A104" s="339"/>
      <c r="B104" s="422"/>
      <c r="C104" s="423"/>
      <c r="D104" s="424"/>
      <c r="E104" s="371" t="s">
        <v>71</v>
      </c>
      <c r="F104" s="8"/>
      <c r="G104" s="390">
        <v>0.821</v>
      </c>
      <c r="H104" s="226">
        <f>G104*H161</f>
        <v>44.366839999999996</v>
      </c>
      <c r="I104" s="226"/>
      <c r="J104" s="254">
        <v>0.85</v>
      </c>
      <c r="K104" s="226">
        <f>J104*H161</f>
        <v>45.934</v>
      </c>
      <c r="L104" s="226"/>
      <c r="M104" s="390">
        <v>0.95</v>
      </c>
      <c r="N104" s="226">
        <f>M104*J161</f>
        <v>53.39</v>
      </c>
      <c r="O104" s="226"/>
      <c r="P104" s="390">
        <v>0.936</v>
      </c>
      <c r="Q104" s="226">
        <f>P104*J161</f>
        <v>52.60320000000001</v>
      </c>
      <c r="R104" s="391">
        <f>G104+J104+M104+P104</f>
        <v>3.5569999999999995</v>
      </c>
      <c r="S104" s="226">
        <f>H104+K104+N104+Q104</f>
        <v>196.29404</v>
      </c>
      <c r="U104" s="12"/>
      <c r="V104" s="11"/>
      <c r="W104" s="12"/>
    </row>
    <row r="105" spans="1:23" ht="40.5" customHeight="1">
      <c r="A105" s="339"/>
      <c r="B105" s="422"/>
      <c r="C105" s="423"/>
      <c r="D105" s="424"/>
      <c r="E105" s="371" t="s">
        <v>2</v>
      </c>
      <c r="F105" s="8"/>
      <c r="G105" s="390">
        <v>0.049</v>
      </c>
      <c r="H105" s="226">
        <f>G105*H163</f>
        <v>279.69592</v>
      </c>
      <c r="I105" s="226"/>
      <c r="J105" s="390">
        <v>0.052</v>
      </c>
      <c r="K105" s="226">
        <f>J105*H163</f>
        <v>296.82016</v>
      </c>
      <c r="L105" s="226"/>
      <c r="M105" s="390">
        <v>0.057</v>
      </c>
      <c r="N105" s="226">
        <f>M105*J163</f>
        <v>346.47222</v>
      </c>
      <c r="O105" s="226"/>
      <c r="P105" s="390">
        <v>0.056</v>
      </c>
      <c r="Q105" s="226">
        <f>P105*J163</f>
        <v>340.39376</v>
      </c>
      <c r="R105" s="391">
        <f>G105+J105+M105+P105</f>
        <v>0.214</v>
      </c>
      <c r="S105" s="226">
        <f>H105+K105+N105+Q105</f>
        <v>1263.38206</v>
      </c>
      <c r="U105" s="12"/>
      <c r="V105" s="11"/>
      <c r="W105" s="12"/>
    </row>
    <row r="106" spans="1:23" ht="42.75" customHeight="1">
      <c r="A106" s="339"/>
      <c r="B106" s="422" t="s">
        <v>137</v>
      </c>
      <c r="C106" s="423"/>
      <c r="D106" s="424"/>
      <c r="E106" s="371"/>
      <c r="F106" s="8"/>
      <c r="G106" s="299"/>
      <c r="H106" s="226">
        <v>34082.46</v>
      </c>
      <c r="I106" s="226"/>
      <c r="J106" s="254"/>
      <c r="K106" s="226">
        <v>16409.83</v>
      </c>
      <c r="L106" s="226"/>
      <c r="M106" s="254"/>
      <c r="N106" s="226">
        <f>SUM(N107:N108)</f>
        <v>2940.54306</v>
      </c>
      <c r="O106" s="226"/>
      <c r="P106" s="254"/>
      <c r="Q106" s="226">
        <f>SUM(Q107:Q108)</f>
        <v>30738.068460000002</v>
      </c>
      <c r="R106" s="226"/>
      <c r="S106" s="226">
        <f>H106+K106+N106+Q106</f>
        <v>84170.90152000001</v>
      </c>
      <c r="U106" s="12"/>
      <c r="V106" s="11"/>
      <c r="W106" s="12"/>
    </row>
    <row r="107" spans="1:23" ht="33" customHeight="1">
      <c r="A107" s="339"/>
      <c r="B107" s="523"/>
      <c r="C107" s="524"/>
      <c r="D107" s="525"/>
      <c r="E107" s="371" t="s">
        <v>71</v>
      </c>
      <c r="F107" s="8"/>
      <c r="G107" s="390">
        <v>1.681</v>
      </c>
      <c r="H107" s="226">
        <f>G107*H161</f>
        <v>90.84124</v>
      </c>
      <c r="I107" s="226"/>
      <c r="J107" s="390">
        <v>1.251</v>
      </c>
      <c r="K107" s="226">
        <f>J107*H161</f>
        <v>67.60404</v>
      </c>
      <c r="L107" s="226"/>
      <c r="M107" s="390">
        <v>0.299</v>
      </c>
      <c r="N107" s="226">
        <f>M107*J161</f>
        <v>16.8038</v>
      </c>
      <c r="O107" s="226"/>
      <c r="P107" s="390">
        <v>1.718</v>
      </c>
      <c r="Q107" s="226">
        <f>P107*J161</f>
        <v>96.55160000000001</v>
      </c>
      <c r="R107" s="391">
        <f>G107+J107+M107+P107</f>
        <v>4.949</v>
      </c>
      <c r="S107" s="226">
        <v>271.79</v>
      </c>
      <c r="U107" s="12"/>
      <c r="V107" s="11"/>
      <c r="W107" s="12"/>
    </row>
    <row r="108" spans="1:23" ht="36.75" customHeight="1">
      <c r="A108" s="339"/>
      <c r="B108" s="523"/>
      <c r="C108" s="524"/>
      <c r="D108" s="525"/>
      <c r="E108" s="371" t="s">
        <v>2</v>
      </c>
      <c r="F108" s="8"/>
      <c r="G108" s="390">
        <v>5.955</v>
      </c>
      <c r="H108" s="226">
        <f>G108*H163</f>
        <v>33991.6164</v>
      </c>
      <c r="I108" s="226"/>
      <c r="J108" s="390">
        <v>2.863</v>
      </c>
      <c r="K108" s="226">
        <f>J108*H163</f>
        <v>16342.23304</v>
      </c>
      <c r="L108" s="226"/>
      <c r="M108" s="390">
        <v>0.481</v>
      </c>
      <c r="N108" s="226">
        <f>M108*J163</f>
        <v>2923.73926</v>
      </c>
      <c r="O108" s="226"/>
      <c r="P108" s="390">
        <v>5.041</v>
      </c>
      <c r="Q108" s="226">
        <f>P108*J163</f>
        <v>30641.516860000003</v>
      </c>
      <c r="R108" s="391">
        <f>G108+J108+M108+P108</f>
        <v>14.34</v>
      </c>
      <c r="S108" s="226">
        <f>H108+K108+N108+Q108</f>
        <v>83899.10556</v>
      </c>
      <c r="U108" s="12"/>
      <c r="V108" s="11"/>
      <c r="W108" s="12"/>
    </row>
    <row r="109" spans="1:23" s="97" customFormat="1" ht="43.5" customHeight="1">
      <c r="A109" s="337">
        <v>4</v>
      </c>
      <c r="B109" s="590" t="s">
        <v>43</v>
      </c>
      <c r="C109" s="591"/>
      <c r="D109" s="592"/>
      <c r="E109" s="369"/>
      <c r="F109" s="98">
        <v>31</v>
      </c>
      <c r="G109" s="93"/>
      <c r="H109" s="93">
        <f>H115+H118</f>
        <v>340062.2472</v>
      </c>
      <c r="I109" s="93"/>
      <c r="J109" s="93"/>
      <c r="K109" s="93">
        <f>K115+K118</f>
        <v>340062.2472</v>
      </c>
      <c r="L109" s="93"/>
      <c r="M109" s="93"/>
      <c r="N109" s="93">
        <f>N115+N118</f>
        <v>360211.18259999994</v>
      </c>
      <c r="O109" s="93"/>
      <c r="P109" s="93"/>
      <c r="Q109" s="93">
        <f>Q115+Q118</f>
        <v>360211.18259999994</v>
      </c>
      <c r="R109" s="93"/>
      <c r="S109" s="93">
        <f>H109+K109+N109+Q109</f>
        <v>1400546.8595999999</v>
      </c>
      <c r="T109" s="94"/>
      <c r="U109" s="95">
        <f>37.94*P109</f>
        <v>0</v>
      </c>
      <c r="V109" s="96">
        <f>H109+K109+N109+Q109</f>
        <v>1400546.8595999999</v>
      </c>
      <c r="W109" s="95">
        <f>G109+J109+M109+P109</f>
        <v>0</v>
      </c>
    </row>
    <row r="110" spans="1:23" ht="45" customHeight="1" hidden="1">
      <c r="A110" s="339"/>
      <c r="B110" s="576" t="s">
        <v>45</v>
      </c>
      <c r="C110" s="577"/>
      <c r="D110" s="578"/>
      <c r="E110" s="368"/>
      <c r="F110" s="15">
        <v>51</v>
      </c>
      <c r="G110" s="60"/>
      <c r="H110" s="226">
        <f>H111+H112</f>
        <v>0</v>
      </c>
      <c r="I110" s="226"/>
      <c r="J110" s="226"/>
      <c r="K110" s="226">
        <f>K111+K112</f>
        <v>0</v>
      </c>
      <c r="L110" s="226"/>
      <c r="M110" s="226"/>
      <c r="N110" s="226">
        <f>N111+N112</f>
        <v>0</v>
      </c>
      <c r="O110" s="226"/>
      <c r="P110" s="226"/>
      <c r="Q110" s="226">
        <f>Q111+Q112</f>
        <v>0</v>
      </c>
      <c r="R110" s="226"/>
      <c r="S110" s="226">
        <f>S111+S112</f>
        <v>0</v>
      </c>
      <c r="U110" s="12">
        <f>37.94*P110</f>
        <v>0</v>
      </c>
      <c r="V110" s="11">
        <f>H110+K110+N110+Q110</f>
        <v>0</v>
      </c>
      <c r="W110" s="12">
        <f>G110+J110+M110+P110</f>
        <v>0</v>
      </c>
    </row>
    <row r="111" spans="1:23" ht="31.5" customHeight="1" hidden="1">
      <c r="A111" s="339"/>
      <c r="B111" s="569"/>
      <c r="C111" s="570"/>
      <c r="D111" s="571"/>
      <c r="E111" s="371" t="s">
        <v>71</v>
      </c>
      <c r="F111" s="8"/>
      <c r="G111" s="226"/>
      <c r="H111" s="226">
        <f>G111*H161</f>
        <v>0</v>
      </c>
      <c r="I111" s="226"/>
      <c r="J111" s="226"/>
      <c r="K111" s="226">
        <f>J111*H161</f>
        <v>0</v>
      </c>
      <c r="L111" s="226"/>
      <c r="M111" s="226"/>
      <c r="N111" s="226">
        <f>M111*J161</f>
        <v>0</v>
      </c>
      <c r="O111" s="226"/>
      <c r="P111" s="226"/>
      <c r="Q111" s="226">
        <f>P111*J161</f>
        <v>0</v>
      </c>
      <c r="R111" s="226">
        <f aca="true" t="shared" si="16" ref="R111:S114">G111+J111+M111+P111</f>
        <v>0</v>
      </c>
      <c r="S111" s="226">
        <f t="shared" si="16"/>
        <v>0</v>
      </c>
      <c r="U111" s="12"/>
      <c r="V111" s="11"/>
      <c r="W111" s="12"/>
    </row>
    <row r="112" spans="1:23" ht="36.75" customHeight="1" hidden="1">
      <c r="A112" s="339"/>
      <c r="B112" s="569"/>
      <c r="C112" s="570"/>
      <c r="D112" s="571"/>
      <c r="E112" s="371" t="s">
        <v>2</v>
      </c>
      <c r="F112" s="8"/>
      <c r="G112" s="226"/>
      <c r="H112" s="226">
        <f>G112*H163</f>
        <v>0</v>
      </c>
      <c r="I112" s="226"/>
      <c r="J112" s="226"/>
      <c r="K112" s="226">
        <f>J112*H163</f>
        <v>0</v>
      </c>
      <c r="L112" s="226"/>
      <c r="M112" s="226"/>
      <c r="N112" s="226">
        <f>M112*J163</f>
        <v>0</v>
      </c>
      <c r="O112" s="226"/>
      <c r="P112" s="226"/>
      <c r="Q112" s="226">
        <f>P112*J163</f>
        <v>0</v>
      </c>
      <c r="R112" s="226">
        <f t="shared" si="16"/>
        <v>0</v>
      </c>
      <c r="S112" s="226">
        <f t="shared" si="16"/>
        <v>0</v>
      </c>
      <c r="U112" s="12"/>
      <c r="V112" s="11"/>
      <c r="W112" s="12"/>
    </row>
    <row r="113" spans="1:23" ht="36.75" customHeight="1">
      <c r="A113" s="339"/>
      <c r="B113" s="372"/>
      <c r="C113" s="373"/>
      <c r="D113" s="374"/>
      <c r="E113" s="370" t="s">
        <v>71</v>
      </c>
      <c r="F113" s="8"/>
      <c r="G113" s="60">
        <f>G116+G119</f>
        <v>1218.96</v>
      </c>
      <c r="H113" s="60">
        <f>H116+H119</f>
        <v>76862.6784</v>
      </c>
      <c r="I113" s="226"/>
      <c r="J113" s="60">
        <f>J116+J119</f>
        <v>1218.96</v>
      </c>
      <c r="K113" s="60">
        <f>K116+K119</f>
        <v>76862.6784</v>
      </c>
      <c r="L113" s="226"/>
      <c r="M113" s="60">
        <f>M116+M119</f>
        <v>1218.96</v>
      </c>
      <c r="N113" s="60">
        <f>N116+N119</f>
        <v>79933.392</v>
      </c>
      <c r="O113" s="226"/>
      <c r="P113" s="60">
        <f>P116+P119</f>
        <v>1218.96</v>
      </c>
      <c r="Q113" s="60">
        <f>Q116+Q119</f>
        <v>79933.392</v>
      </c>
      <c r="R113" s="60">
        <f t="shared" si="16"/>
        <v>4875.84</v>
      </c>
      <c r="S113" s="60">
        <f t="shared" si="16"/>
        <v>313592.1408</v>
      </c>
      <c r="U113" s="12"/>
      <c r="V113" s="11"/>
      <c r="W113" s="12"/>
    </row>
    <row r="114" spans="1:23" ht="36.75" customHeight="1">
      <c r="A114" s="339"/>
      <c r="B114" s="372"/>
      <c r="C114" s="373"/>
      <c r="D114" s="374"/>
      <c r="E114" s="370" t="s">
        <v>2</v>
      </c>
      <c r="F114" s="8"/>
      <c r="G114" s="60">
        <f>G117+G120</f>
        <v>46.11</v>
      </c>
      <c r="H114" s="60">
        <f>H117+H120</f>
        <v>263199.5688</v>
      </c>
      <c r="I114" s="226"/>
      <c r="J114" s="60">
        <f>J117+J120</f>
        <v>46.11</v>
      </c>
      <c r="K114" s="60">
        <f>K117+K120</f>
        <v>263199.5688</v>
      </c>
      <c r="L114" s="226"/>
      <c r="M114" s="60">
        <f>M117+M120</f>
        <v>46.11</v>
      </c>
      <c r="N114" s="60">
        <f>N117+N120</f>
        <v>280277.7906</v>
      </c>
      <c r="O114" s="226"/>
      <c r="P114" s="60">
        <f>P117+P120</f>
        <v>46.11</v>
      </c>
      <c r="Q114" s="60">
        <f>Q117+Q120</f>
        <v>280277.7906</v>
      </c>
      <c r="R114" s="60">
        <f t="shared" si="16"/>
        <v>184.44</v>
      </c>
      <c r="S114" s="60">
        <f t="shared" si="16"/>
        <v>1086954.7188</v>
      </c>
      <c r="U114" s="12"/>
      <c r="V114" s="11"/>
      <c r="W114" s="12"/>
    </row>
    <row r="115" spans="1:23" ht="36.75" customHeight="1">
      <c r="A115" s="339"/>
      <c r="B115" s="523" t="s">
        <v>138</v>
      </c>
      <c r="C115" s="555"/>
      <c r="D115" s="556"/>
      <c r="E115" s="371"/>
      <c r="F115" s="8"/>
      <c r="G115" s="226"/>
      <c r="H115" s="226">
        <f>H116+H117</f>
        <v>17660.3952</v>
      </c>
      <c r="I115" s="226"/>
      <c r="J115" s="226"/>
      <c r="K115" s="226">
        <f>K116+K117</f>
        <v>17660.3952</v>
      </c>
      <c r="L115" s="226"/>
      <c r="M115" s="226"/>
      <c r="N115" s="226">
        <f>N116+N117</f>
        <v>18716.1636</v>
      </c>
      <c r="O115" s="226"/>
      <c r="P115" s="226"/>
      <c r="Q115" s="226">
        <f>Q116+Q117</f>
        <v>18716.1636</v>
      </c>
      <c r="R115" s="226"/>
      <c r="S115" s="226">
        <f>S116+S117</f>
        <v>72753.1176</v>
      </c>
      <c r="U115" s="12"/>
      <c r="V115" s="11"/>
      <c r="W115" s="12"/>
    </row>
    <row r="116" spans="1:23" ht="36.75" customHeight="1">
      <c r="A116" s="339"/>
      <c r="B116" s="523"/>
      <c r="C116" s="555"/>
      <c r="D116" s="556"/>
      <c r="E116" s="371" t="s">
        <v>71</v>
      </c>
      <c r="F116" s="8"/>
      <c r="G116" s="226">
        <v>66.96</v>
      </c>
      <c r="H116" s="226">
        <f>G116*H161</f>
        <v>3618.5183999999995</v>
      </c>
      <c r="I116" s="226"/>
      <c r="J116" s="226">
        <v>66.96</v>
      </c>
      <c r="K116" s="226">
        <f>J116*H161</f>
        <v>3618.5183999999995</v>
      </c>
      <c r="L116" s="226"/>
      <c r="M116" s="226">
        <v>66.96</v>
      </c>
      <c r="N116" s="226">
        <f>M116*J161</f>
        <v>3763.152</v>
      </c>
      <c r="O116" s="226"/>
      <c r="P116" s="226">
        <v>66.96</v>
      </c>
      <c r="Q116" s="226">
        <f>P116*J161</f>
        <v>3763.152</v>
      </c>
      <c r="R116" s="226">
        <f>G116+J116+M116+P116</f>
        <v>267.84</v>
      </c>
      <c r="S116" s="226">
        <f>H116+K116+N116+Q116</f>
        <v>14763.3408</v>
      </c>
      <c r="U116" s="12"/>
      <c r="V116" s="11"/>
      <c r="W116" s="12"/>
    </row>
    <row r="117" spans="1:23" ht="36.75" customHeight="1">
      <c r="A117" s="339"/>
      <c r="B117" s="523"/>
      <c r="C117" s="555"/>
      <c r="D117" s="556"/>
      <c r="E117" s="371" t="s">
        <v>2</v>
      </c>
      <c r="F117" s="8"/>
      <c r="G117" s="226">
        <v>2.46</v>
      </c>
      <c r="H117" s="226">
        <f>G117*H163</f>
        <v>14041.8768</v>
      </c>
      <c r="I117" s="226"/>
      <c r="J117" s="226">
        <v>2.46</v>
      </c>
      <c r="K117" s="226">
        <f>J117*H163</f>
        <v>14041.8768</v>
      </c>
      <c r="L117" s="226"/>
      <c r="M117" s="226">
        <v>2.46</v>
      </c>
      <c r="N117" s="226">
        <f>M117*J163</f>
        <v>14953.0116</v>
      </c>
      <c r="O117" s="226"/>
      <c r="P117" s="226">
        <v>2.46</v>
      </c>
      <c r="Q117" s="226">
        <f>P117*J164</f>
        <v>14953.0116</v>
      </c>
      <c r="R117" s="226">
        <f>G117+J117+M117+P117</f>
        <v>9.84</v>
      </c>
      <c r="S117" s="226">
        <f>H117+K117+N117+Q117</f>
        <v>57989.7768</v>
      </c>
      <c r="U117" s="12"/>
      <c r="V117" s="11"/>
      <c r="W117" s="12"/>
    </row>
    <row r="118" spans="1:23" ht="36.75" customHeight="1">
      <c r="A118" s="339"/>
      <c r="B118" s="523" t="s">
        <v>139</v>
      </c>
      <c r="C118" s="555"/>
      <c r="D118" s="556"/>
      <c r="E118" s="371"/>
      <c r="F118" s="8"/>
      <c r="G118" s="226"/>
      <c r="H118" s="226">
        <f>H119+H120</f>
        <v>322401.85199999996</v>
      </c>
      <c r="I118" s="226"/>
      <c r="J118" s="226"/>
      <c r="K118" s="226">
        <f>K119+K120</f>
        <v>322401.85199999996</v>
      </c>
      <c r="L118" s="226"/>
      <c r="M118" s="226"/>
      <c r="N118" s="226">
        <f>N119+N120</f>
        <v>341495.019</v>
      </c>
      <c r="O118" s="226"/>
      <c r="P118" s="226"/>
      <c r="Q118" s="226">
        <f>Q119+Q120</f>
        <v>341495.019</v>
      </c>
      <c r="R118" s="226"/>
      <c r="S118" s="226">
        <f>S119+S120</f>
        <v>1327793.7419999999</v>
      </c>
      <c r="U118" s="12"/>
      <c r="V118" s="11"/>
      <c r="W118" s="12"/>
    </row>
    <row r="119" spans="1:23" ht="36.75" customHeight="1">
      <c r="A119" s="339"/>
      <c r="B119" s="523"/>
      <c r="C119" s="555"/>
      <c r="D119" s="556"/>
      <c r="E119" s="371" t="s">
        <v>71</v>
      </c>
      <c r="F119" s="8"/>
      <c r="G119" s="226">
        <v>1152</v>
      </c>
      <c r="H119" s="226">
        <f>G119*H162</f>
        <v>73244.16</v>
      </c>
      <c r="I119" s="226"/>
      <c r="J119" s="226">
        <v>1152</v>
      </c>
      <c r="K119" s="226">
        <f>J119*H162</f>
        <v>73244.16</v>
      </c>
      <c r="L119" s="226"/>
      <c r="M119" s="226">
        <v>1152</v>
      </c>
      <c r="N119" s="226">
        <f>M119*J162</f>
        <v>76170.24</v>
      </c>
      <c r="O119" s="226"/>
      <c r="P119" s="226">
        <v>1152</v>
      </c>
      <c r="Q119" s="226">
        <f>P119*J162</f>
        <v>76170.24</v>
      </c>
      <c r="R119" s="226">
        <f>G119+J119+M119+P119</f>
        <v>4608</v>
      </c>
      <c r="S119" s="226">
        <f>H119+K119+N119+Q119</f>
        <v>298828.8</v>
      </c>
      <c r="U119" s="12"/>
      <c r="V119" s="11"/>
      <c r="W119" s="12"/>
    </row>
    <row r="120" spans="1:23" ht="36.75" customHeight="1">
      <c r="A120" s="339"/>
      <c r="B120" s="523"/>
      <c r="C120" s="555"/>
      <c r="D120" s="556"/>
      <c r="E120" s="371" t="s">
        <v>2</v>
      </c>
      <c r="F120" s="8"/>
      <c r="G120" s="226">
        <v>43.65</v>
      </c>
      <c r="H120" s="226">
        <f>G120*H164</f>
        <v>249157.69199999998</v>
      </c>
      <c r="I120" s="226"/>
      <c r="J120" s="226">
        <v>43.65</v>
      </c>
      <c r="K120" s="226">
        <f>J120*H164</f>
        <v>249157.69199999998</v>
      </c>
      <c r="L120" s="226"/>
      <c r="M120" s="226">
        <v>43.65</v>
      </c>
      <c r="N120" s="226">
        <f>M120*J164</f>
        <v>265324.779</v>
      </c>
      <c r="O120" s="226"/>
      <c r="P120" s="226">
        <v>43.65</v>
      </c>
      <c r="Q120" s="226">
        <f>P120*J164</f>
        <v>265324.779</v>
      </c>
      <c r="R120" s="226">
        <f>G120+J120+M120+P120</f>
        <v>174.6</v>
      </c>
      <c r="S120" s="226">
        <f>H120+K120+N120+Q120</f>
        <v>1028964.9419999999</v>
      </c>
      <c r="U120" s="12"/>
      <c r="V120" s="11"/>
      <c r="W120" s="12"/>
    </row>
    <row r="121" spans="1:23" s="97" customFormat="1" ht="53.25" customHeight="1">
      <c r="A121" s="337">
        <v>5</v>
      </c>
      <c r="B121" s="590" t="s">
        <v>47</v>
      </c>
      <c r="C121" s="591"/>
      <c r="D121" s="592"/>
      <c r="E121" s="338" t="s">
        <v>80</v>
      </c>
      <c r="F121" s="342"/>
      <c r="G121" s="93"/>
      <c r="H121" s="93">
        <f>H124+H127+H130+H133</f>
        <v>42541.592319999996</v>
      </c>
      <c r="I121" s="93"/>
      <c r="J121" s="93"/>
      <c r="K121" s="93">
        <f>K124+K127+K130+K133</f>
        <v>42997.37964</v>
      </c>
      <c r="L121" s="93"/>
      <c r="M121" s="93"/>
      <c r="N121" s="93">
        <f>N124+N127+N130+N133</f>
        <v>24146.45462</v>
      </c>
      <c r="O121" s="93"/>
      <c r="P121" s="93"/>
      <c r="Q121" s="93">
        <v>45009.43</v>
      </c>
      <c r="R121" s="93"/>
      <c r="S121" s="93">
        <f>S124+S127+S130+S133</f>
        <v>154694.8475</v>
      </c>
      <c r="T121" s="94"/>
      <c r="U121" s="95"/>
      <c r="V121" s="96"/>
      <c r="W121" s="95"/>
    </row>
    <row r="122" spans="1:23" ht="38.25" customHeight="1">
      <c r="A122" s="339"/>
      <c r="B122" s="586"/>
      <c r="C122" s="587"/>
      <c r="D122" s="588"/>
      <c r="E122" s="345" t="s">
        <v>71</v>
      </c>
      <c r="F122" s="341"/>
      <c r="G122" s="60">
        <f>G125+G128+G131+G134</f>
        <v>76.1</v>
      </c>
      <c r="H122" s="60">
        <f>H125+H128+H131+H134</f>
        <v>4274.624</v>
      </c>
      <c r="I122" s="60"/>
      <c r="J122" s="60">
        <f>J125+J128+J131+J134</f>
        <v>76.874</v>
      </c>
      <c r="K122" s="60">
        <f>K125+K128+K131+K134</f>
        <v>4359.38096</v>
      </c>
      <c r="L122" s="60"/>
      <c r="M122" s="60">
        <f>M125+M128+M131+M134</f>
        <v>48.019999999999996</v>
      </c>
      <c r="N122" s="60">
        <v>2847.53</v>
      </c>
      <c r="O122" s="60"/>
      <c r="P122" s="60">
        <f>P125+P128+P131+P134</f>
        <v>77.64</v>
      </c>
      <c r="Q122" s="60">
        <v>4581.6</v>
      </c>
      <c r="R122" s="60">
        <f>G122+J122+M122+P122</f>
        <v>278.63399999999996</v>
      </c>
      <c r="S122" s="60">
        <f>H122+K122+N122+Q122</f>
        <v>16063.134960000001</v>
      </c>
      <c r="U122" s="12"/>
      <c r="V122" s="11"/>
      <c r="W122" s="12"/>
    </row>
    <row r="123" spans="1:23" ht="38.25" customHeight="1">
      <c r="A123" s="339"/>
      <c r="B123" s="586"/>
      <c r="C123" s="587"/>
      <c r="D123" s="588"/>
      <c r="E123" s="345" t="s">
        <v>2</v>
      </c>
      <c r="F123" s="341"/>
      <c r="G123" s="60">
        <f>G126+G129+G132+G135</f>
        <v>6.704000000000001</v>
      </c>
      <c r="H123" s="60">
        <f>H126+H129+H132+H135</f>
        <v>38266.96832</v>
      </c>
      <c r="I123" s="60"/>
      <c r="J123" s="60">
        <f>J126+J129+J132+J135</f>
        <v>6.769</v>
      </c>
      <c r="K123" s="60">
        <v>38638</v>
      </c>
      <c r="L123" s="60"/>
      <c r="M123" s="60">
        <f>M126+M129+M132+M135</f>
        <v>3.504</v>
      </c>
      <c r="N123" s="60">
        <f>N126+N129+N132+N135</f>
        <v>21298.92384</v>
      </c>
      <c r="O123" s="60"/>
      <c r="P123" s="60">
        <f>P126+P129+P132+P135</f>
        <v>6.651</v>
      </c>
      <c r="Q123" s="60">
        <v>40427.83</v>
      </c>
      <c r="R123" s="60">
        <f>G123+J123+M123+P123</f>
        <v>23.628</v>
      </c>
      <c r="S123" s="60">
        <f>H123+K123+N123+Q123</f>
        <v>138631.72216</v>
      </c>
      <c r="U123" s="12"/>
      <c r="V123" s="11"/>
      <c r="W123" s="12"/>
    </row>
    <row r="124" spans="1:23" ht="41.25" customHeight="1">
      <c r="A124" s="339"/>
      <c r="B124" s="576" t="s">
        <v>48</v>
      </c>
      <c r="C124" s="577"/>
      <c r="D124" s="578"/>
      <c r="E124" s="347"/>
      <c r="F124" s="341"/>
      <c r="G124" s="226"/>
      <c r="H124" s="226">
        <f>H125+H126</f>
        <v>1380.8116</v>
      </c>
      <c r="I124" s="226"/>
      <c r="J124" s="226"/>
      <c r="K124" s="226">
        <f>K125+K126</f>
        <v>1181.1102799999999</v>
      </c>
      <c r="L124" s="226"/>
      <c r="M124" s="226"/>
      <c r="N124" s="226">
        <f>N125+N126</f>
        <v>1896.3322000000003</v>
      </c>
      <c r="O124" s="226"/>
      <c r="P124" s="226"/>
      <c r="Q124" s="226">
        <v>3991.31</v>
      </c>
      <c r="R124" s="226"/>
      <c r="S124" s="226">
        <f>S125+S126</f>
        <v>8449.559519999999</v>
      </c>
      <c r="U124" s="12"/>
      <c r="V124" s="11"/>
      <c r="W124" s="12"/>
    </row>
    <row r="125" spans="1:23" ht="36" customHeight="1">
      <c r="A125" s="339"/>
      <c r="B125" s="569"/>
      <c r="C125" s="570"/>
      <c r="D125" s="571"/>
      <c r="E125" s="340" t="s">
        <v>71</v>
      </c>
      <c r="F125" s="341"/>
      <c r="G125" s="226">
        <v>3.37</v>
      </c>
      <c r="H125" s="226">
        <f>G125*H161</f>
        <v>182.1148</v>
      </c>
      <c r="I125" s="226"/>
      <c r="J125" s="299">
        <v>2.949</v>
      </c>
      <c r="K125" s="226">
        <f>J125*H161</f>
        <v>159.36396</v>
      </c>
      <c r="L125" s="226"/>
      <c r="M125" s="226">
        <v>4.54</v>
      </c>
      <c r="N125" s="226">
        <f>M125*J161</f>
        <v>255.14800000000002</v>
      </c>
      <c r="O125" s="226"/>
      <c r="P125" s="226">
        <v>9.37</v>
      </c>
      <c r="Q125" s="226">
        <f>P125*J161</f>
        <v>526.5939999999999</v>
      </c>
      <c r="R125" s="226">
        <f>G125+J125+M125+P125</f>
        <v>20.229</v>
      </c>
      <c r="S125" s="226">
        <v>1123.21</v>
      </c>
      <c r="U125" s="12"/>
      <c r="V125" s="11"/>
      <c r="W125" s="12"/>
    </row>
    <row r="126" spans="1:23" ht="39" customHeight="1">
      <c r="A126" s="339"/>
      <c r="B126" s="569"/>
      <c r="C126" s="570"/>
      <c r="D126" s="571"/>
      <c r="E126" s="340" t="s">
        <v>2</v>
      </c>
      <c r="F126" s="341"/>
      <c r="G126" s="226">
        <v>0.21</v>
      </c>
      <c r="H126" s="226">
        <f>G126*H163</f>
        <v>1198.6968</v>
      </c>
      <c r="I126" s="226"/>
      <c r="J126" s="299">
        <v>0.179</v>
      </c>
      <c r="K126" s="226">
        <f>J126*H163</f>
        <v>1021.74632</v>
      </c>
      <c r="L126" s="226"/>
      <c r="M126" s="226">
        <v>0.27</v>
      </c>
      <c r="N126" s="226">
        <f>M126*J163</f>
        <v>1641.1842000000001</v>
      </c>
      <c r="O126" s="226"/>
      <c r="P126" s="226">
        <v>0.57</v>
      </c>
      <c r="Q126" s="226">
        <f>P126*J163</f>
        <v>3464.7221999999997</v>
      </c>
      <c r="R126" s="226">
        <f>G126+J126+M126+P126</f>
        <v>1.229</v>
      </c>
      <c r="S126" s="226">
        <f>H126+K126+N126+Q126</f>
        <v>7326.34952</v>
      </c>
      <c r="U126" s="12"/>
      <c r="V126" s="11"/>
      <c r="W126" s="12"/>
    </row>
    <row r="127" spans="1:23" ht="35.25" customHeight="1">
      <c r="A127" s="339"/>
      <c r="B127" s="576" t="s">
        <v>49</v>
      </c>
      <c r="C127" s="577"/>
      <c r="D127" s="578"/>
      <c r="E127" s="347"/>
      <c r="F127" s="341"/>
      <c r="G127" s="226"/>
      <c r="H127" s="226">
        <f>H128+H129</f>
        <v>24134.1504</v>
      </c>
      <c r="I127" s="226"/>
      <c r="J127" s="226"/>
      <c r="K127" s="226">
        <v>26058.38</v>
      </c>
      <c r="L127" s="226"/>
      <c r="M127" s="226"/>
      <c r="N127" s="226">
        <f>N128+N129</f>
        <v>11426.53902</v>
      </c>
      <c r="O127" s="226"/>
      <c r="P127" s="226"/>
      <c r="Q127" s="226">
        <f>Q128+Q129</f>
        <v>22514.313319999997</v>
      </c>
      <c r="R127" s="226"/>
      <c r="S127" s="226">
        <f>S128+S129</f>
        <v>84133.37758</v>
      </c>
      <c r="U127" s="12"/>
      <c r="V127" s="11"/>
      <c r="W127" s="12"/>
    </row>
    <row r="128" spans="1:23" ht="39" customHeight="1">
      <c r="A128" s="339"/>
      <c r="B128" s="569"/>
      <c r="C128" s="570"/>
      <c r="D128" s="571"/>
      <c r="E128" s="340" t="s">
        <v>71</v>
      </c>
      <c r="F128" s="341"/>
      <c r="G128" s="226">
        <v>35</v>
      </c>
      <c r="H128" s="226">
        <f>25*H161+10*H162</f>
        <v>1986.8</v>
      </c>
      <c r="I128" s="226"/>
      <c r="J128" s="299">
        <v>50.395</v>
      </c>
      <c r="K128" s="226">
        <f>35.395*H161+15*H162</f>
        <v>2866.4458</v>
      </c>
      <c r="L128" s="226"/>
      <c r="M128" s="226">
        <v>24.5</v>
      </c>
      <c r="N128" s="226">
        <f>14.5*J161+10*J162</f>
        <v>1476.1000000000001</v>
      </c>
      <c r="O128" s="226"/>
      <c r="P128" s="226">
        <v>36.5</v>
      </c>
      <c r="Q128" s="226">
        <f>21.5*J161+15*J162</f>
        <v>2200.1</v>
      </c>
      <c r="R128" s="226">
        <f>G128+J128+M128+P128</f>
        <v>146.395</v>
      </c>
      <c r="S128" s="226">
        <f>H128+K128+N128+Q128</f>
        <v>8529.4458</v>
      </c>
      <c r="U128" s="12"/>
      <c r="V128" s="11"/>
      <c r="W128" s="12"/>
    </row>
    <row r="129" spans="1:23" ht="40.5" customHeight="1">
      <c r="A129" s="339"/>
      <c r="B129" s="569"/>
      <c r="C129" s="570"/>
      <c r="D129" s="571"/>
      <c r="E129" s="340" t="s">
        <v>2</v>
      </c>
      <c r="F129" s="341"/>
      <c r="G129" s="226">
        <v>3.88</v>
      </c>
      <c r="H129" s="226">
        <f>G129*H163</f>
        <v>22147.3504</v>
      </c>
      <c r="I129" s="226"/>
      <c r="J129" s="226">
        <v>4.063</v>
      </c>
      <c r="K129" s="226">
        <f>J129*H163</f>
        <v>23191.92904</v>
      </c>
      <c r="L129" s="226"/>
      <c r="M129" s="226">
        <v>1.637</v>
      </c>
      <c r="N129" s="226">
        <f>M129*J163</f>
        <v>9950.43902</v>
      </c>
      <c r="O129" s="226"/>
      <c r="P129" s="226">
        <v>3.342</v>
      </c>
      <c r="Q129" s="226">
        <f>P129*J163</f>
        <v>20314.21332</v>
      </c>
      <c r="R129" s="226">
        <f>G129+J129+M129+P129</f>
        <v>12.922</v>
      </c>
      <c r="S129" s="226">
        <f>H129+K129+N129+Q129</f>
        <v>75603.93178</v>
      </c>
      <c r="U129" s="12"/>
      <c r="V129" s="11"/>
      <c r="W129" s="12"/>
    </row>
    <row r="130" spans="1:23" ht="39" customHeight="1">
      <c r="A130" s="339"/>
      <c r="B130" s="576" t="s">
        <v>50</v>
      </c>
      <c r="C130" s="577"/>
      <c r="D130" s="578"/>
      <c r="E130" s="347"/>
      <c r="F130" s="341"/>
      <c r="G130" s="226"/>
      <c r="H130" s="226">
        <f>H131+H132</f>
        <v>6891.8024000000005</v>
      </c>
      <c r="I130" s="226"/>
      <c r="J130" s="226"/>
      <c r="K130" s="226">
        <f>K131+K132</f>
        <v>6093.9828</v>
      </c>
      <c r="L130" s="226"/>
      <c r="M130" s="226"/>
      <c r="N130" s="226">
        <f>N131+N132</f>
        <v>5610.2834</v>
      </c>
      <c r="O130" s="226"/>
      <c r="P130" s="226"/>
      <c r="Q130" s="226">
        <f>Q131+Q132</f>
        <v>7313.7538</v>
      </c>
      <c r="R130" s="226"/>
      <c r="S130" s="226">
        <v>25909.81</v>
      </c>
      <c r="U130" s="12"/>
      <c r="V130" s="11"/>
      <c r="W130" s="12"/>
    </row>
    <row r="131" spans="1:23" ht="39" customHeight="1">
      <c r="A131" s="339"/>
      <c r="B131" s="569"/>
      <c r="C131" s="570"/>
      <c r="D131" s="571"/>
      <c r="E131" s="340" t="s">
        <v>71</v>
      </c>
      <c r="F131" s="341"/>
      <c r="G131" s="226">
        <v>17.5</v>
      </c>
      <c r="H131" s="226">
        <f>10.5*H161+7*H162</f>
        <v>1012.48</v>
      </c>
      <c r="I131" s="226"/>
      <c r="J131" s="226">
        <v>15.5</v>
      </c>
      <c r="K131" s="226">
        <f>9*H161+6.5*H162</f>
        <v>899.63</v>
      </c>
      <c r="L131" s="226"/>
      <c r="M131" s="226">
        <v>13.5</v>
      </c>
      <c r="N131" s="226">
        <f>8.5*J161+5*J162</f>
        <v>808.3000000000001</v>
      </c>
      <c r="O131" s="226"/>
      <c r="P131" s="226">
        <v>17.5</v>
      </c>
      <c r="Q131" s="226">
        <f>10.5*J161+7*J162</f>
        <v>1052.94</v>
      </c>
      <c r="R131" s="226">
        <f>G131+J131+M131+P131</f>
        <v>64</v>
      </c>
      <c r="S131" s="226">
        <f>H131+K131+N131+Q131</f>
        <v>3773.3500000000004</v>
      </c>
      <c r="U131" s="12"/>
      <c r="V131" s="11"/>
      <c r="W131" s="12"/>
    </row>
    <row r="132" spans="1:23" ht="36.75" customHeight="1">
      <c r="A132" s="339"/>
      <c r="B132" s="569"/>
      <c r="C132" s="570"/>
      <c r="D132" s="571"/>
      <c r="E132" s="340" t="s">
        <v>2</v>
      </c>
      <c r="F132" s="341"/>
      <c r="G132" s="226">
        <v>1.03</v>
      </c>
      <c r="H132" s="226">
        <f>G132*H163</f>
        <v>5879.3224</v>
      </c>
      <c r="I132" s="226"/>
      <c r="J132" s="226">
        <v>0.91</v>
      </c>
      <c r="K132" s="226">
        <f>J132*H163</f>
        <v>5194.3528</v>
      </c>
      <c r="L132" s="226"/>
      <c r="M132" s="226">
        <v>0.79</v>
      </c>
      <c r="N132" s="226">
        <f>M132*J163</f>
        <v>4801.9834</v>
      </c>
      <c r="O132" s="226"/>
      <c r="P132" s="226">
        <v>1.03</v>
      </c>
      <c r="Q132" s="226">
        <f>P132*J163</f>
        <v>6260.8138</v>
      </c>
      <c r="R132" s="226">
        <f>G132+J132+M132+P132</f>
        <v>3.76</v>
      </c>
      <c r="S132" s="226">
        <v>22136.46</v>
      </c>
      <c r="U132" s="12"/>
      <c r="V132" s="11"/>
      <c r="W132" s="12"/>
    </row>
    <row r="133" spans="1:23" ht="44.25" customHeight="1">
      <c r="A133" s="339"/>
      <c r="B133" s="589" t="s">
        <v>40</v>
      </c>
      <c r="C133" s="589"/>
      <c r="D133" s="589"/>
      <c r="E133" s="348"/>
      <c r="F133" s="341"/>
      <c r="G133" s="226"/>
      <c r="H133" s="226">
        <f>H134+H135</f>
        <v>10134.82792</v>
      </c>
      <c r="I133" s="226"/>
      <c r="J133" s="226"/>
      <c r="K133" s="226">
        <f>K134+K135</f>
        <v>9663.90656</v>
      </c>
      <c r="L133" s="226"/>
      <c r="M133" s="226"/>
      <c r="N133" s="226">
        <v>5213.3</v>
      </c>
      <c r="O133" s="226"/>
      <c r="P133" s="226"/>
      <c r="Q133" s="226">
        <f>Q134+Q135</f>
        <v>11190.06214</v>
      </c>
      <c r="R133" s="226"/>
      <c r="S133" s="226">
        <f>S134+S135</f>
        <v>36202.1004</v>
      </c>
      <c r="U133" s="12"/>
      <c r="V133" s="11"/>
      <c r="W133" s="12"/>
    </row>
    <row r="134" spans="1:23" ht="35.25" customHeight="1">
      <c r="A134" s="339"/>
      <c r="B134" s="569"/>
      <c r="C134" s="570"/>
      <c r="D134" s="571"/>
      <c r="E134" s="340" t="s">
        <v>71</v>
      </c>
      <c r="F134" s="341"/>
      <c r="G134" s="226">
        <v>20.23</v>
      </c>
      <c r="H134" s="226">
        <f>G134*H161</f>
        <v>1093.2292</v>
      </c>
      <c r="I134" s="226"/>
      <c r="J134" s="254">
        <v>8.03</v>
      </c>
      <c r="K134" s="226">
        <f>J134*H161</f>
        <v>433.9412</v>
      </c>
      <c r="L134" s="226"/>
      <c r="M134" s="226">
        <v>5.48</v>
      </c>
      <c r="N134" s="226">
        <f>M134*J161</f>
        <v>307.97600000000006</v>
      </c>
      <c r="O134" s="226"/>
      <c r="P134" s="226">
        <v>14.27</v>
      </c>
      <c r="Q134" s="226">
        <f>P134*J161</f>
        <v>801.974</v>
      </c>
      <c r="R134" s="226">
        <f>G134+J134+M134+P134</f>
        <v>48.00999999999999</v>
      </c>
      <c r="S134" s="226">
        <f>H134+K134+N134+Q134</f>
        <v>2637.1204000000002</v>
      </c>
      <c r="U134" s="12"/>
      <c r="V134" s="11"/>
      <c r="W134" s="12"/>
    </row>
    <row r="135" spans="1:23" ht="36.75" customHeight="1">
      <c r="A135" s="339"/>
      <c r="B135" s="569"/>
      <c r="C135" s="570"/>
      <c r="D135" s="571"/>
      <c r="E135" s="340" t="s">
        <v>2</v>
      </c>
      <c r="F135" s="341"/>
      <c r="G135" s="226">
        <v>1.584</v>
      </c>
      <c r="H135" s="226">
        <f>G135*H163</f>
        <v>9041.59872</v>
      </c>
      <c r="I135" s="226"/>
      <c r="J135" s="226">
        <v>1.617</v>
      </c>
      <c r="K135" s="226">
        <f>J135*H163</f>
        <v>9229.96536</v>
      </c>
      <c r="L135" s="226"/>
      <c r="M135" s="226">
        <v>0.807</v>
      </c>
      <c r="N135" s="226">
        <f>M135*J163</f>
        <v>4905.31722</v>
      </c>
      <c r="O135" s="226"/>
      <c r="P135" s="226">
        <v>1.709</v>
      </c>
      <c r="Q135" s="226">
        <f>P135*J163</f>
        <v>10388.08814</v>
      </c>
      <c r="R135" s="226">
        <f>G135+J135+M135+P135</f>
        <v>5.7170000000000005</v>
      </c>
      <c r="S135" s="226">
        <v>33564.98</v>
      </c>
      <c r="U135" s="12"/>
      <c r="V135" s="11"/>
      <c r="W135" s="12"/>
    </row>
    <row r="136" spans="1:23" s="97" customFormat="1" ht="43.5" customHeight="1">
      <c r="A136" s="337">
        <v>6</v>
      </c>
      <c r="B136" s="590" t="s">
        <v>53</v>
      </c>
      <c r="C136" s="591"/>
      <c r="D136" s="592"/>
      <c r="E136" s="338" t="s">
        <v>80</v>
      </c>
      <c r="F136" s="342"/>
      <c r="G136" s="93"/>
      <c r="H136" s="93">
        <f>H139+H142+H145</f>
        <v>1202343.6571999998</v>
      </c>
      <c r="I136" s="93"/>
      <c r="J136" s="93"/>
      <c r="K136" s="93">
        <f>K139+K142+K145</f>
        <v>1216353.7371999999</v>
      </c>
      <c r="L136" s="93"/>
      <c r="M136" s="93"/>
      <c r="N136" s="93">
        <f>N139+N142+N145</f>
        <v>1255524.44</v>
      </c>
      <c r="O136" s="93"/>
      <c r="P136" s="93"/>
      <c r="Q136" s="93">
        <f>Q139+Q142+Q145</f>
        <v>1284905.14</v>
      </c>
      <c r="R136" s="93"/>
      <c r="S136" s="93">
        <f>S139+S142+S145</f>
        <v>4959126.98</v>
      </c>
      <c r="T136" s="94"/>
      <c r="U136" s="95"/>
      <c r="V136" s="96"/>
      <c r="W136" s="95"/>
    </row>
    <row r="137" spans="1:23" ht="43.5" customHeight="1">
      <c r="A137" s="339"/>
      <c r="B137" s="586"/>
      <c r="C137" s="587"/>
      <c r="D137" s="588"/>
      <c r="E137" s="346" t="s">
        <v>71</v>
      </c>
      <c r="F137" s="341"/>
      <c r="G137" s="60">
        <f>G140+G143+G146</f>
        <v>3225.73</v>
      </c>
      <c r="H137" s="60">
        <f>H140+H143+H146</f>
        <v>174318.4492</v>
      </c>
      <c r="I137" s="60"/>
      <c r="J137" s="60">
        <f>J140+J143+J146</f>
        <v>3273.73</v>
      </c>
      <c r="K137" s="60">
        <f>K140+K143+K146</f>
        <v>176912.3692</v>
      </c>
      <c r="L137" s="60"/>
      <c r="M137" s="60">
        <f>M140+M143+M146</f>
        <v>3293.73</v>
      </c>
      <c r="N137" s="60">
        <f>N140+N143+N146</f>
        <v>185107.62600000002</v>
      </c>
      <c r="O137" s="60"/>
      <c r="P137" s="60">
        <f>P140+P143+P146</f>
        <v>3275.73</v>
      </c>
      <c r="Q137" s="60">
        <f>Q140+Q143+Q146</f>
        <v>184096.026</v>
      </c>
      <c r="R137" s="60">
        <f>G137+J137+M137+P137</f>
        <v>13068.92</v>
      </c>
      <c r="S137" s="60">
        <v>720434.48</v>
      </c>
      <c r="U137" s="12"/>
      <c r="V137" s="11"/>
      <c r="W137" s="12"/>
    </row>
    <row r="138" spans="1:23" ht="43.5" customHeight="1">
      <c r="A138" s="339"/>
      <c r="B138" s="586"/>
      <c r="C138" s="587"/>
      <c r="D138" s="588"/>
      <c r="E138" s="346" t="s">
        <v>73</v>
      </c>
      <c r="F138" s="341"/>
      <c r="G138" s="60">
        <f>G141+G144+G147</f>
        <v>180.1</v>
      </c>
      <c r="H138" s="60">
        <f>H141+H144+H147</f>
        <v>1028025.208</v>
      </c>
      <c r="I138" s="60"/>
      <c r="J138" s="60">
        <f>J141+J144+J147</f>
        <v>182.1</v>
      </c>
      <c r="K138" s="60">
        <f>K141+K144+K147</f>
        <v>1039441.3679999999</v>
      </c>
      <c r="L138" s="60"/>
      <c r="M138" s="60">
        <f>M141+M144+M147</f>
        <v>176.1</v>
      </c>
      <c r="N138" s="60">
        <f>N141+N144+N147</f>
        <v>1070416.8059999999</v>
      </c>
      <c r="O138" s="60"/>
      <c r="P138" s="60">
        <f>P141+P144+P147</f>
        <v>181.1</v>
      </c>
      <c r="Q138" s="60">
        <f>Q141+Q144+Q147</f>
        <v>1100809.106</v>
      </c>
      <c r="R138" s="60">
        <f>G138+J138+M138+P138</f>
        <v>719.4</v>
      </c>
      <c r="S138" s="60">
        <v>4238692.5</v>
      </c>
      <c r="U138" s="12"/>
      <c r="V138" s="11"/>
      <c r="W138" s="12"/>
    </row>
    <row r="139" spans="1:23" ht="45" customHeight="1">
      <c r="A139" s="339"/>
      <c r="B139" s="422" t="s">
        <v>140</v>
      </c>
      <c r="C139" s="423"/>
      <c r="D139" s="424"/>
      <c r="E139" s="347"/>
      <c r="F139" s="341"/>
      <c r="G139" s="226"/>
      <c r="H139" s="226">
        <f>H140+H141</f>
        <v>18907.559999999998</v>
      </c>
      <c r="I139" s="226"/>
      <c r="J139" s="226"/>
      <c r="K139" s="226">
        <f>K140+K141</f>
        <v>13091.4</v>
      </c>
      <c r="L139" s="226"/>
      <c r="M139" s="226"/>
      <c r="N139" s="226">
        <f>N140+N141</f>
        <v>7820.66</v>
      </c>
      <c r="O139" s="226"/>
      <c r="P139" s="226"/>
      <c r="Q139" s="226">
        <f>Q140+Q141</f>
        <v>20089.98</v>
      </c>
      <c r="R139" s="226"/>
      <c r="S139" s="226">
        <f>S140+S141</f>
        <v>59909.600000000006</v>
      </c>
      <c r="U139" s="12"/>
      <c r="V139" s="11"/>
      <c r="W139" s="12"/>
    </row>
    <row r="140" spans="1:23" ht="50.25" customHeight="1">
      <c r="A140" s="339"/>
      <c r="B140" s="569"/>
      <c r="C140" s="570"/>
      <c r="D140" s="571"/>
      <c r="E140" s="340" t="s">
        <v>71</v>
      </c>
      <c r="F140" s="341"/>
      <c r="G140" s="226">
        <v>33</v>
      </c>
      <c r="H140" s="226">
        <f>G140*H161</f>
        <v>1783.32</v>
      </c>
      <c r="I140" s="226"/>
      <c r="J140" s="226">
        <v>31</v>
      </c>
      <c r="K140" s="226">
        <f>J140*H161</f>
        <v>1675.24</v>
      </c>
      <c r="L140" s="226"/>
      <c r="M140" s="226">
        <v>31</v>
      </c>
      <c r="N140" s="226">
        <f>M140*J161</f>
        <v>1742.2</v>
      </c>
      <c r="O140" s="226"/>
      <c r="P140" s="226">
        <v>33</v>
      </c>
      <c r="Q140" s="226">
        <f>P140*J161</f>
        <v>1854.6000000000001</v>
      </c>
      <c r="R140" s="226">
        <f>G140+J140+M140+P140</f>
        <v>128</v>
      </c>
      <c r="S140" s="226">
        <f>H140+K140+N140+Q140</f>
        <v>7055.360000000001</v>
      </c>
      <c r="U140" s="12"/>
      <c r="V140" s="11"/>
      <c r="W140" s="12"/>
    </row>
    <row r="141" spans="1:23" ht="48" customHeight="1">
      <c r="A141" s="339"/>
      <c r="B141" s="569"/>
      <c r="C141" s="570"/>
      <c r="D141" s="571"/>
      <c r="E141" s="340" t="s">
        <v>2</v>
      </c>
      <c r="F141" s="341"/>
      <c r="G141" s="226">
        <v>3</v>
      </c>
      <c r="H141" s="226">
        <f>G141*H163</f>
        <v>17124.239999999998</v>
      </c>
      <c r="I141" s="226"/>
      <c r="J141" s="226">
        <v>2</v>
      </c>
      <c r="K141" s="226">
        <f>J141*H163</f>
        <v>11416.16</v>
      </c>
      <c r="L141" s="226"/>
      <c r="M141" s="226">
        <v>1</v>
      </c>
      <c r="N141" s="226">
        <f>M141*J163</f>
        <v>6078.46</v>
      </c>
      <c r="O141" s="226"/>
      <c r="P141" s="226">
        <v>3</v>
      </c>
      <c r="Q141" s="226">
        <f>P141*J163</f>
        <v>18235.38</v>
      </c>
      <c r="R141" s="226">
        <f>G141+J141+M141+P141</f>
        <v>9</v>
      </c>
      <c r="S141" s="226">
        <f>H141+K141+N141+Q141</f>
        <v>52854.240000000005</v>
      </c>
      <c r="U141" s="12"/>
      <c r="V141" s="11"/>
      <c r="W141" s="12"/>
    </row>
    <row r="142" spans="1:23" ht="46.5" customHeight="1">
      <c r="A142" s="339"/>
      <c r="B142" s="576" t="s">
        <v>55</v>
      </c>
      <c r="C142" s="577"/>
      <c r="D142" s="578"/>
      <c r="E142" s="347"/>
      <c r="F142" s="341"/>
      <c r="G142" s="226"/>
      <c r="H142" s="226">
        <f>H143+H144</f>
        <v>45360.56</v>
      </c>
      <c r="I142" s="226"/>
      <c r="J142" s="226"/>
      <c r="K142" s="226">
        <f>K143+K144</f>
        <v>65186.8</v>
      </c>
      <c r="L142" s="226"/>
      <c r="M142" s="226"/>
      <c r="N142" s="226">
        <f>N143+N144</f>
        <v>39946.3</v>
      </c>
      <c r="O142" s="226"/>
      <c r="P142" s="226"/>
      <c r="Q142" s="226">
        <f>Q143+Q144</f>
        <v>57057.68</v>
      </c>
      <c r="R142" s="226"/>
      <c r="S142" s="226">
        <f>S143+S144</f>
        <v>207551.34</v>
      </c>
      <c r="U142" s="12"/>
      <c r="V142" s="11"/>
      <c r="W142" s="12"/>
    </row>
    <row r="143" spans="1:23" ht="52.5" customHeight="1">
      <c r="A143" s="339"/>
      <c r="B143" s="569"/>
      <c r="C143" s="570"/>
      <c r="D143" s="571"/>
      <c r="E143" s="340" t="s">
        <v>71</v>
      </c>
      <c r="F143" s="341"/>
      <c r="G143" s="226">
        <v>100</v>
      </c>
      <c r="H143" s="226">
        <f>G143*H161</f>
        <v>5404</v>
      </c>
      <c r="I143" s="226"/>
      <c r="J143" s="226">
        <v>150</v>
      </c>
      <c r="K143" s="226">
        <f>J143*H161</f>
        <v>8106</v>
      </c>
      <c r="L143" s="226"/>
      <c r="M143" s="226">
        <v>170</v>
      </c>
      <c r="N143" s="226">
        <f>M143*J161</f>
        <v>9554</v>
      </c>
      <c r="O143" s="226"/>
      <c r="P143" s="226">
        <v>150</v>
      </c>
      <c r="Q143" s="226">
        <f>P143*J161</f>
        <v>8430</v>
      </c>
      <c r="R143" s="226">
        <f>G143+J143+M143+P143</f>
        <v>570</v>
      </c>
      <c r="S143" s="226">
        <f>H143+K143+N143+Q143</f>
        <v>31494</v>
      </c>
      <c r="U143" s="12"/>
      <c r="V143" s="11"/>
      <c r="W143" s="12"/>
    </row>
    <row r="144" spans="1:23" ht="44.25" customHeight="1">
      <c r="A144" s="339"/>
      <c r="B144" s="569"/>
      <c r="C144" s="570"/>
      <c r="D144" s="571"/>
      <c r="E144" s="340" t="s">
        <v>2</v>
      </c>
      <c r="F144" s="341"/>
      <c r="G144" s="226">
        <v>7</v>
      </c>
      <c r="H144" s="226">
        <f>G144*H164</f>
        <v>39956.56</v>
      </c>
      <c r="I144" s="226"/>
      <c r="J144" s="226">
        <v>10</v>
      </c>
      <c r="K144" s="226">
        <f>J144*H164</f>
        <v>57080.8</v>
      </c>
      <c r="L144" s="226"/>
      <c r="M144" s="226">
        <v>5</v>
      </c>
      <c r="N144" s="226">
        <f>M144*J164</f>
        <v>30392.3</v>
      </c>
      <c r="O144" s="226"/>
      <c r="P144" s="226">
        <v>8</v>
      </c>
      <c r="Q144" s="226">
        <f>P144*J164</f>
        <v>48627.68</v>
      </c>
      <c r="R144" s="226">
        <f>G144+J144+M144+P144</f>
        <v>30</v>
      </c>
      <c r="S144" s="226">
        <f>H144+K144+N144+Q144</f>
        <v>176057.34</v>
      </c>
      <c r="U144" s="12"/>
      <c r="V144" s="11"/>
      <c r="W144" s="12"/>
    </row>
    <row r="145" spans="1:23" ht="51.75" customHeight="1">
      <c r="A145" s="339"/>
      <c r="B145" s="573" t="s">
        <v>84</v>
      </c>
      <c r="C145" s="574"/>
      <c r="D145" s="575"/>
      <c r="E145" s="347"/>
      <c r="F145" s="341"/>
      <c r="G145" s="226"/>
      <c r="H145" s="226">
        <f>SUM(H146:H147)</f>
        <v>1138075.5372</v>
      </c>
      <c r="I145" s="226"/>
      <c r="J145" s="226"/>
      <c r="K145" s="226">
        <f>SUM(K146:K147)</f>
        <v>1138075.5372</v>
      </c>
      <c r="L145" s="226"/>
      <c r="M145" s="226"/>
      <c r="N145" s="226">
        <v>1207757.48</v>
      </c>
      <c r="O145" s="226"/>
      <c r="P145" s="226"/>
      <c r="Q145" s="226">
        <v>1207757.48</v>
      </c>
      <c r="R145" s="226"/>
      <c r="S145" s="226">
        <f>SUM(S146:S147)</f>
        <v>4691666.04</v>
      </c>
      <c r="U145" s="12"/>
      <c r="V145" s="11"/>
      <c r="W145" s="12"/>
    </row>
    <row r="146" spans="1:23" ht="46.5" customHeight="1">
      <c r="A146" s="339"/>
      <c r="B146" s="352"/>
      <c r="C146" s="352"/>
      <c r="D146" s="353"/>
      <c r="E146" s="340" t="s">
        <v>71</v>
      </c>
      <c r="F146" s="341"/>
      <c r="G146" s="226">
        <v>3092.73</v>
      </c>
      <c r="H146" s="226">
        <f>SUM(G146)*H161</f>
        <v>167131.1292</v>
      </c>
      <c r="I146" s="226"/>
      <c r="J146" s="226">
        <v>3092.73</v>
      </c>
      <c r="K146" s="226">
        <f>SUM(J146)*H161</f>
        <v>167131.1292</v>
      </c>
      <c r="L146" s="226"/>
      <c r="M146" s="226">
        <v>3092.73</v>
      </c>
      <c r="N146" s="226">
        <f>SUM(M146)*J161</f>
        <v>173811.426</v>
      </c>
      <c r="O146" s="226"/>
      <c r="P146" s="226">
        <v>3092.73</v>
      </c>
      <c r="Q146" s="226">
        <f>SUM(P146)*J161</f>
        <v>173811.426</v>
      </c>
      <c r="R146" s="226">
        <f>SUM(G146)+J146+M146+P146</f>
        <v>12370.92</v>
      </c>
      <c r="S146" s="226">
        <v>681885.12</v>
      </c>
      <c r="U146" s="12"/>
      <c r="V146" s="11"/>
      <c r="W146" s="12"/>
    </row>
    <row r="147" spans="1:23" ht="48" customHeight="1">
      <c r="A147" s="339"/>
      <c r="B147" s="576"/>
      <c r="C147" s="577"/>
      <c r="D147" s="578"/>
      <c r="E147" s="340" t="s">
        <v>2</v>
      </c>
      <c r="F147" s="341"/>
      <c r="G147" s="226">
        <v>170.1</v>
      </c>
      <c r="H147" s="226">
        <f>SUM(G147)*H163</f>
        <v>970944.4079999999</v>
      </c>
      <c r="I147" s="226"/>
      <c r="J147" s="226">
        <v>170.1</v>
      </c>
      <c r="K147" s="226">
        <f>SUM(J147)*H163</f>
        <v>970944.4079999999</v>
      </c>
      <c r="L147" s="226"/>
      <c r="M147" s="226">
        <v>170.1</v>
      </c>
      <c r="N147" s="226">
        <f>SUM(M147)*J163</f>
        <v>1033946.046</v>
      </c>
      <c r="O147" s="226"/>
      <c r="P147" s="226">
        <v>170.1</v>
      </c>
      <c r="Q147" s="226">
        <f>SUM(P147)*J163</f>
        <v>1033946.046</v>
      </c>
      <c r="R147" s="226">
        <f>SUM(G147)+J147+M147+P147</f>
        <v>680.4</v>
      </c>
      <c r="S147" s="226">
        <v>4009780.92</v>
      </c>
      <c r="U147" s="12"/>
      <c r="V147" s="11"/>
      <c r="W147" s="12"/>
    </row>
    <row r="148" spans="1:23" ht="48" customHeight="1">
      <c r="A148" s="354">
        <v>7</v>
      </c>
      <c r="B148" s="579" t="s">
        <v>85</v>
      </c>
      <c r="C148" s="580"/>
      <c r="D148" s="581"/>
      <c r="E148" s="355" t="s">
        <v>80</v>
      </c>
      <c r="F148" s="356"/>
      <c r="G148" s="281"/>
      <c r="H148" s="281">
        <f>H151+H154</f>
        <v>5426.716399999999</v>
      </c>
      <c r="I148" s="281"/>
      <c r="J148" s="281"/>
      <c r="K148" s="281">
        <f>K151+K154</f>
        <v>4826.5252</v>
      </c>
      <c r="L148" s="281"/>
      <c r="M148" s="281"/>
      <c r="N148" s="281">
        <f>N151+N154</f>
        <v>5401.548799999999</v>
      </c>
      <c r="O148" s="281"/>
      <c r="P148" s="281"/>
      <c r="Q148" s="281">
        <f>Q151+Q154</f>
        <v>5822.456399999999</v>
      </c>
      <c r="R148" s="281"/>
      <c r="S148" s="281">
        <f>S151+S154</f>
        <v>21477.257599999997</v>
      </c>
      <c r="U148" s="12"/>
      <c r="V148" s="11"/>
      <c r="W148" s="12"/>
    </row>
    <row r="149" spans="1:23" ht="48" customHeight="1">
      <c r="A149" s="354"/>
      <c r="B149" s="357"/>
      <c r="C149" s="358"/>
      <c r="D149" s="359"/>
      <c r="E149" s="375" t="s">
        <v>71</v>
      </c>
      <c r="F149" s="341"/>
      <c r="G149" s="60">
        <f>G152+G155</f>
        <v>12.75</v>
      </c>
      <c r="H149" s="60">
        <f aca="true" t="shared" si="17" ref="H149:Q150">H152+H155</f>
        <v>689.01</v>
      </c>
      <c r="I149" s="226">
        <f t="shared" si="17"/>
        <v>0</v>
      </c>
      <c r="J149" s="60">
        <f t="shared" si="17"/>
        <v>11.15</v>
      </c>
      <c r="K149" s="60">
        <f t="shared" si="17"/>
        <v>602.5459999999999</v>
      </c>
      <c r="L149" s="226">
        <f t="shared" si="17"/>
        <v>0</v>
      </c>
      <c r="M149" s="60">
        <f t="shared" si="17"/>
        <v>11.75</v>
      </c>
      <c r="N149" s="60">
        <f t="shared" si="17"/>
        <v>660.35</v>
      </c>
      <c r="O149" s="226">
        <f t="shared" si="17"/>
        <v>0</v>
      </c>
      <c r="P149" s="60">
        <f t="shared" si="17"/>
        <v>12.75</v>
      </c>
      <c r="Q149" s="60">
        <f t="shared" si="17"/>
        <v>716.55</v>
      </c>
      <c r="R149" s="60">
        <f aca="true" t="shared" si="18" ref="R149:S156">SUM(G149)+J149+M149+P149</f>
        <v>48.4</v>
      </c>
      <c r="S149" s="60">
        <f t="shared" si="18"/>
        <v>2668.456</v>
      </c>
      <c r="U149" s="12"/>
      <c r="V149" s="11"/>
      <c r="W149" s="12"/>
    </row>
    <row r="150" spans="1:23" ht="48" customHeight="1">
      <c r="A150" s="354"/>
      <c r="B150" s="357"/>
      <c r="C150" s="358"/>
      <c r="D150" s="359"/>
      <c r="E150" s="375" t="s">
        <v>73</v>
      </c>
      <c r="F150" s="341"/>
      <c r="G150" s="60">
        <f>G153+G156</f>
        <v>0.83</v>
      </c>
      <c r="H150" s="60">
        <f t="shared" si="17"/>
        <v>4737.706399999999</v>
      </c>
      <c r="I150" s="226">
        <f t="shared" si="17"/>
        <v>0</v>
      </c>
      <c r="J150" s="60">
        <f t="shared" si="17"/>
        <v>0.74</v>
      </c>
      <c r="K150" s="60">
        <f t="shared" si="17"/>
        <v>4223.9792</v>
      </c>
      <c r="L150" s="226">
        <f t="shared" si="17"/>
        <v>0</v>
      </c>
      <c r="M150" s="60">
        <f t="shared" si="17"/>
        <v>0.78</v>
      </c>
      <c r="N150" s="60">
        <f t="shared" si="17"/>
        <v>4741.198799999999</v>
      </c>
      <c r="O150" s="226">
        <f t="shared" si="17"/>
        <v>0</v>
      </c>
      <c r="P150" s="60">
        <f t="shared" si="17"/>
        <v>0.84</v>
      </c>
      <c r="Q150" s="60">
        <f t="shared" si="17"/>
        <v>5105.9064</v>
      </c>
      <c r="R150" s="60">
        <f t="shared" si="18"/>
        <v>3.1899999999999995</v>
      </c>
      <c r="S150" s="60">
        <v>18808.8</v>
      </c>
      <c r="U150" s="12"/>
      <c r="V150" s="11"/>
      <c r="W150" s="12"/>
    </row>
    <row r="151" spans="1:23" ht="48" customHeight="1">
      <c r="A151" s="354"/>
      <c r="B151" s="573" t="s">
        <v>86</v>
      </c>
      <c r="C151" s="574"/>
      <c r="D151" s="575"/>
      <c r="E151" s="340"/>
      <c r="F151" s="341"/>
      <c r="G151" s="226"/>
      <c r="H151" s="226">
        <f>SUM(H152:H153)</f>
        <v>735.9688</v>
      </c>
      <c r="I151" s="226"/>
      <c r="J151" s="226"/>
      <c r="K151" s="226">
        <f>SUM(K152:K153)</f>
        <v>135.7776</v>
      </c>
      <c r="L151" s="226"/>
      <c r="M151" s="226"/>
      <c r="N151" s="226">
        <f>SUM(N152:N153)</f>
        <v>420.9076</v>
      </c>
      <c r="O151" s="226"/>
      <c r="P151" s="226"/>
      <c r="Q151" s="226">
        <f>SUM(Q152:Q153)</f>
        <v>841.8152</v>
      </c>
      <c r="R151" s="226"/>
      <c r="S151" s="226">
        <v>2134.48</v>
      </c>
      <c r="U151" s="12"/>
      <c r="V151" s="11"/>
      <c r="W151" s="12"/>
    </row>
    <row r="152" spans="1:23" ht="48" customHeight="1">
      <c r="A152" s="354"/>
      <c r="B152" s="360"/>
      <c r="C152" s="361"/>
      <c r="D152" s="362"/>
      <c r="E152" s="340" t="s">
        <v>71</v>
      </c>
      <c r="F152" s="341"/>
      <c r="G152" s="226">
        <v>2</v>
      </c>
      <c r="H152" s="226">
        <f>SUM(G152)*H161</f>
        <v>108.08</v>
      </c>
      <c r="I152" s="226"/>
      <c r="J152" s="226">
        <v>0.4</v>
      </c>
      <c r="K152" s="226">
        <f>SUM(J152)*H161</f>
        <v>21.616</v>
      </c>
      <c r="L152" s="226"/>
      <c r="M152" s="226">
        <v>1</v>
      </c>
      <c r="N152" s="226">
        <f>SUM(M152)*J161</f>
        <v>56.2</v>
      </c>
      <c r="O152" s="226"/>
      <c r="P152" s="226">
        <v>2</v>
      </c>
      <c r="Q152" s="226">
        <f>SUM(P152)*J161</f>
        <v>112.4</v>
      </c>
      <c r="R152" s="226">
        <f t="shared" si="18"/>
        <v>5.4</v>
      </c>
      <c r="S152" s="226">
        <f t="shared" si="18"/>
        <v>298.29600000000005</v>
      </c>
      <c r="U152" s="12"/>
      <c r="V152" s="11"/>
      <c r="W152" s="12"/>
    </row>
    <row r="153" spans="1:23" ht="48" customHeight="1">
      <c r="A153" s="354"/>
      <c r="B153" s="360"/>
      <c r="C153" s="361"/>
      <c r="D153" s="362"/>
      <c r="E153" s="340" t="s">
        <v>2</v>
      </c>
      <c r="F153" s="341"/>
      <c r="G153" s="226">
        <v>0.11</v>
      </c>
      <c r="H153" s="226">
        <f>SUM(G153)*H163</f>
        <v>627.8888</v>
      </c>
      <c r="I153" s="226"/>
      <c r="J153" s="226">
        <v>0.02</v>
      </c>
      <c r="K153" s="226">
        <f>SUM(J153)*H163</f>
        <v>114.1616</v>
      </c>
      <c r="L153" s="226"/>
      <c r="M153" s="226">
        <v>0.06</v>
      </c>
      <c r="N153" s="226">
        <f>SUM(M153)*J163</f>
        <v>364.7076</v>
      </c>
      <c r="O153" s="226"/>
      <c r="P153" s="226">
        <v>0.12</v>
      </c>
      <c r="Q153" s="226">
        <f>SUM(P153)*J163</f>
        <v>729.4152</v>
      </c>
      <c r="R153" s="226">
        <f t="shared" si="18"/>
        <v>0.31</v>
      </c>
      <c r="S153" s="226">
        <v>1836.18</v>
      </c>
      <c r="U153" s="12"/>
      <c r="V153" s="11"/>
      <c r="W153" s="12"/>
    </row>
    <row r="154" spans="1:23" ht="48" customHeight="1">
      <c r="A154" s="354"/>
      <c r="B154" s="573" t="s">
        <v>87</v>
      </c>
      <c r="C154" s="574"/>
      <c r="D154" s="575"/>
      <c r="E154" s="340"/>
      <c r="F154" s="341"/>
      <c r="G154" s="226"/>
      <c r="H154" s="226">
        <f>SUM(H155:H156)</f>
        <v>4690.7476</v>
      </c>
      <c r="I154" s="226"/>
      <c r="J154" s="226"/>
      <c r="K154" s="226">
        <f>SUM(K155:K156)</f>
        <v>4690.7476</v>
      </c>
      <c r="L154" s="226"/>
      <c r="M154" s="226"/>
      <c r="N154" s="226">
        <f>SUM(N155:N156)</f>
        <v>4980.641199999999</v>
      </c>
      <c r="O154" s="226"/>
      <c r="P154" s="226"/>
      <c r="Q154" s="226">
        <f>SUM(Q155:Q156)</f>
        <v>4980.641199999999</v>
      </c>
      <c r="R154" s="226"/>
      <c r="S154" s="226">
        <f t="shared" si="18"/>
        <v>19342.777599999998</v>
      </c>
      <c r="U154" s="12"/>
      <c r="V154" s="11"/>
      <c r="W154" s="12"/>
    </row>
    <row r="155" spans="1:23" ht="48" customHeight="1">
      <c r="A155" s="354"/>
      <c r="B155" s="360"/>
      <c r="C155" s="361"/>
      <c r="D155" s="362"/>
      <c r="E155" s="340" t="s">
        <v>71</v>
      </c>
      <c r="F155" s="341"/>
      <c r="G155" s="226">
        <v>10.75</v>
      </c>
      <c r="H155" s="226">
        <f>SUM(G155)*H161</f>
        <v>580.93</v>
      </c>
      <c r="I155" s="226"/>
      <c r="J155" s="226">
        <v>10.75</v>
      </c>
      <c r="K155" s="226">
        <f>SUM(J155)*H161</f>
        <v>580.93</v>
      </c>
      <c r="L155" s="226"/>
      <c r="M155" s="226">
        <v>10.75</v>
      </c>
      <c r="N155" s="226">
        <f>SUM(M155)*J161</f>
        <v>604.15</v>
      </c>
      <c r="O155" s="226"/>
      <c r="P155" s="226">
        <v>10.75</v>
      </c>
      <c r="Q155" s="226">
        <f>SUM(P155)*J161</f>
        <v>604.15</v>
      </c>
      <c r="R155" s="226">
        <f t="shared" si="18"/>
        <v>43</v>
      </c>
      <c r="S155" s="226">
        <f t="shared" si="18"/>
        <v>2370.16</v>
      </c>
      <c r="U155" s="12"/>
      <c r="V155" s="11"/>
      <c r="W155" s="12"/>
    </row>
    <row r="156" spans="1:23" ht="48" customHeight="1">
      <c r="A156" s="354"/>
      <c r="B156" s="360"/>
      <c r="C156" s="361"/>
      <c r="D156" s="362"/>
      <c r="E156" s="340" t="s">
        <v>2</v>
      </c>
      <c r="F156" s="341"/>
      <c r="G156" s="226">
        <v>0.72</v>
      </c>
      <c r="H156" s="226">
        <f>SUM(G156)*H163</f>
        <v>4109.817599999999</v>
      </c>
      <c r="I156" s="226"/>
      <c r="J156" s="226">
        <v>0.72</v>
      </c>
      <c r="K156" s="226">
        <f>SUM(J156)*H163</f>
        <v>4109.817599999999</v>
      </c>
      <c r="L156" s="226"/>
      <c r="M156" s="226">
        <v>0.72</v>
      </c>
      <c r="N156" s="226">
        <f>SUM(M156)*J163</f>
        <v>4376.4911999999995</v>
      </c>
      <c r="O156" s="226"/>
      <c r="P156" s="226">
        <v>0.72</v>
      </c>
      <c r="Q156" s="226">
        <f>SUM(P156)*J163</f>
        <v>4376.4911999999995</v>
      </c>
      <c r="R156" s="226">
        <f t="shared" si="18"/>
        <v>2.88</v>
      </c>
      <c r="S156" s="226">
        <f t="shared" si="18"/>
        <v>16972.617599999998</v>
      </c>
      <c r="U156" s="12"/>
      <c r="V156" s="11"/>
      <c r="W156" s="12"/>
    </row>
    <row r="157" spans="1:23" ht="57" customHeight="1">
      <c r="A157" s="363"/>
      <c r="B157" s="582" t="s">
        <v>19</v>
      </c>
      <c r="C157" s="582"/>
      <c r="D157" s="582"/>
      <c r="E157" s="364"/>
      <c r="F157" s="339">
        <f>SUM(F70:F110)</f>
        <v>1552.1</v>
      </c>
      <c r="G157" s="60"/>
      <c r="H157" s="62">
        <v>2077774.35</v>
      </c>
      <c r="I157" s="60">
        <f>SUM(I70:I110)</f>
        <v>0</v>
      </c>
      <c r="J157" s="60">
        <f>J70+J73+J94+J109+J121+J136</f>
        <v>0</v>
      </c>
      <c r="K157" s="60">
        <v>2098644.11</v>
      </c>
      <c r="L157" s="60">
        <f>SUM(L70:L110)</f>
        <v>0</v>
      </c>
      <c r="M157" s="60">
        <f>M70+M73+M94+M109+M121+M136</f>
        <v>0</v>
      </c>
      <c r="N157" s="60">
        <f>N70+N73+N94+N109+N121+N136+N148</f>
        <v>2009278.5800199998</v>
      </c>
      <c r="O157" s="60">
        <f>SUM(O70:O110)</f>
        <v>0</v>
      </c>
      <c r="P157" s="60">
        <f>P70+P73+P94+P109+P121+P136</f>
        <v>0</v>
      </c>
      <c r="Q157" s="60">
        <f>Q70+Q73+Q94+Q109+Q121+Q136+Q148</f>
        <v>2299406.3282</v>
      </c>
      <c r="R157" s="60">
        <f>R70+R73+R94+R109+R121+R136</f>
        <v>0</v>
      </c>
      <c r="S157" s="60">
        <f>S70+S73+S94+S109+S121+S136+S148</f>
        <v>8485103.36958</v>
      </c>
      <c r="U157" s="12"/>
      <c r="V157" s="12"/>
      <c r="W157" s="12"/>
    </row>
    <row r="158" spans="1:23" ht="57" customHeight="1">
      <c r="A158" s="363"/>
      <c r="B158" s="365"/>
      <c r="C158" s="366"/>
      <c r="D158" s="367"/>
      <c r="E158" s="367"/>
      <c r="F158" s="339"/>
      <c r="G158" s="60">
        <f>G71+G74+G95+G113+G122+G137+G149</f>
        <v>5680.889</v>
      </c>
      <c r="H158" s="62">
        <f>H71+H74+H95+H113+H122+H137+H149</f>
        <v>321609.30998</v>
      </c>
      <c r="I158" s="60"/>
      <c r="J158" s="60">
        <f>J71+J74+J95+J113+J122+J137+J149</f>
        <v>5822.466999999999</v>
      </c>
      <c r="K158" s="60">
        <f>K71+K74+K95+K113+K122+K137+K149</f>
        <v>330258.07863999996</v>
      </c>
      <c r="L158" s="60"/>
      <c r="M158" s="60">
        <f>M71+M74+M95+M113+M122+M137+M149</f>
        <v>5381.492</v>
      </c>
      <c r="N158" s="60">
        <f>N71+N74+N95+N113+N122+N137+N149</f>
        <v>316658.45032</v>
      </c>
      <c r="O158" s="60"/>
      <c r="P158" s="60">
        <f>P71+P74+P95+P113+P122+P137+P149</f>
        <v>5907.485</v>
      </c>
      <c r="Q158" s="60">
        <f>Q71+Q74+Q95+Q113+Q122+Q137+Q149</f>
        <v>348311.86692</v>
      </c>
      <c r="R158" s="60">
        <f>SUM(G158)+J158+M158+P158</f>
        <v>22792.333</v>
      </c>
      <c r="S158" s="60">
        <v>1316837.71</v>
      </c>
      <c r="U158" s="12"/>
      <c r="V158" s="12"/>
      <c r="W158" s="12"/>
    </row>
    <row r="159" spans="1:23" ht="57" customHeight="1">
      <c r="A159" s="363"/>
      <c r="B159" s="365"/>
      <c r="C159" s="366"/>
      <c r="D159" s="367"/>
      <c r="E159" s="367"/>
      <c r="F159" s="339"/>
      <c r="G159" s="60">
        <f>G72+G75+G96+G114+G123+G138+G150</f>
        <v>307.66299999999995</v>
      </c>
      <c r="H159" s="62">
        <v>1756165.04</v>
      </c>
      <c r="I159" s="60"/>
      <c r="J159" s="60">
        <f>J72+J75+J96+J114+J123+J138+J150</f>
        <v>309.80400000000003</v>
      </c>
      <c r="K159" s="60">
        <v>1768386.03</v>
      </c>
      <c r="L159" s="60"/>
      <c r="M159" s="60">
        <f>M72+M75+M96+M114+M123+M138+M150</f>
        <v>278.462</v>
      </c>
      <c r="N159" s="60">
        <v>1692620.13</v>
      </c>
      <c r="O159" s="60"/>
      <c r="P159" s="60">
        <f>P72+P75+P96+P114+P123+P138+P150</f>
        <v>320.98499999999996</v>
      </c>
      <c r="Q159" s="60">
        <v>1951094.46</v>
      </c>
      <c r="R159" s="60">
        <f>R72+R75+R96+R114+R123+R138+R150</f>
        <v>1216.914</v>
      </c>
      <c r="S159" s="60">
        <f>S72+S75+S96+S114+S123+S138+S150</f>
        <v>7168265.65936</v>
      </c>
      <c r="U159" s="12"/>
      <c r="V159" s="12"/>
      <c r="W159" s="12"/>
    </row>
    <row r="160" spans="1:23" ht="57" customHeight="1">
      <c r="A160" s="287"/>
      <c r="B160" s="583" t="s">
        <v>8</v>
      </c>
      <c r="C160" s="584"/>
      <c r="D160" s="585"/>
      <c r="E160" s="288"/>
      <c r="F160" s="484" t="s">
        <v>128</v>
      </c>
      <c r="G160" s="484"/>
      <c r="H160" s="484"/>
      <c r="I160" s="484"/>
      <c r="J160" s="484"/>
      <c r="K160" s="484"/>
      <c r="L160" s="484"/>
      <c r="M160" s="484"/>
      <c r="N160" s="484"/>
      <c r="O160" s="484"/>
      <c r="P160" s="484"/>
      <c r="Q160" s="484"/>
      <c r="R160" s="484"/>
      <c r="S160" s="484"/>
      <c r="U160" s="12"/>
      <c r="V160" s="12"/>
      <c r="W160" s="12"/>
    </row>
    <row r="161" spans="1:20" s="12" customFormat="1" ht="24.75" customHeight="1">
      <c r="A161" s="289"/>
      <c r="B161" s="290"/>
      <c r="C161" s="290"/>
      <c r="D161" s="290"/>
      <c r="E161" s="290"/>
      <c r="F161" s="291" t="s">
        <v>18</v>
      </c>
      <c r="G161" s="291" t="s">
        <v>18</v>
      </c>
      <c r="H161" s="292">
        <v>54.04</v>
      </c>
      <c r="I161" s="292" t="s">
        <v>16</v>
      </c>
      <c r="J161" s="292">
        <v>56.2</v>
      </c>
      <c r="K161" s="293"/>
      <c r="L161" s="293"/>
      <c r="M161" s="293"/>
      <c r="N161" s="293"/>
      <c r="O161" s="293"/>
      <c r="P161" s="293"/>
      <c r="Q161" s="293"/>
      <c r="R161" s="293"/>
      <c r="S161" s="293"/>
      <c r="T161" s="165"/>
    </row>
    <row r="162" spans="1:20" s="12" customFormat="1" ht="55.5" customHeight="1">
      <c r="A162" s="289"/>
      <c r="B162" s="290"/>
      <c r="C162" s="290"/>
      <c r="D162" s="290"/>
      <c r="E162" s="290"/>
      <c r="F162" s="291" t="s">
        <v>13</v>
      </c>
      <c r="G162" s="291" t="s">
        <v>32</v>
      </c>
      <c r="H162" s="292">
        <v>63.58</v>
      </c>
      <c r="I162" s="292"/>
      <c r="J162" s="292">
        <v>66.12</v>
      </c>
      <c r="K162" s="293"/>
      <c r="L162" s="293"/>
      <c r="M162" s="294" t="s">
        <v>74</v>
      </c>
      <c r="N162" s="293" t="s">
        <v>75</v>
      </c>
      <c r="O162" s="293"/>
      <c r="P162" s="293" t="s">
        <v>13</v>
      </c>
      <c r="Q162" s="293"/>
      <c r="R162" s="293"/>
      <c r="S162" s="293"/>
      <c r="T162" s="165"/>
    </row>
    <row r="163" spans="1:20" s="12" customFormat="1" ht="24" customHeight="1">
      <c r="A163" s="289"/>
      <c r="B163" s="290"/>
      <c r="C163" s="290"/>
      <c r="D163" s="290"/>
      <c r="E163" s="290"/>
      <c r="F163" s="291"/>
      <c r="G163" s="291"/>
      <c r="H163" s="295">
        <v>5708.08</v>
      </c>
      <c r="I163" s="295"/>
      <c r="J163" s="295">
        <v>6078.46</v>
      </c>
      <c r="K163" s="293"/>
      <c r="L163" s="293"/>
      <c r="M163" s="293" t="s">
        <v>76</v>
      </c>
      <c r="N163" s="293">
        <v>0.06054</v>
      </c>
      <c r="O163" s="293"/>
      <c r="P163" s="293">
        <v>0.05688</v>
      </c>
      <c r="Q163" s="296"/>
      <c r="R163" s="296"/>
      <c r="S163" s="297"/>
      <c r="T163" s="165"/>
    </row>
    <row r="164" spans="1:20" s="12" customFormat="1" ht="21" customHeight="1">
      <c r="A164" s="289"/>
      <c r="B164" s="290"/>
      <c r="C164" s="290"/>
      <c r="D164" s="290"/>
      <c r="E164" s="290"/>
      <c r="F164" s="291"/>
      <c r="G164" s="291"/>
      <c r="H164" s="295">
        <v>5708.08</v>
      </c>
      <c r="I164" s="295"/>
      <c r="J164" s="295">
        <v>6078.46</v>
      </c>
      <c r="K164" s="293"/>
      <c r="L164" s="293"/>
      <c r="M164" s="293" t="s">
        <v>77</v>
      </c>
      <c r="N164" s="293">
        <v>0.06054</v>
      </c>
      <c r="O164" s="293"/>
      <c r="P164" s="293">
        <v>0.05688</v>
      </c>
      <c r="Q164" s="572"/>
      <c r="R164" s="572"/>
      <c r="S164" s="572"/>
      <c r="T164" s="165"/>
    </row>
    <row r="165" spans="1:20" s="12" customFormat="1" ht="15" customHeight="1">
      <c r="A165" s="185"/>
      <c r="B165" s="186"/>
      <c r="C165" s="186"/>
      <c r="D165" s="186"/>
      <c r="E165" s="186"/>
      <c r="F165" s="176"/>
      <c r="G165" s="176"/>
      <c r="H165" s="190"/>
      <c r="I165" s="190"/>
      <c r="J165" s="190"/>
      <c r="K165" s="188"/>
      <c r="L165" s="188"/>
      <c r="M165" s="188"/>
      <c r="N165" s="188"/>
      <c r="O165" s="188"/>
      <c r="P165" s="188"/>
      <c r="Q165" s="529"/>
      <c r="R165" s="529"/>
      <c r="S165" s="529"/>
      <c r="T165" s="165"/>
    </row>
    <row r="166" spans="1:20" s="12" customFormat="1" ht="13.5" customHeight="1">
      <c r="A166" s="185"/>
      <c r="B166" s="186"/>
      <c r="C166" s="186"/>
      <c r="D166" s="186"/>
      <c r="E166" s="186"/>
      <c r="F166" s="176"/>
      <c r="G166" s="176"/>
      <c r="H166" s="176"/>
      <c r="I166" s="176"/>
      <c r="J166" s="176"/>
      <c r="K166" s="188"/>
      <c r="L166" s="188"/>
      <c r="M166" s="188"/>
      <c r="N166" s="188"/>
      <c r="O166" s="188"/>
      <c r="P166" s="188"/>
      <c r="Q166" s="529"/>
      <c r="R166" s="529"/>
      <c r="S166" s="529"/>
      <c r="T166" s="165"/>
    </row>
    <row r="167" spans="1:20" s="12" customFormat="1" ht="15.75" customHeight="1">
      <c r="A167" s="185"/>
      <c r="B167" s="186"/>
      <c r="C167" s="186"/>
      <c r="D167" s="186"/>
      <c r="E167" s="186"/>
      <c r="F167" s="176"/>
      <c r="G167" s="176"/>
      <c r="H167" s="176"/>
      <c r="I167" s="176"/>
      <c r="J167" s="176"/>
      <c r="K167" s="188"/>
      <c r="L167" s="188"/>
      <c r="M167" s="188"/>
      <c r="N167" s="188"/>
      <c r="O167" s="188"/>
      <c r="P167" s="188"/>
      <c r="Q167" s="188"/>
      <c r="R167" s="188"/>
      <c r="S167" s="188"/>
      <c r="T167" s="165"/>
    </row>
    <row r="168" spans="1:23" ht="26.25" customHeight="1" hidden="1">
      <c r="A168" s="530" t="s">
        <v>63</v>
      </c>
      <c r="B168" s="530"/>
      <c r="C168" s="530"/>
      <c r="D168" s="530"/>
      <c r="E168" s="530"/>
      <c r="F168" s="530"/>
      <c r="G168" s="530"/>
      <c r="H168" s="530"/>
      <c r="I168" s="530"/>
      <c r="J168" s="530"/>
      <c r="K168" s="530"/>
      <c r="L168" s="530"/>
      <c r="M168" s="530"/>
      <c r="N168" s="530"/>
      <c r="O168" s="530"/>
      <c r="P168" s="530"/>
      <c r="Q168" s="530"/>
      <c r="R168" s="530"/>
      <c r="S168" s="530"/>
      <c r="U168" s="12"/>
      <c r="V168" s="12"/>
      <c r="W168" s="12"/>
    </row>
    <row r="169" spans="1:19" ht="35.25" hidden="1">
      <c r="A169" s="531" t="s">
        <v>15</v>
      </c>
      <c r="B169" s="532" t="s">
        <v>0</v>
      </c>
      <c r="C169" s="533"/>
      <c r="D169" s="534"/>
      <c r="E169" s="193"/>
      <c r="F169" s="538" t="s">
        <v>1</v>
      </c>
      <c r="G169" s="538"/>
      <c r="H169" s="538"/>
      <c r="I169" s="538" t="s">
        <v>3</v>
      </c>
      <c r="J169" s="538"/>
      <c r="K169" s="538"/>
      <c r="L169" s="538" t="s">
        <v>4</v>
      </c>
      <c r="M169" s="538"/>
      <c r="N169" s="538"/>
      <c r="O169" s="538" t="s">
        <v>6</v>
      </c>
      <c r="P169" s="538"/>
      <c r="Q169" s="538"/>
      <c r="R169" s="538" t="s">
        <v>7</v>
      </c>
      <c r="S169" s="538"/>
    </row>
    <row r="170" spans="1:19" ht="35.25" hidden="1">
      <c r="A170" s="531"/>
      <c r="B170" s="535"/>
      <c r="C170" s="536"/>
      <c r="D170" s="537"/>
      <c r="E170" s="194"/>
      <c r="F170" s="118"/>
      <c r="G170" s="195" t="s">
        <v>10</v>
      </c>
      <c r="H170" s="195" t="s">
        <v>5</v>
      </c>
      <c r="I170" s="195" t="s">
        <v>10</v>
      </c>
      <c r="J170" s="195" t="s">
        <v>10</v>
      </c>
      <c r="K170" s="195" t="s">
        <v>5</v>
      </c>
      <c r="L170" s="195" t="s">
        <v>10</v>
      </c>
      <c r="M170" s="195" t="s">
        <v>10</v>
      </c>
      <c r="N170" s="195" t="s">
        <v>5</v>
      </c>
      <c r="O170" s="195" t="s">
        <v>10</v>
      </c>
      <c r="P170" s="195" t="s">
        <v>10</v>
      </c>
      <c r="Q170" s="195" t="s">
        <v>5</v>
      </c>
      <c r="R170" s="195" t="s">
        <v>10</v>
      </c>
      <c r="S170" s="195" t="s">
        <v>5</v>
      </c>
    </row>
    <row r="171" spans="1:22" ht="32.25" customHeight="1" hidden="1">
      <c r="A171" s="196">
        <v>1</v>
      </c>
      <c r="B171" s="539" t="s">
        <v>33</v>
      </c>
      <c r="C171" s="540"/>
      <c r="D171" s="541"/>
      <c r="E171" s="197"/>
      <c r="F171" s="196">
        <v>14.8</v>
      </c>
      <c r="G171" s="198">
        <v>3.3</v>
      </c>
      <c r="H171" s="198">
        <f>G171*J194</f>
        <v>97.152</v>
      </c>
      <c r="I171" s="198">
        <v>14.8</v>
      </c>
      <c r="J171" s="198">
        <v>3.3</v>
      </c>
      <c r="K171" s="198">
        <f>J171*J194</f>
        <v>97.152</v>
      </c>
      <c r="L171" s="198">
        <v>15</v>
      </c>
      <c r="M171" s="198">
        <v>3.4</v>
      </c>
      <c r="N171" s="198">
        <f>M171*J194</f>
        <v>100.096</v>
      </c>
      <c r="O171" s="198">
        <v>15</v>
      </c>
      <c r="P171" s="198">
        <v>3.3</v>
      </c>
      <c r="Q171" s="198">
        <f>P171*J194</f>
        <v>97.152</v>
      </c>
      <c r="R171" s="198">
        <f>G171+J171+M171+P171</f>
        <v>13.3</v>
      </c>
      <c r="S171" s="198">
        <f>H171+K171+N171+Q171</f>
        <v>391.55199999999996</v>
      </c>
      <c r="T171" s="67" t="s">
        <v>21</v>
      </c>
      <c r="U171" s="13"/>
      <c r="V171" s="13"/>
    </row>
    <row r="172" spans="1:22" ht="32.25" customHeight="1" hidden="1">
      <c r="A172" s="196">
        <v>2</v>
      </c>
      <c r="B172" s="539" t="s">
        <v>41</v>
      </c>
      <c r="C172" s="540"/>
      <c r="D172" s="541"/>
      <c r="E172" s="197"/>
      <c r="F172" s="199"/>
      <c r="G172" s="198">
        <f>G173+G174+G175+G176+G177+G178</f>
        <v>4062.7</v>
      </c>
      <c r="H172" s="198">
        <f>H173+H174+H175+H176+H177+H178</f>
        <v>130684.578</v>
      </c>
      <c r="I172" s="198"/>
      <c r="J172" s="198">
        <f>J173+J174+J175+J176+J177+J178</f>
        <v>3746</v>
      </c>
      <c r="K172" s="198">
        <f>K173+K174+K175+K176+K177+K178</f>
        <v>121933.6</v>
      </c>
      <c r="L172" s="198"/>
      <c r="M172" s="198">
        <f>M173+M174+M175+M176+M177+M178</f>
        <v>3920.1</v>
      </c>
      <c r="N172" s="198">
        <f>N173+N174+N175+N176+N177+N178</f>
        <v>126797.51400000001</v>
      </c>
      <c r="O172" s="198"/>
      <c r="P172" s="198">
        <f>P173+P174+P175+P176+P177+P178</f>
        <v>3955.8</v>
      </c>
      <c r="Q172" s="198">
        <f>Q173+Q174+Q175+Q176+Q177+Q178</f>
        <v>128166.672</v>
      </c>
      <c r="R172" s="198">
        <f>R173+R174+R175+R176+R177+R178</f>
        <v>15684.6</v>
      </c>
      <c r="S172" s="198">
        <f>S173+S174+S175+S176+S177+S178</f>
        <v>507582.364</v>
      </c>
      <c r="U172" s="13"/>
      <c r="V172" s="13"/>
    </row>
    <row r="173" spans="1:22" ht="25.5" customHeight="1" hidden="1">
      <c r="A173" s="196"/>
      <c r="B173" s="542" t="s">
        <v>34</v>
      </c>
      <c r="C173" s="543"/>
      <c r="D173" s="544"/>
      <c r="E173" s="200"/>
      <c r="F173" s="199">
        <v>3068.8</v>
      </c>
      <c r="G173" s="201">
        <v>520</v>
      </c>
      <c r="H173" s="201">
        <f>G173*J194</f>
        <v>15308.800000000001</v>
      </c>
      <c r="I173" s="201">
        <v>2511</v>
      </c>
      <c r="J173" s="201">
        <v>185</v>
      </c>
      <c r="K173" s="201">
        <f>J173*J194</f>
        <v>5446.400000000001</v>
      </c>
      <c r="L173" s="201">
        <v>2511</v>
      </c>
      <c r="M173" s="201">
        <v>590</v>
      </c>
      <c r="N173" s="201">
        <f>M173*J194</f>
        <v>17369.600000000002</v>
      </c>
      <c r="O173" s="201">
        <v>2511</v>
      </c>
      <c r="P173" s="201">
        <v>342</v>
      </c>
      <c r="Q173" s="201">
        <f>P173*J194</f>
        <v>10068.48</v>
      </c>
      <c r="R173" s="201">
        <f aca="true" t="shared" si="19" ref="R173:S179">G173+J173+M173+P173</f>
        <v>1637</v>
      </c>
      <c r="S173" s="201">
        <f t="shared" si="19"/>
        <v>48193.28</v>
      </c>
      <c r="T173" s="67" t="s">
        <v>21</v>
      </c>
      <c r="U173" s="13"/>
      <c r="V173" s="13"/>
    </row>
    <row r="174" spans="1:22" ht="27.75" customHeight="1" hidden="1">
      <c r="A174" s="196"/>
      <c r="B174" s="542" t="s">
        <v>35</v>
      </c>
      <c r="C174" s="543"/>
      <c r="D174" s="544"/>
      <c r="E174" s="200"/>
      <c r="F174" s="199">
        <v>609</v>
      </c>
      <c r="G174" s="201">
        <v>516</v>
      </c>
      <c r="H174" s="201">
        <f>G174*J194</f>
        <v>15191.04</v>
      </c>
      <c r="I174" s="201">
        <v>609</v>
      </c>
      <c r="J174" s="201">
        <v>516</v>
      </c>
      <c r="K174" s="201">
        <f>J174*J194</f>
        <v>15191.04</v>
      </c>
      <c r="L174" s="201">
        <v>609</v>
      </c>
      <c r="M174" s="201">
        <v>516</v>
      </c>
      <c r="N174" s="201">
        <f>M174*J194</f>
        <v>15191.04</v>
      </c>
      <c r="O174" s="201">
        <v>609</v>
      </c>
      <c r="P174" s="201">
        <v>516</v>
      </c>
      <c r="Q174" s="201">
        <f>P174*J194</f>
        <v>15191.04</v>
      </c>
      <c r="R174" s="201">
        <f t="shared" si="19"/>
        <v>2064</v>
      </c>
      <c r="S174" s="201">
        <f t="shared" si="19"/>
        <v>60764.16</v>
      </c>
      <c r="T174" s="67" t="s">
        <v>21</v>
      </c>
      <c r="U174" s="13"/>
      <c r="V174" s="13"/>
    </row>
    <row r="175" spans="1:22" ht="26.25" customHeight="1" hidden="1">
      <c r="A175" s="196"/>
      <c r="B175" s="542" t="s">
        <v>36</v>
      </c>
      <c r="C175" s="543"/>
      <c r="D175" s="544"/>
      <c r="E175" s="200"/>
      <c r="F175" s="199">
        <v>725.1</v>
      </c>
      <c r="G175" s="201">
        <v>616</v>
      </c>
      <c r="H175" s="201">
        <f>G175*J195</f>
        <v>22490.16</v>
      </c>
      <c r="I175" s="201">
        <v>885.2</v>
      </c>
      <c r="J175" s="201">
        <v>752</v>
      </c>
      <c r="K175" s="201">
        <f>J175*J195</f>
        <v>27455.519999999997</v>
      </c>
      <c r="L175" s="201">
        <v>727.3</v>
      </c>
      <c r="M175" s="201">
        <v>618</v>
      </c>
      <c r="N175" s="201">
        <f>M175*J195</f>
        <v>22563.18</v>
      </c>
      <c r="O175" s="201">
        <v>892.61</v>
      </c>
      <c r="P175" s="201">
        <v>759</v>
      </c>
      <c r="Q175" s="201">
        <f>P175*J195</f>
        <v>27711.09</v>
      </c>
      <c r="R175" s="201">
        <f t="shared" si="19"/>
        <v>2745</v>
      </c>
      <c r="S175" s="201">
        <f t="shared" si="19"/>
        <v>100219.94999999998</v>
      </c>
      <c r="T175" s="67" t="s">
        <v>21</v>
      </c>
      <c r="U175" s="13"/>
      <c r="V175" s="13"/>
    </row>
    <row r="176" spans="1:22" ht="24" customHeight="1" hidden="1">
      <c r="A176" s="196"/>
      <c r="B176" s="545" t="s">
        <v>37</v>
      </c>
      <c r="C176" s="545"/>
      <c r="D176" s="545"/>
      <c r="E176" s="202"/>
      <c r="F176" s="199">
        <v>1639</v>
      </c>
      <c r="G176" s="201">
        <v>951</v>
      </c>
      <c r="H176" s="201">
        <f>G176*J195</f>
        <v>34721.009999999995</v>
      </c>
      <c r="I176" s="201">
        <v>1584</v>
      </c>
      <c r="J176" s="201">
        <v>896</v>
      </c>
      <c r="K176" s="201">
        <f>J176*J195</f>
        <v>32712.96</v>
      </c>
      <c r="L176" s="201">
        <v>1344</v>
      </c>
      <c r="M176" s="201">
        <v>993</v>
      </c>
      <c r="N176" s="201">
        <f>M176*J195</f>
        <v>36254.43</v>
      </c>
      <c r="O176" s="201">
        <v>1639</v>
      </c>
      <c r="P176" s="201">
        <v>897</v>
      </c>
      <c r="Q176" s="201">
        <f>P176*J195</f>
        <v>32749.469999999998</v>
      </c>
      <c r="R176" s="201">
        <f t="shared" si="19"/>
        <v>3737</v>
      </c>
      <c r="S176" s="201">
        <f t="shared" si="19"/>
        <v>136437.87</v>
      </c>
      <c r="T176" s="67" t="s">
        <v>21</v>
      </c>
      <c r="U176" s="13"/>
      <c r="V176" s="13"/>
    </row>
    <row r="177" spans="1:22" ht="24.75" customHeight="1" hidden="1">
      <c r="A177" s="196"/>
      <c r="B177" s="545" t="s">
        <v>38</v>
      </c>
      <c r="C177" s="545"/>
      <c r="D177" s="545"/>
      <c r="E177" s="202"/>
      <c r="F177" s="199">
        <v>53.7</v>
      </c>
      <c r="G177" s="201">
        <v>1393</v>
      </c>
      <c r="H177" s="201">
        <f>G177*J194</f>
        <v>41009.92</v>
      </c>
      <c r="I177" s="201">
        <v>43.6</v>
      </c>
      <c r="J177" s="201">
        <v>1346</v>
      </c>
      <c r="K177" s="201">
        <f>J177*J194</f>
        <v>39626.240000000005</v>
      </c>
      <c r="L177" s="201">
        <v>43.8</v>
      </c>
      <c r="M177" s="201">
        <v>1142</v>
      </c>
      <c r="N177" s="201">
        <f>M177*J194</f>
        <v>33620.48</v>
      </c>
      <c r="O177" s="201">
        <v>43.8</v>
      </c>
      <c r="P177" s="201">
        <v>1393</v>
      </c>
      <c r="Q177" s="201">
        <f>P177*J194</f>
        <v>41009.92</v>
      </c>
      <c r="R177" s="201">
        <f t="shared" si="19"/>
        <v>5274</v>
      </c>
      <c r="S177" s="201">
        <f t="shared" si="19"/>
        <v>155266.56</v>
      </c>
      <c r="T177" s="67" t="s">
        <v>21</v>
      </c>
      <c r="U177" s="13"/>
      <c r="V177" s="13"/>
    </row>
    <row r="178" spans="1:22" ht="54.75" customHeight="1" hidden="1">
      <c r="A178" s="196"/>
      <c r="B178" s="545" t="s">
        <v>39</v>
      </c>
      <c r="C178" s="545"/>
      <c r="D178" s="545"/>
      <c r="E178" s="202"/>
      <c r="F178" s="199">
        <v>51</v>
      </c>
      <c r="G178" s="201">
        <v>66.7</v>
      </c>
      <c r="H178" s="201">
        <f>G178*J194</f>
        <v>1963.6480000000001</v>
      </c>
      <c r="I178" s="201">
        <v>48</v>
      </c>
      <c r="J178" s="201">
        <v>51</v>
      </c>
      <c r="K178" s="201">
        <f>J178*J194</f>
        <v>1501.44</v>
      </c>
      <c r="L178" s="201">
        <v>48</v>
      </c>
      <c r="M178" s="201">
        <v>61.1</v>
      </c>
      <c r="N178" s="201">
        <f>M178*J194</f>
        <v>1798.784</v>
      </c>
      <c r="O178" s="201">
        <v>51</v>
      </c>
      <c r="P178" s="201">
        <v>48.8</v>
      </c>
      <c r="Q178" s="201">
        <f>P178*J194</f>
        <v>1436.672</v>
      </c>
      <c r="R178" s="201">
        <f t="shared" si="19"/>
        <v>227.60000000000002</v>
      </c>
      <c r="S178" s="201">
        <f t="shared" si="19"/>
        <v>6700.544</v>
      </c>
      <c r="T178" s="67" t="s">
        <v>21</v>
      </c>
      <c r="U178" s="13"/>
      <c r="V178" s="13"/>
    </row>
    <row r="179" spans="1:22" ht="24" customHeight="1" hidden="1">
      <c r="A179" s="196">
        <v>3</v>
      </c>
      <c r="B179" s="539" t="s">
        <v>42</v>
      </c>
      <c r="C179" s="540"/>
      <c r="D179" s="541"/>
      <c r="E179" s="197"/>
      <c r="F179" s="199">
        <v>76.86</v>
      </c>
      <c r="G179" s="198">
        <v>201</v>
      </c>
      <c r="H179" s="198">
        <f>G179*J194</f>
        <v>5917.4400000000005</v>
      </c>
      <c r="I179" s="198">
        <v>76.86</v>
      </c>
      <c r="J179" s="198">
        <v>201</v>
      </c>
      <c r="K179" s="198">
        <f>J179*J194</f>
        <v>5917.4400000000005</v>
      </c>
      <c r="L179" s="198">
        <v>76.86</v>
      </c>
      <c r="M179" s="198">
        <v>201</v>
      </c>
      <c r="N179" s="198">
        <f>M179*J194</f>
        <v>5917.4400000000005</v>
      </c>
      <c r="O179" s="198">
        <v>76.86</v>
      </c>
      <c r="P179" s="198">
        <v>201</v>
      </c>
      <c r="Q179" s="198">
        <f>P179*J194</f>
        <v>5917.4400000000005</v>
      </c>
      <c r="R179" s="198">
        <f t="shared" si="19"/>
        <v>804</v>
      </c>
      <c r="S179" s="198">
        <f t="shared" si="19"/>
        <v>23669.760000000002</v>
      </c>
      <c r="T179" s="67" t="s">
        <v>21</v>
      </c>
      <c r="U179" s="13"/>
      <c r="V179" s="13"/>
    </row>
    <row r="180" spans="1:22" ht="30.75" customHeight="1" hidden="1">
      <c r="A180" s="196">
        <v>4</v>
      </c>
      <c r="B180" s="539" t="s">
        <v>43</v>
      </c>
      <c r="C180" s="540"/>
      <c r="D180" s="541"/>
      <c r="E180" s="197"/>
      <c r="F180" s="199">
        <v>172</v>
      </c>
      <c r="G180" s="198">
        <f>G181</f>
        <v>23.4</v>
      </c>
      <c r="H180" s="198">
        <f>H181</f>
        <v>688.896</v>
      </c>
      <c r="I180" s="198"/>
      <c r="J180" s="198">
        <f>J181</f>
        <v>23.4</v>
      </c>
      <c r="K180" s="198">
        <f>K181</f>
        <v>688.896</v>
      </c>
      <c r="L180" s="198"/>
      <c r="M180" s="198">
        <f>M181</f>
        <v>23.4</v>
      </c>
      <c r="N180" s="198">
        <f>N181</f>
        <v>688.896</v>
      </c>
      <c r="O180" s="198"/>
      <c r="P180" s="198">
        <f>P181</f>
        <v>23.1</v>
      </c>
      <c r="Q180" s="198">
        <f>Q181</f>
        <v>680.0640000000001</v>
      </c>
      <c r="R180" s="198">
        <f>R181</f>
        <v>93.29999999999998</v>
      </c>
      <c r="S180" s="198">
        <f>S181</f>
        <v>2746.7520000000004</v>
      </c>
      <c r="T180" s="67" t="s">
        <v>21</v>
      </c>
      <c r="U180" s="13"/>
      <c r="V180" s="13"/>
    </row>
    <row r="181" spans="1:22" ht="30.75" customHeight="1" hidden="1">
      <c r="A181" s="196"/>
      <c r="B181" s="542" t="s">
        <v>44</v>
      </c>
      <c r="C181" s="543"/>
      <c r="D181" s="544"/>
      <c r="E181" s="200"/>
      <c r="F181" s="199"/>
      <c r="G181" s="201">
        <v>23.4</v>
      </c>
      <c r="H181" s="201">
        <f>G181*J194</f>
        <v>688.896</v>
      </c>
      <c r="I181" s="201"/>
      <c r="J181" s="201">
        <v>23.4</v>
      </c>
      <c r="K181" s="201">
        <f>J181*J194</f>
        <v>688.896</v>
      </c>
      <c r="L181" s="201"/>
      <c r="M181" s="201">
        <v>23.4</v>
      </c>
      <c r="N181" s="201">
        <f>M181*J194</f>
        <v>688.896</v>
      </c>
      <c r="O181" s="201"/>
      <c r="P181" s="201">
        <v>23.1</v>
      </c>
      <c r="Q181" s="201">
        <f>P181*J194</f>
        <v>680.0640000000001</v>
      </c>
      <c r="R181" s="201">
        <f>G181+J181+M181+P181</f>
        <v>93.29999999999998</v>
      </c>
      <c r="S181" s="201">
        <f>H181+K181+N181+Q181</f>
        <v>2746.7520000000004</v>
      </c>
      <c r="U181" s="13"/>
      <c r="V181" s="13"/>
    </row>
    <row r="182" spans="1:22" ht="30.75" customHeight="1" hidden="1">
      <c r="A182" s="196">
        <v>5</v>
      </c>
      <c r="B182" s="539" t="s">
        <v>47</v>
      </c>
      <c r="C182" s="540"/>
      <c r="D182" s="541"/>
      <c r="E182" s="197"/>
      <c r="F182" s="199"/>
      <c r="G182" s="198">
        <f>G183+G184+G185+G186+G187+G188</f>
        <v>127.91</v>
      </c>
      <c r="H182" s="198">
        <f>H183+H184+H185+H186+H187+H188</f>
        <v>3854.7524000000003</v>
      </c>
      <c r="I182" s="198"/>
      <c r="J182" s="198">
        <f>J183+J184+J185+J187+J188+J186</f>
        <v>122.46000000000001</v>
      </c>
      <c r="K182" s="198">
        <f>K183+K184+K185+K186+K187+K188</f>
        <v>3672.3874</v>
      </c>
      <c r="L182" s="198"/>
      <c r="M182" s="198">
        <f>M183+M184+M185+M186+M187+M188</f>
        <v>110.28999999999999</v>
      </c>
      <c r="N182" s="198">
        <f>N183+N184+N185+N186+N187+N188</f>
        <v>3314.1026</v>
      </c>
      <c r="O182" s="198"/>
      <c r="P182" s="198">
        <f>P183+P184+P185+P186+P187+P188</f>
        <v>122.81</v>
      </c>
      <c r="Q182" s="198">
        <f>Q183+Q184+Q185+Q186+Q187+Q188</f>
        <v>3701.0734</v>
      </c>
      <c r="R182" s="198">
        <f>R183+R184+R185+R186+R187+R188</f>
        <v>483.46999999999997</v>
      </c>
      <c r="S182" s="198">
        <f>S183+S184+S185+S186+S187+S188</f>
        <v>14542.3158</v>
      </c>
      <c r="U182" s="13"/>
      <c r="V182" s="13"/>
    </row>
    <row r="183" spans="1:22" ht="30.75" customHeight="1" hidden="1">
      <c r="A183" s="196"/>
      <c r="B183" s="542" t="s">
        <v>48</v>
      </c>
      <c r="C183" s="543"/>
      <c r="D183" s="544"/>
      <c r="E183" s="200"/>
      <c r="F183" s="199"/>
      <c r="G183" s="201">
        <v>7.71</v>
      </c>
      <c r="H183" s="201">
        <f>G183*J194</f>
        <v>226.9824</v>
      </c>
      <c r="I183" s="201"/>
      <c r="J183" s="201">
        <v>6.36</v>
      </c>
      <c r="K183" s="201">
        <f>J183*J194</f>
        <v>187.2384</v>
      </c>
      <c r="L183" s="201"/>
      <c r="M183" s="201">
        <v>3.69</v>
      </c>
      <c r="N183" s="201">
        <f>M183*J194</f>
        <v>108.6336</v>
      </c>
      <c r="O183" s="201"/>
      <c r="P183" s="201">
        <v>6.11</v>
      </c>
      <c r="Q183" s="201">
        <f>P183*J194</f>
        <v>179.87840000000003</v>
      </c>
      <c r="R183" s="201">
        <f aca="true" t="shared" si="20" ref="R183:S188">G183+J183+M183+P183</f>
        <v>23.87</v>
      </c>
      <c r="S183" s="201">
        <f t="shared" si="20"/>
        <v>702.7328000000001</v>
      </c>
      <c r="U183" s="13"/>
      <c r="V183" s="13"/>
    </row>
    <row r="184" spans="1:22" ht="30.75" customHeight="1" hidden="1">
      <c r="A184" s="196"/>
      <c r="B184" s="542" t="s">
        <v>49</v>
      </c>
      <c r="C184" s="543"/>
      <c r="D184" s="544"/>
      <c r="E184" s="200"/>
      <c r="F184" s="199"/>
      <c r="G184" s="201">
        <v>40</v>
      </c>
      <c r="H184" s="201">
        <f>G184*J194</f>
        <v>1177.6000000000001</v>
      </c>
      <c r="I184" s="201"/>
      <c r="J184" s="201">
        <v>40</v>
      </c>
      <c r="K184" s="201">
        <f>J184*J194</f>
        <v>1177.6000000000001</v>
      </c>
      <c r="L184" s="201"/>
      <c r="M184" s="201">
        <v>40</v>
      </c>
      <c r="N184" s="201">
        <f>M184*J194</f>
        <v>1177.6000000000001</v>
      </c>
      <c r="O184" s="201"/>
      <c r="P184" s="201">
        <v>40</v>
      </c>
      <c r="Q184" s="201">
        <f>P184*J194</f>
        <v>1177.6000000000001</v>
      </c>
      <c r="R184" s="201">
        <f t="shared" si="20"/>
        <v>160</v>
      </c>
      <c r="S184" s="201">
        <f t="shared" si="20"/>
        <v>4710.400000000001</v>
      </c>
      <c r="U184" s="13"/>
      <c r="V184" s="13"/>
    </row>
    <row r="185" spans="1:22" ht="30.75" customHeight="1" hidden="1">
      <c r="A185" s="196"/>
      <c r="B185" s="542" t="s">
        <v>50</v>
      </c>
      <c r="C185" s="543"/>
      <c r="D185" s="544"/>
      <c r="E185" s="200"/>
      <c r="F185" s="199"/>
      <c r="G185" s="201">
        <v>27.6</v>
      </c>
      <c r="H185" s="203">
        <f>G185*J194</f>
        <v>812.5440000000001</v>
      </c>
      <c r="I185" s="201"/>
      <c r="J185" s="201">
        <v>27.6</v>
      </c>
      <c r="K185" s="201">
        <f>J185*J194</f>
        <v>812.5440000000001</v>
      </c>
      <c r="L185" s="201"/>
      <c r="M185" s="201">
        <v>27.6</v>
      </c>
      <c r="N185" s="201">
        <f>M185*J194</f>
        <v>812.5440000000001</v>
      </c>
      <c r="O185" s="201"/>
      <c r="P185" s="201">
        <v>27.6</v>
      </c>
      <c r="Q185" s="201">
        <f>P185*J194</f>
        <v>812.5440000000001</v>
      </c>
      <c r="R185" s="201">
        <f t="shared" si="20"/>
        <v>110.4</v>
      </c>
      <c r="S185" s="201">
        <f t="shared" si="20"/>
        <v>3250.1760000000004</v>
      </c>
      <c r="U185" s="13"/>
      <c r="V185" s="13"/>
    </row>
    <row r="186" spans="1:22" ht="30.75" customHeight="1" hidden="1">
      <c r="A186" s="196"/>
      <c r="B186" s="545" t="s">
        <v>40</v>
      </c>
      <c r="C186" s="545"/>
      <c r="D186" s="545"/>
      <c r="E186" s="202"/>
      <c r="F186" s="199"/>
      <c r="G186" s="201">
        <v>40</v>
      </c>
      <c r="H186" s="201">
        <f>G186*J194</f>
        <v>1177.6000000000001</v>
      </c>
      <c r="I186" s="201"/>
      <c r="J186" s="201">
        <v>39</v>
      </c>
      <c r="K186" s="201">
        <f>J186*J194</f>
        <v>1148.16</v>
      </c>
      <c r="L186" s="201"/>
      <c r="M186" s="201">
        <v>29.5</v>
      </c>
      <c r="N186" s="201">
        <f>M186*J194</f>
        <v>868.48</v>
      </c>
      <c r="O186" s="201"/>
      <c r="P186" s="201">
        <v>37</v>
      </c>
      <c r="Q186" s="201">
        <f>P186*J194</f>
        <v>1089.28</v>
      </c>
      <c r="R186" s="201">
        <f t="shared" si="20"/>
        <v>145.5</v>
      </c>
      <c r="S186" s="201">
        <f t="shared" si="20"/>
        <v>4283.52</v>
      </c>
      <c r="U186" s="13"/>
      <c r="V186" s="13"/>
    </row>
    <row r="187" spans="1:22" ht="30.75" customHeight="1" hidden="1">
      <c r="A187" s="196"/>
      <c r="B187" s="545" t="s">
        <v>51</v>
      </c>
      <c r="C187" s="545"/>
      <c r="D187" s="545"/>
      <c r="E187" s="202"/>
      <c r="F187" s="199"/>
      <c r="G187" s="201">
        <v>4.6</v>
      </c>
      <c r="H187" s="201">
        <f>G187*J195</f>
        <v>167.94599999999997</v>
      </c>
      <c r="I187" s="201"/>
      <c r="J187" s="201">
        <v>1.5</v>
      </c>
      <c r="K187" s="201">
        <f>J187*J195</f>
        <v>54.765</v>
      </c>
      <c r="L187" s="201"/>
      <c r="M187" s="201">
        <v>1.5</v>
      </c>
      <c r="N187" s="201">
        <f>M187*J195</f>
        <v>54.765</v>
      </c>
      <c r="O187" s="201"/>
      <c r="P187" s="201">
        <v>4.1</v>
      </c>
      <c r="Q187" s="201">
        <f>P187*J195</f>
        <v>149.69099999999997</v>
      </c>
      <c r="R187" s="201">
        <f t="shared" si="20"/>
        <v>11.7</v>
      </c>
      <c r="S187" s="201">
        <f t="shared" si="20"/>
        <v>427.1669999999999</v>
      </c>
      <c r="U187" s="13"/>
      <c r="V187" s="13"/>
    </row>
    <row r="188" spans="1:22" ht="30.75" customHeight="1" hidden="1">
      <c r="A188" s="196"/>
      <c r="B188" s="545" t="s">
        <v>52</v>
      </c>
      <c r="C188" s="545"/>
      <c r="D188" s="545"/>
      <c r="E188" s="202"/>
      <c r="F188" s="199"/>
      <c r="G188" s="201">
        <v>8</v>
      </c>
      <c r="H188" s="201">
        <f>G188*J195</f>
        <v>292.08</v>
      </c>
      <c r="I188" s="201"/>
      <c r="J188" s="201">
        <v>8</v>
      </c>
      <c r="K188" s="201">
        <f>J188*J195</f>
        <v>292.08</v>
      </c>
      <c r="L188" s="201"/>
      <c r="M188" s="201">
        <v>8</v>
      </c>
      <c r="N188" s="201">
        <f>M188*J195</f>
        <v>292.08</v>
      </c>
      <c r="O188" s="201"/>
      <c r="P188" s="201">
        <v>8</v>
      </c>
      <c r="Q188" s="201">
        <f>P188*J195</f>
        <v>292.08</v>
      </c>
      <c r="R188" s="201">
        <f t="shared" si="20"/>
        <v>32</v>
      </c>
      <c r="S188" s="201">
        <f t="shared" si="20"/>
        <v>1168.32</v>
      </c>
      <c r="U188" s="13"/>
      <c r="V188" s="13"/>
    </row>
    <row r="189" spans="1:22" ht="30.75" customHeight="1" hidden="1">
      <c r="A189" s="196">
        <v>6</v>
      </c>
      <c r="B189" s="539" t="s">
        <v>53</v>
      </c>
      <c r="C189" s="540"/>
      <c r="D189" s="541"/>
      <c r="E189" s="197"/>
      <c r="F189" s="199"/>
      <c r="G189" s="198">
        <f>G190+G191</f>
        <v>428.14000000000004</v>
      </c>
      <c r="H189" s="198">
        <f>H190+H191</f>
        <v>12604.4416</v>
      </c>
      <c r="I189" s="198"/>
      <c r="J189" s="198">
        <f>J190+J191</f>
        <v>444.5</v>
      </c>
      <c r="K189" s="198">
        <f>K190+K191</f>
        <v>13086.08</v>
      </c>
      <c r="L189" s="198"/>
      <c r="M189" s="198">
        <f>M190+M191</f>
        <v>216.12</v>
      </c>
      <c r="N189" s="198">
        <f>N190+N191</f>
        <v>6362.5728</v>
      </c>
      <c r="O189" s="198"/>
      <c r="P189" s="198">
        <f>P190+P191</f>
        <v>423.71000000000004</v>
      </c>
      <c r="Q189" s="198">
        <f>Q190+Q191</f>
        <v>12474.022400000002</v>
      </c>
      <c r="R189" s="198">
        <f>R190+R191</f>
        <v>1512.47</v>
      </c>
      <c r="S189" s="198">
        <f>S190+S191</f>
        <v>44527.1168</v>
      </c>
      <c r="U189" s="13"/>
      <c r="V189" s="13"/>
    </row>
    <row r="190" spans="1:22" ht="30.75" customHeight="1" hidden="1">
      <c r="A190" s="199"/>
      <c r="B190" s="542" t="s">
        <v>54</v>
      </c>
      <c r="C190" s="543"/>
      <c r="D190" s="544"/>
      <c r="E190" s="200"/>
      <c r="F190" s="199"/>
      <c r="G190" s="201">
        <v>27.6</v>
      </c>
      <c r="H190" s="201">
        <f>G190*J194</f>
        <v>812.5440000000001</v>
      </c>
      <c r="I190" s="201"/>
      <c r="J190" s="201">
        <v>44.5</v>
      </c>
      <c r="K190" s="201">
        <f>J190*J194</f>
        <v>1310.0800000000002</v>
      </c>
      <c r="L190" s="201"/>
      <c r="M190" s="201">
        <v>74.6</v>
      </c>
      <c r="N190" s="201">
        <f>M190*J194</f>
        <v>2196.2239999999997</v>
      </c>
      <c r="O190" s="201"/>
      <c r="P190" s="201">
        <v>23.1</v>
      </c>
      <c r="Q190" s="201">
        <f>P190*J194</f>
        <v>680.0640000000001</v>
      </c>
      <c r="R190" s="201">
        <f>G190+J190+M190+P190</f>
        <v>169.79999999999998</v>
      </c>
      <c r="S190" s="201">
        <f>H190+K190+N190+Q190</f>
        <v>4998.912</v>
      </c>
      <c r="U190" s="13"/>
      <c r="V190" s="13"/>
    </row>
    <row r="191" spans="1:22" ht="30.75" customHeight="1" hidden="1">
      <c r="A191" s="199"/>
      <c r="B191" s="542" t="s">
        <v>55</v>
      </c>
      <c r="C191" s="543"/>
      <c r="D191" s="544"/>
      <c r="E191" s="200"/>
      <c r="F191" s="199"/>
      <c r="G191" s="201">
        <v>400.54</v>
      </c>
      <c r="H191" s="201">
        <f>G191*J194</f>
        <v>11791.8976</v>
      </c>
      <c r="I191" s="201"/>
      <c r="J191" s="201">
        <v>400</v>
      </c>
      <c r="K191" s="201">
        <f>J191*J194</f>
        <v>11776</v>
      </c>
      <c r="L191" s="201"/>
      <c r="M191" s="201">
        <v>141.52</v>
      </c>
      <c r="N191" s="201">
        <f>M191*J194</f>
        <v>4166.348800000001</v>
      </c>
      <c r="O191" s="201"/>
      <c r="P191" s="201">
        <v>400.61</v>
      </c>
      <c r="Q191" s="201">
        <f>P191*J194</f>
        <v>11793.958400000001</v>
      </c>
      <c r="R191" s="201">
        <f>G191+J191+M191+P191</f>
        <v>1342.67</v>
      </c>
      <c r="S191" s="201">
        <f>H191+K191+N191+Q191</f>
        <v>39528.2048</v>
      </c>
      <c r="U191" s="13"/>
      <c r="V191" s="13"/>
    </row>
    <row r="192" spans="1:23" ht="35.25" hidden="1">
      <c r="A192" s="204"/>
      <c r="B192" s="546" t="s">
        <v>19</v>
      </c>
      <c r="C192" s="547"/>
      <c r="D192" s="548"/>
      <c r="E192" s="205"/>
      <c r="F192" s="196" t="e">
        <f>F171+#REF!+#REF!+F173+F174+F175+#REF!+F176+F177+F178+F179+F180+#REF!</f>
        <v>#REF!</v>
      </c>
      <c r="G192" s="198">
        <f>G171+G172+G179+G180+G182+G189</f>
        <v>4846.45</v>
      </c>
      <c r="H192" s="198">
        <f>H171+H172+H179+H180+H182+H189</f>
        <v>153847.25999999998</v>
      </c>
      <c r="I192" s="198" t="e">
        <f>I171+I173+I174+I175+#REF!+I176+I177+I178+I179+I180</f>
        <v>#REF!</v>
      </c>
      <c r="J192" s="198">
        <f>J171+J172+J179+J180+J182+J189</f>
        <v>4540.66</v>
      </c>
      <c r="K192" s="198">
        <f>K171+K172+K179+K180+K182+K189</f>
        <v>145395.55539999998</v>
      </c>
      <c r="L192" s="198" t="e">
        <f>L171+L173+L174+L175+#REF!+L176+L177+L178+L179+L180</f>
        <v>#REF!</v>
      </c>
      <c r="M192" s="198">
        <f>M171+M172+M179+M180+M182+M189</f>
        <v>4474.3099999999995</v>
      </c>
      <c r="N192" s="198">
        <f>N171+N172+N179+N180+N182+N189</f>
        <v>143180.62140000003</v>
      </c>
      <c r="O192" s="198" t="e">
        <f>O171+O173+O174+O175+#REF!+O176+O177+O178+O179+O180</f>
        <v>#REF!</v>
      </c>
      <c r="P192" s="198">
        <f>P171+P172+P179+P180+P182+P189</f>
        <v>4729.720000000001</v>
      </c>
      <c r="Q192" s="198">
        <f>Q171+Q172+Q179+Q180+Q182+Q189</f>
        <v>151036.4238</v>
      </c>
      <c r="R192" s="198">
        <f>R171+R172+R179+R180+R182+R189</f>
        <v>18591.140000000003</v>
      </c>
      <c r="S192" s="198">
        <f>S171+S172+S179+S180+S182+S189</f>
        <v>593459.8605999999</v>
      </c>
      <c r="U192" s="12"/>
      <c r="V192" s="12"/>
      <c r="W192" s="12"/>
    </row>
    <row r="193" spans="1:23" ht="35.25" hidden="1">
      <c r="A193" s="204"/>
      <c r="B193" s="549" t="s">
        <v>17</v>
      </c>
      <c r="C193" s="549"/>
      <c r="D193" s="549"/>
      <c r="E193" s="206"/>
      <c r="F193" s="531" t="s">
        <v>60</v>
      </c>
      <c r="G193" s="531"/>
      <c r="H193" s="531"/>
      <c r="I193" s="531"/>
      <c r="J193" s="531"/>
      <c r="K193" s="531"/>
      <c r="L193" s="531"/>
      <c r="M193" s="531"/>
      <c r="N193" s="531"/>
      <c r="O193" s="531"/>
      <c r="P193" s="531"/>
      <c r="Q193" s="531"/>
      <c r="R193" s="531"/>
      <c r="S193" s="531"/>
      <c r="U193" s="12"/>
      <c r="V193" s="12"/>
      <c r="W193" s="12"/>
    </row>
    <row r="194" spans="1:23" ht="25.5" customHeight="1" hidden="1">
      <c r="A194" s="176"/>
      <c r="B194" s="176"/>
      <c r="C194" s="176"/>
      <c r="D194" s="176"/>
      <c r="E194" s="176"/>
      <c r="F194" s="176"/>
      <c r="G194" s="176"/>
      <c r="H194" s="179" t="s">
        <v>12</v>
      </c>
      <c r="I194" s="179"/>
      <c r="J194" s="179">
        <v>29.44</v>
      </c>
      <c r="K194" s="179"/>
      <c r="L194" s="176"/>
      <c r="M194" s="176"/>
      <c r="N194" s="176"/>
      <c r="O194" s="176"/>
      <c r="P194" s="176"/>
      <c r="Q194" s="176"/>
      <c r="R194" s="176"/>
      <c r="S194" s="176"/>
      <c r="U194" s="12"/>
      <c r="V194" s="12"/>
      <c r="W194" s="12"/>
    </row>
    <row r="195" spans="1:23" ht="33" customHeight="1" hidden="1">
      <c r="A195" s="176"/>
      <c r="B195" s="176"/>
      <c r="C195" s="176"/>
      <c r="D195" s="176"/>
      <c r="E195" s="176"/>
      <c r="F195" s="176"/>
      <c r="G195" s="176"/>
      <c r="H195" s="179" t="s">
        <v>13</v>
      </c>
      <c r="I195" s="179"/>
      <c r="J195" s="179">
        <v>36.51</v>
      </c>
      <c r="K195" s="179"/>
      <c r="L195" s="176"/>
      <c r="M195" s="176"/>
      <c r="N195" s="176"/>
      <c r="O195" s="176"/>
      <c r="P195" s="176"/>
      <c r="Q195" s="191"/>
      <c r="R195" s="191"/>
      <c r="S195" s="176"/>
      <c r="U195" s="12"/>
      <c r="V195" s="12"/>
      <c r="W195" s="12"/>
    </row>
    <row r="196" spans="1:23" ht="34.5" customHeight="1" hidden="1">
      <c r="A196" s="530" t="s">
        <v>64</v>
      </c>
      <c r="B196" s="530"/>
      <c r="C196" s="530"/>
      <c r="D196" s="530"/>
      <c r="E196" s="530"/>
      <c r="F196" s="530"/>
      <c r="G196" s="530"/>
      <c r="H196" s="530"/>
      <c r="I196" s="530"/>
      <c r="J196" s="530"/>
      <c r="K196" s="530"/>
      <c r="L196" s="530"/>
      <c r="M196" s="530"/>
      <c r="N196" s="530"/>
      <c r="O196" s="530"/>
      <c r="P196" s="530"/>
      <c r="Q196" s="530"/>
      <c r="R196" s="530"/>
      <c r="S196" s="530"/>
      <c r="U196" s="12"/>
      <c r="V196" s="12"/>
      <c r="W196" s="12"/>
    </row>
    <row r="197" spans="1:23" ht="35.25" hidden="1">
      <c r="A197" s="531" t="s">
        <v>15</v>
      </c>
      <c r="B197" s="532" t="s">
        <v>0</v>
      </c>
      <c r="C197" s="533"/>
      <c r="D197" s="534"/>
      <c r="E197" s="193"/>
      <c r="F197" s="538" t="s">
        <v>1</v>
      </c>
      <c r="G197" s="538"/>
      <c r="H197" s="538"/>
      <c r="I197" s="538" t="s">
        <v>3</v>
      </c>
      <c r="J197" s="538"/>
      <c r="K197" s="538"/>
      <c r="L197" s="538" t="s">
        <v>4</v>
      </c>
      <c r="M197" s="538"/>
      <c r="N197" s="538"/>
      <c r="O197" s="538" t="s">
        <v>6</v>
      </c>
      <c r="P197" s="538"/>
      <c r="Q197" s="538"/>
      <c r="R197" s="538" t="s">
        <v>7</v>
      </c>
      <c r="S197" s="538"/>
      <c r="U197" s="12"/>
      <c r="V197" s="12"/>
      <c r="W197" s="12"/>
    </row>
    <row r="198" spans="1:23" ht="35.25" hidden="1">
      <c r="A198" s="531"/>
      <c r="B198" s="535"/>
      <c r="C198" s="536"/>
      <c r="D198" s="537"/>
      <c r="E198" s="207"/>
      <c r="F198" s="195" t="s">
        <v>10</v>
      </c>
      <c r="G198" s="195" t="s">
        <v>10</v>
      </c>
      <c r="H198" s="195" t="s">
        <v>5</v>
      </c>
      <c r="I198" s="195" t="s">
        <v>10</v>
      </c>
      <c r="J198" s="195" t="s">
        <v>10</v>
      </c>
      <c r="K198" s="195" t="s">
        <v>5</v>
      </c>
      <c r="L198" s="195" t="s">
        <v>10</v>
      </c>
      <c r="M198" s="195" t="s">
        <v>10</v>
      </c>
      <c r="N198" s="195" t="s">
        <v>5</v>
      </c>
      <c r="O198" s="195" t="s">
        <v>10</v>
      </c>
      <c r="P198" s="195" t="s">
        <v>10</v>
      </c>
      <c r="Q198" s="195" t="s">
        <v>5</v>
      </c>
      <c r="R198" s="195" t="s">
        <v>10</v>
      </c>
      <c r="S198" s="195" t="s">
        <v>5</v>
      </c>
      <c r="U198" s="12"/>
      <c r="V198" s="12"/>
      <c r="W198" s="12"/>
    </row>
    <row r="199" spans="1:23" ht="25.5" customHeight="1" hidden="1">
      <c r="A199" s="196">
        <v>1</v>
      </c>
      <c r="B199" s="539" t="s">
        <v>33</v>
      </c>
      <c r="C199" s="540"/>
      <c r="D199" s="541"/>
      <c r="E199" s="197"/>
      <c r="F199" s="199">
        <v>17.5</v>
      </c>
      <c r="G199" s="198">
        <v>12.3</v>
      </c>
      <c r="H199" s="198">
        <f>G199*J222</f>
        <v>457.068</v>
      </c>
      <c r="I199" s="198">
        <v>17.5</v>
      </c>
      <c r="J199" s="198">
        <v>8.3</v>
      </c>
      <c r="K199" s="198">
        <f>J199*J222</f>
        <v>308.428</v>
      </c>
      <c r="L199" s="198">
        <v>17.5</v>
      </c>
      <c r="M199" s="198">
        <v>5.4</v>
      </c>
      <c r="N199" s="198">
        <f>M199*K222</f>
        <v>207.9</v>
      </c>
      <c r="O199" s="198">
        <v>17.5</v>
      </c>
      <c r="P199" s="198">
        <v>11.3</v>
      </c>
      <c r="Q199" s="198">
        <f>P199*K222</f>
        <v>435.05</v>
      </c>
      <c r="R199" s="198">
        <f>G199+J199+M199+P199</f>
        <v>37.3</v>
      </c>
      <c r="S199" s="198">
        <f>H199+K199+N199+Q199</f>
        <v>1408.446</v>
      </c>
      <c r="T199" s="67" t="s">
        <v>21</v>
      </c>
      <c r="U199" s="11">
        <f>41.08*P199</f>
        <v>464.204</v>
      </c>
      <c r="V199" s="11">
        <f>H199+K199+N199+Q199</f>
        <v>1408.446</v>
      </c>
      <c r="W199" s="12">
        <f aca="true" t="shared" si="21" ref="W199:W208">G199+J199+M199+P199</f>
        <v>37.3</v>
      </c>
    </row>
    <row r="200" spans="1:23" ht="25.5" customHeight="1" hidden="1">
      <c r="A200" s="196">
        <v>2</v>
      </c>
      <c r="B200" s="539" t="s">
        <v>41</v>
      </c>
      <c r="C200" s="540"/>
      <c r="D200" s="541"/>
      <c r="E200" s="197"/>
      <c r="F200" s="199"/>
      <c r="G200" s="198">
        <f>G201+G202+G203+G204+G205+G206</f>
        <v>5188.679999999999</v>
      </c>
      <c r="H200" s="198">
        <f>H201+H202+H204+H205+H206+H203</f>
        <v>136057.8288</v>
      </c>
      <c r="I200" s="198"/>
      <c r="J200" s="198">
        <f>J201+J202+J203+J204+J205+J206</f>
        <v>4597.45</v>
      </c>
      <c r="K200" s="198">
        <f>K201+K202+K203+K204+K205+K206</f>
        <v>119534.57199999999</v>
      </c>
      <c r="L200" s="198"/>
      <c r="M200" s="198">
        <f>M201+M202+M203+M204+M205+M206</f>
        <v>4948.61</v>
      </c>
      <c r="N200" s="198">
        <f>N201+N202+N203+N204+N205+N206</f>
        <v>134143.28500000003</v>
      </c>
      <c r="O200" s="198"/>
      <c r="P200" s="198">
        <f>P201+P202+P203+P204+P205+P206</f>
        <v>4697.63</v>
      </c>
      <c r="Q200" s="198">
        <f>Q201+Q202+Q203+Q204+Q205+Q206</f>
        <v>125820.235</v>
      </c>
      <c r="R200" s="198">
        <f>R201+R202+R204+R205+R206+R203</f>
        <v>19432.370000000003</v>
      </c>
      <c r="S200" s="198">
        <f>S201+S202+S203+S204+S205+S206</f>
        <v>515555.92079999996</v>
      </c>
      <c r="U200" s="11"/>
      <c r="V200" s="11"/>
      <c r="W200" s="12"/>
    </row>
    <row r="201" spans="1:23" ht="32.25" customHeight="1" hidden="1">
      <c r="A201" s="199"/>
      <c r="B201" s="542" t="s">
        <v>34</v>
      </c>
      <c r="C201" s="543"/>
      <c r="D201" s="544"/>
      <c r="E201" s="200"/>
      <c r="F201" s="199">
        <v>2715</v>
      </c>
      <c r="G201" s="201">
        <v>748.28</v>
      </c>
      <c r="H201" s="201">
        <f>G201*J222</f>
        <v>27806.084799999997</v>
      </c>
      <c r="I201" s="201">
        <v>2715</v>
      </c>
      <c r="J201" s="201">
        <v>409.15</v>
      </c>
      <c r="K201" s="201">
        <f>J201*J222</f>
        <v>15204.013999999997</v>
      </c>
      <c r="L201" s="201">
        <v>2715</v>
      </c>
      <c r="M201" s="201">
        <v>662.91</v>
      </c>
      <c r="N201" s="201">
        <f>M201*K222</f>
        <v>25522.035</v>
      </c>
      <c r="O201" s="201">
        <v>2715</v>
      </c>
      <c r="P201" s="201">
        <v>464.93</v>
      </c>
      <c r="Q201" s="201">
        <f>P201*K222</f>
        <v>17899.805</v>
      </c>
      <c r="R201" s="201">
        <f aca="true" t="shared" si="22" ref="R201:S207">G201+J201+M201+P201</f>
        <v>2285.2699999999995</v>
      </c>
      <c r="S201" s="201">
        <f t="shared" si="22"/>
        <v>86431.9388</v>
      </c>
      <c r="T201" s="67" t="s">
        <v>21</v>
      </c>
      <c r="U201" s="11">
        <f aca="true" t="shared" si="23" ref="U201:U208">41.08*P201</f>
        <v>19099.324399999998</v>
      </c>
      <c r="V201" s="11">
        <f aca="true" t="shared" si="24" ref="V201:V208">H201+K201+N201+Q201</f>
        <v>86431.9388</v>
      </c>
      <c r="W201" s="12">
        <f t="shared" si="21"/>
        <v>2285.2699999999995</v>
      </c>
    </row>
    <row r="202" spans="1:23" ht="33.75" customHeight="1" hidden="1">
      <c r="A202" s="199"/>
      <c r="B202" s="542" t="s">
        <v>35</v>
      </c>
      <c r="C202" s="543"/>
      <c r="D202" s="544"/>
      <c r="E202" s="200"/>
      <c r="F202" s="199">
        <v>816</v>
      </c>
      <c r="G202" s="201">
        <v>660</v>
      </c>
      <c r="H202" s="201">
        <f>G202*J222</f>
        <v>24525.6</v>
      </c>
      <c r="I202" s="201">
        <v>816</v>
      </c>
      <c r="J202" s="201">
        <v>660</v>
      </c>
      <c r="K202" s="201">
        <f>J202*J222</f>
        <v>24525.6</v>
      </c>
      <c r="L202" s="201">
        <v>816</v>
      </c>
      <c r="M202" s="201">
        <v>660</v>
      </c>
      <c r="N202" s="201">
        <f>M202*K222</f>
        <v>25410</v>
      </c>
      <c r="O202" s="201">
        <v>816</v>
      </c>
      <c r="P202" s="201">
        <v>660</v>
      </c>
      <c r="Q202" s="201">
        <f>P202*K222</f>
        <v>25410</v>
      </c>
      <c r="R202" s="201">
        <f t="shared" si="22"/>
        <v>2640</v>
      </c>
      <c r="S202" s="201">
        <f t="shared" si="22"/>
        <v>99871.2</v>
      </c>
      <c r="T202" s="67" t="s">
        <v>21</v>
      </c>
      <c r="U202" s="11">
        <f t="shared" si="23"/>
        <v>27112.8</v>
      </c>
      <c r="V202" s="11">
        <f t="shared" si="24"/>
        <v>99871.2</v>
      </c>
      <c r="W202" s="12">
        <f t="shared" si="21"/>
        <v>2640</v>
      </c>
    </row>
    <row r="203" spans="1:23" ht="34.5" customHeight="1" hidden="1">
      <c r="A203" s="199"/>
      <c r="B203" s="542" t="s">
        <v>36</v>
      </c>
      <c r="C203" s="543"/>
      <c r="D203" s="544"/>
      <c r="E203" s="200"/>
      <c r="F203" s="199">
        <v>910.2</v>
      </c>
      <c r="G203" s="201">
        <v>774</v>
      </c>
      <c r="H203" s="201">
        <f>G203*J223</f>
        <v>8196.66</v>
      </c>
      <c r="I203" s="201">
        <v>1072.5</v>
      </c>
      <c r="J203" s="201">
        <v>912</v>
      </c>
      <c r="K203" s="201">
        <f>J203*J223</f>
        <v>9658.08</v>
      </c>
      <c r="L203" s="201">
        <v>905.1</v>
      </c>
      <c r="M203" s="201">
        <v>769</v>
      </c>
      <c r="N203" s="201">
        <f>M203*K223</f>
        <v>8143.71</v>
      </c>
      <c r="O203" s="201">
        <v>1121.6</v>
      </c>
      <c r="P203" s="201">
        <v>940</v>
      </c>
      <c r="Q203" s="201">
        <f>P203*K223</f>
        <v>9954.6</v>
      </c>
      <c r="R203" s="201">
        <f t="shared" si="22"/>
        <v>3395</v>
      </c>
      <c r="S203" s="201">
        <f t="shared" si="22"/>
        <v>35953.049999999996</v>
      </c>
      <c r="T203" s="67" t="s">
        <v>21</v>
      </c>
      <c r="U203" s="11">
        <f>11.81*P203</f>
        <v>11101.4</v>
      </c>
      <c r="V203" s="11">
        <f t="shared" si="24"/>
        <v>35953.049999999996</v>
      </c>
      <c r="W203" s="12">
        <f t="shared" si="21"/>
        <v>3395</v>
      </c>
    </row>
    <row r="204" spans="1:23" ht="28.5" customHeight="1" hidden="1">
      <c r="A204" s="199"/>
      <c r="B204" s="545" t="s">
        <v>37</v>
      </c>
      <c r="C204" s="545"/>
      <c r="D204" s="545"/>
      <c r="E204" s="202"/>
      <c r="F204" s="199">
        <v>1845</v>
      </c>
      <c r="G204" s="201">
        <v>1362</v>
      </c>
      <c r="H204" s="201">
        <f>G204*J223</f>
        <v>14423.58</v>
      </c>
      <c r="I204" s="201">
        <v>1803</v>
      </c>
      <c r="J204" s="201">
        <v>1019</v>
      </c>
      <c r="K204" s="201">
        <f>J204*J223</f>
        <v>10791.21</v>
      </c>
      <c r="L204" s="201">
        <v>1803</v>
      </c>
      <c r="M204" s="201">
        <v>1251</v>
      </c>
      <c r="N204" s="201">
        <f>M204*K223</f>
        <v>13248.09</v>
      </c>
      <c r="O204" s="201">
        <v>1813.3</v>
      </c>
      <c r="P204" s="201">
        <v>1032</v>
      </c>
      <c r="Q204" s="201">
        <f>P204*K223</f>
        <v>10928.88</v>
      </c>
      <c r="R204" s="201">
        <f t="shared" si="22"/>
        <v>4664</v>
      </c>
      <c r="S204" s="201">
        <f t="shared" si="22"/>
        <v>49391.76</v>
      </c>
      <c r="T204" s="67" t="s">
        <v>21</v>
      </c>
      <c r="U204" s="11">
        <f t="shared" si="23"/>
        <v>42394.56</v>
      </c>
      <c r="V204" s="11">
        <f t="shared" si="24"/>
        <v>49391.76</v>
      </c>
      <c r="W204" s="12">
        <f t="shared" si="21"/>
        <v>4664</v>
      </c>
    </row>
    <row r="205" spans="1:23" ht="33" customHeight="1" hidden="1">
      <c r="A205" s="199"/>
      <c r="B205" s="545" t="s">
        <v>38</v>
      </c>
      <c r="C205" s="545"/>
      <c r="D205" s="545"/>
      <c r="E205" s="202"/>
      <c r="F205" s="199">
        <v>74.5</v>
      </c>
      <c r="G205" s="201">
        <v>1568</v>
      </c>
      <c r="H205" s="201">
        <f>G205*J222</f>
        <v>58266.88</v>
      </c>
      <c r="I205" s="201">
        <v>72.8</v>
      </c>
      <c r="J205" s="201">
        <v>1533</v>
      </c>
      <c r="K205" s="201">
        <f>J205*J222</f>
        <v>56966.27999999999</v>
      </c>
      <c r="L205" s="201">
        <v>72.9</v>
      </c>
      <c r="M205" s="201">
        <v>1533</v>
      </c>
      <c r="N205" s="201">
        <f>M205*K222</f>
        <v>59020.5</v>
      </c>
      <c r="O205" s="201">
        <v>72.9</v>
      </c>
      <c r="P205" s="201">
        <v>1541</v>
      </c>
      <c r="Q205" s="201">
        <f>P205*K222</f>
        <v>59328.5</v>
      </c>
      <c r="R205" s="201">
        <f t="shared" si="22"/>
        <v>6175</v>
      </c>
      <c r="S205" s="201">
        <f t="shared" si="22"/>
        <v>233582.15999999997</v>
      </c>
      <c r="T205" s="67" t="s">
        <v>21</v>
      </c>
      <c r="U205" s="11">
        <f t="shared" si="23"/>
        <v>63304.28</v>
      </c>
      <c r="V205" s="11">
        <f t="shared" si="24"/>
        <v>233582.15999999997</v>
      </c>
      <c r="W205" s="12">
        <f t="shared" si="21"/>
        <v>6175</v>
      </c>
    </row>
    <row r="206" spans="1:23" ht="44.25" customHeight="1" hidden="1">
      <c r="A206" s="199"/>
      <c r="B206" s="545" t="s">
        <v>39</v>
      </c>
      <c r="C206" s="545"/>
      <c r="D206" s="545"/>
      <c r="E206" s="202"/>
      <c r="F206" s="199">
        <v>88.6</v>
      </c>
      <c r="G206" s="201">
        <v>76.4</v>
      </c>
      <c r="H206" s="201">
        <f>G206*J222</f>
        <v>2839.024</v>
      </c>
      <c r="I206" s="201">
        <v>88.5</v>
      </c>
      <c r="J206" s="201">
        <v>64.3</v>
      </c>
      <c r="K206" s="201">
        <f>J206*J222</f>
        <v>2389.3879999999995</v>
      </c>
      <c r="L206" s="201">
        <v>88.5</v>
      </c>
      <c r="M206" s="201">
        <v>72.7</v>
      </c>
      <c r="N206" s="201">
        <f>M206*K222</f>
        <v>2798.9500000000003</v>
      </c>
      <c r="O206" s="201">
        <v>88.5</v>
      </c>
      <c r="P206" s="201">
        <v>59.7</v>
      </c>
      <c r="Q206" s="201">
        <f>P206*K222</f>
        <v>2298.4500000000003</v>
      </c>
      <c r="R206" s="201">
        <f>G206+J206+M206+P206</f>
        <v>273.09999999999997</v>
      </c>
      <c r="S206" s="201">
        <f t="shared" si="22"/>
        <v>10325.812</v>
      </c>
      <c r="T206" s="67" t="s">
        <v>21</v>
      </c>
      <c r="U206" s="11">
        <f t="shared" si="23"/>
        <v>2452.476</v>
      </c>
      <c r="V206" s="11">
        <f t="shared" si="24"/>
        <v>10325.812</v>
      </c>
      <c r="W206" s="12">
        <f t="shared" si="21"/>
        <v>273.09999999999997</v>
      </c>
    </row>
    <row r="207" spans="1:23" ht="51.75" customHeight="1" hidden="1">
      <c r="A207" s="196">
        <v>3</v>
      </c>
      <c r="B207" s="539" t="s">
        <v>42</v>
      </c>
      <c r="C207" s="540"/>
      <c r="D207" s="541"/>
      <c r="E207" s="197"/>
      <c r="F207" s="199">
        <v>118.05</v>
      </c>
      <c r="G207" s="198">
        <v>263</v>
      </c>
      <c r="H207" s="198">
        <f>G207*J222</f>
        <v>9773.08</v>
      </c>
      <c r="I207" s="198">
        <v>118.05</v>
      </c>
      <c r="J207" s="198">
        <v>252</v>
      </c>
      <c r="K207" s="198">
        <f>J207*J222</f>
        <v>9364.32</v>
      </c>
      <c r="L207" s="198">
        <v>118.05</v>
      </c>
      <c r="M207" s="198">
        <v>248</v>
      </c>
      <c r="N207" s="198">
        <f>M207*K222</f>
        <v>9548</v>
      </c>
      <c r="O207" s="198">
        <v>118.05</v>
      </c>
      <c r="P207" s="198">
        <v>268</v>
      </c>
      <c r="Q207" s="198">
        <f>P207*K222</f>
        <v>10318</v>
      </c>
      <c r="R207" s="198">
        <f t="shared" si="22"/>
        <v>1031</v>
      </c>
      <c r="S207" s="198">
        <f t="shared" si="22"/>
        <v>39003.4</v>
      </c>
      <c r="T207" s="67" t="s">
        <v>21</v>
      </c>
      <c r="U207" s="11">
        <f t="shared" si="23"/>
        <v>11009.439999999999</v>
      </c>
      <c r="V207" s="11">
        <f t="shared" si="24"/>
        <v>39003.4</v>
      </c>
      <c r="W207" s="12">
        <f t="shared" si="21"/>
        <v>1031</v>
      </c>
    </row>
    <row r="208" spans="1:23" ht="33.75" customHeight="1" hidden="1">
      <c r="A208" s="196">
        <v>4</v>
      </c>
      <c r="B208" s="539" t="s">
        <v>43</v>
      </c>
      <c r="C208" s="540"/>
      <c r="D208" s="541"/>
      <c r="E208" s="197"/>
      <c r="F208" s="199">
        <v>180</v>
      </c>
      <c r="G208" s="198">
        <f>G209</f>
        <v>23.4</v>
      </c>
      <c r="H208" s="198">
        <f>H209</f>
        <v>869.5439999999999</v>
      </c>
      <c r="I208" s="198"/>
      <c r="J208" s="198">
        <f>J209</f>
        <v>23.4</v>
      </c>
      <c r="K208" s="198">
        <f>K209</f>
        <v>869.5439999999999</v>
      </c>
      <c r="L208" s="198"/>
      <c r="M208" s="198">
        <f>M209</f>
        <v>23.4</v>
      </c>
      <c r="N208" s="198">
        <f>N209</f>
        <v>900.9</v>
      </c>
      <c r="O208" s="198"/>
      <c r="P208" s="198">
        <f>P209</f>
        <v>23.1</v>
      </c>
      <c r="Q208" s="198">
        <f>Q209</f>
        <v>889.35</v>
      </c>
      <c r="R208" s="198">
        <f>R209</f>
        <v>93.29999999999998</v>
      </c>
      <c r="S208" s="198">
        <f>S209</f>
        <v>3529.3379999999997</v>
      </c>
      <c r="T208" s="67" t="s">
        <v>21</v>
      </c>
      <c r="U208" s="11">
        <f t="shared" si="23"/>
        <v>948.948</v>
      </c>
      <c r="V208" s="11">
        <f t="shared" si="24"/>
        <v>3529.3379999999997</v>
      </c>
      <c r="W208" s="12">
        <f t="shared" si="21"/>
        <v>93.29999999999998</v>
      </c>
    </row>
    <row r="209" spans="1:23" ht="27.75" customHeight="1" hidden="1">
      <c r="A209" s="199"/>
      <c r="B209" s="542" t="s">
        <v>44</v>
      </c>
      <c r="C209" s="543"/>
      <c r="D209" s="544"/>
      <c r="E209" s="200"/>
      <c r="F209" s="199"/>
      <c r="G209" s="201">
        <v>23.4</v>
      </c>
      <c r="H209" s="201">
        <f>G209*J222</f>
        <v>869.5439999999999</v>
      </c>
      <c r="I209" s="201"/>
      <c r="J209" s="201">
        <v>23.4</v>
      </c>
      <c r="K209" s="201">
        <f>J209*J222</f>
        <v>869.5439999999999</v>
      </c>
      <c r="L209" s="201"/>
      <c r="M209" s="201">
        <v>23.4</v>
      </c>
      <c r="N209" s="201">
        <f>M209*K222</f>
        <v>900.9</v>
      </c>
      <c r="O209" s="201"/>
      <c r="P209" s="201">
        <v>23.1</v>
      </c>
      <c r="Q209" s="201">
        <f>P209*K222</f>
        <v>889.35</v>
      </c>
      <c r="R209" s="201">
        <f>G209+J209+M209+P209</f>
        <v>93.29999999999998</v>
      </c>
      <c r="S209" s="201">
        <f>H209+K209+N209+Q209</f>
        <v>3529.3379999999997</v>
      </c>
      <c r="U209" s="11"/>
      <c r="V209" s="11"/>
      <c r="W209" s="12"/>
    </row>
    <row r="210" spans="1:23" ht="33.75" customHeight="1" hidden="1">
      <c r="A210" s="196">
        <v>5</v>
      </c>
      <c r="B210" s="539" t="s">
        <v>47</v>
      </c>
      <c r="C210" s="540"/>
      <c r="D210" s="541"/>
      <c r="E210" s="197"/>
      <c r="F210" s="199"/>
      <c r="G210" s="198">
        <f>G211+G212+G213+G214+G215+G216</f>
        <v>189.14000000000001</v>
      </c>
      <c r="H210" s="198">
        <f>H211+H212+H213+H214+H215+H216</f>
        <v>6316.366399999999</v>
      </c>
      <c r="I210" s="198"/>
      <c r="J210" s="198">
        <f>J211+J212+J213+J214+J215+J216</f>
        <v>169.2</v>
      </c>
      <c r="K210" s="198">
        <f>K211+K212+K214+K216+K213+K215</f>
        <v>5710.902999999999</v>
      </c>
      <c r="L210" s="198"/>
      <c r="M210" s="198">
        <f>M211+M212+M213+M214+M215+M216</f>
        <v>143.23000000000002</v>
      </c>
      <c r="N210" s="198">
        <f>N211+N212+N213+N214+N215+N216</f>
        <v>4908.708</v>
      </c>
      <c r="O210" s="198"/>
      <c r="P210" s="198">
        <f>P211+P212+P213+P214+P215+P216</f>
        <v>174.28</v>
      </c>
      <c r="Q210" s="198">
        <f>Q211+Q212+Q213+Q214+Q215+Q216</f>
        <v>5942.255</v>
      </c>
      <c r="R210" s="198">
        <f>R211+R212+R213+R214+R215+R216</f>
        <v>675.85</v>
      </c>
      <c r="S210" s="198">
        <f>S211+S212+S213+S214+S215+S216</f>
        <v>22878.2324</v>
      </c>
      <c r="U210" s="11"/>
      <c r="V210" s="11"/>
      <c r="W210" s="12"/>
    </row>
    <row r="211" spans="1:23" ht="33.75" customHeight="1" hidden="1">
      <c r="A211" s="196"/>
      <c r="B211" s="542" t="s">
        <v>48</v>
      </c>
      <c r="C211" s="543"/>
      <c r="D211" s="544"/>
      <c r="E211" s="200"/>
      <c r="F211" s="199"/>
      <c r="G211" s="201">
        <v>8.64</v>
      </c>
      <c r="H211" s="201">
        <f>G211*J222</f>
        <v>321.06239999999997</v>
      </c>
      <c r="I211" s="201"/>
      <c r="J211" s="201">
        <v>8</v>
      </c>
      <c r="K211" s="201">
        <f>J211*J222</f>
        <v>297.28</v>
      </c>
      <c r="L211" s="201"/>
      <c r="M211" s="201">
        <v>5.23</v>
      </c>
      <c r="N211" s="201">
        <f>M211*K222</f>
        <v>201.35500000000002</v>
      </c>
      <c r="O211" s="201"/>
      <c r="P211" s="201">
        <v>7.48</v>
      </c>
      <c r="Q211" s="201">
        <f>P211*K222</f>
        <v>287.98</v>
      </c>
      <c r="R211" s="201">
        <f aca="true" t="shared" si="25" ref="R211:S216">G211+J211+M211+P211</f>
        <v>29.35</v>
      </c>
      <c r="S211" s="201">
        <f t="shared" si="25"/>
        <v>1107.6774</v>
      </c>
      <c r="U211" s="11"/>
      <c r="V211" s="11"/>
      <c r="W211" s="12"/>
    </row>
    <row r="212" spans="1:23" ht="33.75" customHeight="1" hidden="1">
      <c r="A212" s="196"/>
      <c r="B212" s="542" t="s">
        <v>49</v>
      </c>
      <c r="C212" s="543"/>
      <c r="D212" s="544"/>
      <c r="E212" s="200"/>
      <c r="F212" s="199"/>
      <c r="G212" s="201">
        <v>53.5</v>
      </c>
      <c r="H212" s="201">
        <f>G212*J222</f>
        <v>1988.0599999999997</v>
      </c>
      <c r="I212" s="201"/>
      <c r="J212" s="201">
        <v>52.5</v>
      </c>
      <c r="K212" s="201">
        <f>J212*J222</f>
        <v>1950.8999999999999</v>
      </c>
      <c r="L212" s="201"/>
      <c r="M212" s="201">
        <v>42.5</v>
      </c>
      <c r="N212" s="201">
        <f>M212*K222</f>
        <v>1636.25</v>
      </c>
      <c r="O212" s="201"/>
      <c r="P212" s="201">
        <v>51.5</v>
      </c>
      <c r="Q212" s="201">
        <f>P212*K222</f>
        <v>1982.75</v>
      </c>
      <c r="R212" s="201">
        <f t="shared" si="25"/>
        <v>200</v>
      </c>
      <c r="S212" s="201">
        <f t="shared" si="25"/>
        <v>7557.959999999999</v>
      </c>
      <c r="U212" s="11"/>
      <c r="V212" s="11"/>
      <c r="W212" s="12"/>
    </row>
    <row r="213" spans="1:23" ht="33.75" customHeight="1" hidden="1">
      <c r="A213" s="196"/>
      <c r="B213" s="542" t="s">
        <v>50</v>
      </c>
      <c r="C213" s="543"/>
      <c r="D213" s="544"/>
      <c r="E213" s="200"/>
      <c r="F213" s="199"/>
      <c r="G213" s="201">
        <v>40</v>
      </c>
      <c r="H213" s="201">
        <f>G213*J222</f>
        <v>1486.3999999999999</v>
      </c>
      <c r="I213" s="201"/>
      <c r="J213" s="201">
        <v>40</v>
      </c>
      <c r="K213" s="201">
        <f>J213*J222</f>
        <v>1486.3999999999999</v>
      </c>
      <c r="L213" s="201"/>
      <c r="M213" s="201">
        <v>38.9</v>
      </c>
      <c r="N213" s="201">
        <f>M213*K222</f>
        <v>1497.6499999999999</v>
      </c>
      <c r="O213" s="201"/>
      <c r="P213" s="201">
        <v>39.5</v>
      </c>
      <c r="Q213" s="201">
        <f>P213*K222</f>
        <v>1520.75</v>
      </c>
      <c r="R213" s="201">
        <f t="shared" si="25"/>
        <v>158.4</v>
      </c>
      <c r="S213" s="201">
        <f t="shared" si="25"/>
        <v>5991.2</v>
      </c>
      <c r="U213" s="11"/>
      <c r="V213" s="11"/>
      <c r="W213" s="12"/>
    </row>
    <row r="214" spans="1:23" ht="33.75" customHeight="1" hidden="1">
      <c r="A214" s="196"/>
      <c r="B214" s="545" t="s">
        <v>40</v>
      </c>
      <c r="C214" s="545"/>
      <c r="D214" s="545"/>
      <c r="E214" s="202"/>
      <c r="F214" s="199"/>
      <c r="G214" s="201">
        <v>60.2</v>
      </c>
      <c r="H214" s="201">
        <f>G214*J222</f>
        <v>2237.0319999999997</v>
      </c>
      <c r="I214" s="201"/>
      <c r="J214" s="201">
        <v>47</v>
      </c>
      <c r="K214" s="201">
        <f>J214*J222</f>
        <v>1746.5199999999998</v>
      </c>
      <c r="L214" s="201"/>
      <c r="M214" s="201">
        <v>34.9</v>
      </c>
      <c r="N214" s="201">
        <f>M214*K222</f>
        <v>1343.6499999999999</v>
      </c>
      <c r="O214" s="201"/>
      <c r="P214" s="201">
        <v>48.3</v>
      </c>
      <c r="Q214" s="201">
        <f>P214*K222</f>
        <v>1859.55</v>
      </c>
      <c r="R214" s="201">
        <f t="shared" si="25"/>
        <v>190.39999999999998</v>
      </c>
      <c r="S214" s="201">
        <f t="shared" si="25"/>
        <v>7186.7519999999995</v>
      </c>
      <c r="U214" s="11"/>
      <c r="V214" s="11"/>
      <c r="W214" s="12"/>
    </row>
    <row r="215" spans="1:23" ht="33.75" customHeight="1" hidden="1">
      <c r="A215" s="196"/>
      <c r="B215" s="545" t="s">
        <v>51</v>
      </c>
      <c r="C215" s="545"/>
      <c r="D215" s="545"/>
      <c r="E215" s="202"/>
      <c r="F215" s="199"/>
      <c r="G215" s="201">
        <v>7.3</v>
      </c>
      <c r="H215" s="201">
        <f>G215*J223</f>
        <v>77.307</v>
      </c>
      <c r="I215" s="201"/>
      <c r="J215" s="201">
        <v>2.2</v>
      </c>
      <c r="K215" s="201">
        <f>J215*J223</f>
        <v>23.298000000000002</v>
      </c>
      <c r="L215" s="201"/>
      <c r="M215" s="201">
        <v>2.2</v>
      </c>
      <c r="N215" s="201">
        <f>M215*K223</f>
        <v>23.298000000000002</v>
      </c>
      <c r="O215" s="201"/>
      <c r="P215" s="201">
        <v>8</v>
      </c>
      <c r="Q215" s="201">
        <f>P215*K223</f>
        <v>84.72</v>
      </c>
      <c r="R215" s="201">
        <f t="shared" si="25"/>
        <v>19.7</v>
      </c>
      <c r="S215" s="201">
        <f t="shared" si="25"/>
        <v>208.623</v>
      </c>
      <c r="U215" s="11"/>
      <c r="V215" s="11"/>
      <c r="W215" s="12"/>
    </row>
    <row r="216" spans="1:23" ht="33.75" customHeight="1" hidden="1">
      <c r="A216" s="196"/>
      <c r="B216" s="545" t="s">
        <v>52</v>
      </c>
      <c r="C216" s="545"/>
      <c r="D216" s="545"/>
      <c r="E216" s="202"/>
      <c r="F216" s="199"/>
      <c r="G216" s="201">
        <v>19.5</v>
      </c>
      <c r="H216" s="201">
        <f>G216*J223</f>
        <v>206.505</v>
      </c>
      <c r="I216" s="201"/>
      <c r="J216" s="201">
        <v>19.5</v>
      </c>
      <c r="K216" s="201">
        <f>J216*J223</f>
        <v>206.505</v>
      </c>
      <c r="L216" s="201"/>
      <c r="M216" s="201">
        <v>19.5</v>
      </c>
      <c r="N216" s="201">
        <f>M216*K223</f>
        <v>206.505</v>
      </c>
      <c r="O216" s="201"/>
      <c r="P216" s="201">
        <v>19.5</v>
      </c>
      <c r="Q216" s="201">
        <f>P216*K223</f>
        <v>206.505</v>
      </c>
      <c r="R216" s="201">
        <f t="shared" si="25"/>
        <v>78</v>
      </c>
      <c r="S216" s="201">
        <f t="shared" si="25"/>
        <v>826.02</v>
      </c>
      <c r="U216" s="11"/>
      <c r="V216" s="11"/>
      <c r="W216" s="12"/>
    </row>
    <row r="217" spans="1:23" ht="33.75" customHeight="1" hidden="1">
      <c r="A217" s="196">
        <v>6</v>
      </c>
      <c r="B217" s="539" t="s">
        <v>53</v>
      </c>
      <c r="C217" s="540"/>
      <c r="D217" s="541"/>
      <c r="E217" s="197"/>
      <c r="F217" s="199"/>
      <c r="G217" s="198">
        <f>G218+G219</f>
        <v>463.75</v>
      </c>
      <c r="H217" s="198">
        <f>H218+H219</f>
        <v>17232.949999999997</v>
      </c>
      <c r="I217" s="198"/>
      <c r="J217" s="198">
        <f>J218+J219</f>
        <v>564.53</v>
      </c>
      <c r="K217" s="198">
        <f>K218+K219</f>
        <v>20977.934799999995</v>
      </c>
      <c r="L217" s="198"/>
      <c r="M217" s="198">
        <f>M218+M219</f>
        <v>284.18</v>
      </c>
      <c r="N217" s="198">
        <f>N218+N219</f>
        <v>10940.93</v>
      </c>
      <c r="O217" s="198"/>
      <c r="P217" s="198">
        <f>P218+P219</f>
        <v>550.62</v>
      </c>
      <c r="Q217" s="198">
        <f>Q218+Q219</f>
        <v>21198.87</v>
      </c>
      <c r="R217" s="198">
        <f>R218+R219</f>
        <v>1863.08</v>
      </c>
      <c r="S217" s="198">
        <f>S218+S219</f>
        <v>70350.6848</v>
      </c>
      <c r="U217" s="11"/>
      <c r="V217" s="11"/>
      <c r="W217" s="12"/>
    </row>
    <row r="218" spans="1:23" ht="33.75" customHeight="1" hidden="1">
      <c r="A218" s="199"/>
      <c r="B218" s="542" t="s">
        <v>54</v>
      </c>
      <c r="C218" s="543"/>
      <c r="D218" s="544"/>
      <c r="E218" s="200"/>
      <c r="F218" s="199"/>
      <c r="G218" s="201">
        <v>45.6</v>
      </c>
      <c r="H218" s="201">
        <f>G218*J222</f>
        <v>1694.4959999999999</v>
      </c>
      <c r="I218" s="201"/>
      <c r="J218" s="201">
        <v>64.5</v>
      </c>
      <c r="K218" s="201">
        <f>J218*J222</f>
        <v>2396.8199999999997</v>
      </c>
      <c r="L218" s="201"/>
      <c r="M218" s="201">
        <v>113.6</v>
      </c>
      <c r="N218" s="201">
        <f>M218*K222</f>
        <v>4373.599999999999</v>
      </c>
      <c r="O218" s="201"/>
      <c r="P218" s="201">
        <v>50.1</v>
      </c>
      <c r="Q218" s="201">
        <f>P218*K222</f>
        <v>1928.8500000000001</v>
      </c>
      <c r="R218" s="201">
        <f>G218+J218+M218+P218</f>
        <v>273.8</v>
      </c>
      <c r="S218" s="201">
        <f>H218+K218+N218+Q218</f>
        <v>10393.766</v>
      </c>
      <c r="U218" s="11"/>
      <c r="V218" s="11"/>
      <c r="W218" s="12"/>
    </row>
    <row r="219" spans="1:23" ht="33.75" customHeight="1" hidden="1">
      <c r="A219" s="199"/>
      <c r="B219" s="542" t="s">
        <v>55</v>
      </c>
      <c r="C219" s="543"/>
      <c r="D219" s="544"/>
      <c r="E219" s="200"/>
      <c r="F219" s="199"/>
      <c r="G219" s="201">
        <v>418.15</v>
      </c>
      <c r="H219" s="201">
        <f>G219*J222</f>
        <v>15538.453999999998</v>
      </c>
      <c r="I219" s="201"/>
      <c r="J219" s="201">
        <v>500.03</v>
      </c>
      <c r="K219" s="201">
        <f>J219*J222</f>
        <v>18581.114799999996</v>
      </c>
      <c r="L219" s="201"/>
      <c r="M219" s="201">
        <v>170.58</v>
      </c>
      <c r="N219" s="201">
        <f>M219*K222</f>
        <v>6567.330000000001</v>
      </c>
      <c r="O219" s="201"/>
      <c r="P219" s="201">
        <v>500.52</v>
      </c>
      <c r="Q219" s="201">
        <f>P219*K222</f>
        <v>19270.02</v>
      </c>
      <c r="R219" s="201">
        <f>G219+J219+M219+P219</f>
        <v>1589.28</v>
      </c>
      <c r="S219" s="201">
        <f>H219+K219+N219+Q219</f>
        <v>59956.9188</v>
      </c>
      <c r="U219" s="11"/>
      <c r="V219" s="11"/>
      <c r="W219" s="12"/>
    </row>
    <row r="220" spans="1:23" ht="35.25" hidden="1">
      <c r="A220" s="208"/>
      <c r="B220" s="550" t="s">
        <v>19</v>
      </c>
      <c r="C220" s="550"/>
      <c r="D220" s="550"/>
      <c r="E220" s="209"/>
      <c r="F220" s="196">
        <f>SUM(F199:F208)</f>
        <v>6764.85</v>
      </c>
      <c r="G220" s="198">
        <f>G199+G200+G207+G208+G210+G217</f>
        <v>6140.2699999999995</v>
      </c>
      <c r="H220" s="198">
        <f>H199+H200+H207+H208+H210+H217</f>
        <v>170706.83719999995</v>
      </c>
      <c r="I220" s="198">
        <f>SUM(I199:I208)</f>
        <v>6703.35</v>
      </c>
      <c r="J220" s="198">
        <f>J199+J200+J207+J208+J210+J217</f>
        <v>5614.879999999999</v>
      </c>
      <c r="K220" s="198">
        <f>K199+K200+K207+K208+K210+K217</f>
        <v>156765.70179999995</v>
      </c>
      <c r="L220" s="198">
        <f>SUM(L199:L208)</f>
        <v>6536.05</v>
      </c>
      <c r="M220" s="198">
        <f>M199+M200+M207+M208+M210+M217</f>
        <v>5652.82</v>
      </c>
      <c r="N220" s="198">
        <f>N199+N200+N207+N208+N210+N217</f>
        <v>160649.72300000003</v>
      </c>
      <c r="O220" s="198">
        <f>SUM(O199:O208)</f>
        <v>6762.85</v>
      </c>
      <c r="P220" s="198">
        <f>P199+P200+P207+P208+P210+P217</f>
        <v>5724.93</v>
      </c>
      <c r="Q220" s="198">
        <f>Q199+Q200+Q207+Q208+Q210+Q217</f>
        <v>164603.76</v>
      </c>
      <c r="R220" s="198">
        <f>R199+R200+R207+R208+R210+R217</f>
        <v>23132.9</v>
      </c>
      <c r="S220" s="198">
        <f>S199+S200+S207+S208+S210+S217</f>
        <v>652726.022</v>
      </c>
      <c r="U220" s="53"/>
      <c r="V220" s="53"/>
      <c r="W220" s="53"/>
    </row>
    <row r="221" spans="1:19" ht="35.25" hidden="1">
      <c r="A221" s="204"/>
      <c r="B221" s="551" t="s">
        <v>8</v>
      </c>
      <c r="C221" s="552"/>
      <c r="D221" s="553"/>
      <c r="E221" s="210"/>
      <c r="F221" s="538" t="s">
        <v>61</v>
      </c>
      <c r="G221" s="538"/>
      <c r="H221" s="538"/>
      <c r="I221" s="538"/>
      <c r="J221" s="538"/>
      <c r="K221" s="538"/>
      <c r="L221" s="538"/>
      <c r="M221" s="538"/>
      <c r="N221" s="538"/>
      <c r="O221" s="538"/>
      <c r="P221" s="538"/>
      <c r="Q221" s="538"/>
      <c r="R221" s="538"/>
      <c r="S221" s="538"/>
    </row>
    <row r="222" spans="1:19" ht="35.25" hidden="1">
      <c r="A222" s="176"/>
      <c r="B222" s="176"/>
      <c r="C222" s="176"/>
      <c r="D222" s="176"/>
      <c r="E222" s="176"/>
      <c r="F222" s="176"/>
      <c r="G222" s="176"/>
      <c r="H222" s="179" t="s">
        <v>12</v>
      </c>
      <c r="I222" s="179"/>
      <c r="J222" s="179">
        <v>37.16</v>
      </c>
      <c r="K222" s="179">
        <v>38.5</v>
      </c>
      <c r="L222" s="176"/>
      <c r="M222" s="176"/>
      <c r="N222" s="176"/>
      <c r="O222" s="176"/>
      <c r="P222" s="176"/>
      <c r="Q222" s="176"/>
      <c r="R222" s="176"/>
      <c r="S222" s="176"/>
    </row>
    <row r="223" spans="1:19" ht="35.25" hidden="1">
      <c r="A223" s="176"/>
      <c r="B223" s="176"/>
      <c r="C223" s="176"/>
      <c r="D223" s="176"/>
      <c r="E223" s="176"/>
      <c r="F223" s="176"/>
      <c r="G223" s="176"/>
      <c r="H223" s="179" t="s">
        <v>20</v>
      </c>
      <c r="I223" s="179"/>
      <c r="J223" s="179">
        <v>10.59</v>
      </c>
      <c r="K223" s="179">
        <v>10.59</v>
      </c>
      <c r="L223" s="176"/>
      <c r="M223" s="176"/>
      <c r="N223" s="176"/>
      <c r="O223" s="176"/>
      <c r="P223" s="176"/>
      <c r="Q223" s="176"/>
      <c r="R223" s="176"/>
      <c r="S223" s="176"/>
    </row>
    <row r="224" spans="1:19" ht="35.25">
      <c r="A224" s="176"/>
      <c r="B224" s="176"/>
      <c r="C224" s="176"/>
      <c r="D224" s="176"/>
      <c r="E224" s="176"/>
      <c r="F224" s="176"/>
      <c r="G224" s="176"/>
      <c r="H224" s="176"/>
      <c r="I224" s="118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</row>
    <row r="225" spans="1:19" ht="35.25">
      <c r="A225" s="51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</row>
    <row r="226" spans="1:19" ht="35.25">
      <c r="A226" s="6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</row>
    <row r="227" spans="1:19" ht="35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35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35.25">
      <c r="A229" s="6"/>
      <c r="B229" s="6"/>
      <c r="C229" s="6"/>
      <c r="D229" s="6"/>
      <c r="E229" s="6"/>
      <c r="F229" s="54"/>
      <c r="L229" s="6"/>
      <c r="M229" s="6"/>
      <c r="N229" s="6"/>
      <c r="O229" s="6"/>
      <c r="P229" s="6"/>
      <c r="Q229" s="6"/>
      <c r="R229" s="6"/>
      <c r="S229" s="6"/>
    </row>
    <row r="230" ht="35.25">
      <c r="F230" s="55" t="s">
        <v>22</v>
      </c>
    </row>
    <row r="231" ht="35.25">
      <c r="F231" s="55" t="s">
        <v>23</v>
      </c>
    </row>
    <row r="232" ht="35.25">
      <c r="F232" s="55" t="s">
        <v>24</v>
      </c>
    </row>
    <row r="233" ht="35.25">
      <c r="F233" s="55" t="s">
        <v>25</v>
      </c>
    </row>
    <row r="234" ht="35.25">
      <c r="F234" s="55" t="s">
        <v>26</v>
      </c>
    </row>
    <row r="235" ht="35.25">
      <c r="F235" s="55" t="s">
        <v>27</v>
      </c>
    </row>
    <row r="236" ht="35.25">
      <c r="F236" s="55" t="s">
        <v>29</v>
      </c>
    </row>
    <row r="237" ht="35.25">
      <c r="F237" s="55" t="s">
        <v>30</v>
      </c>
    </row>
    <row r="238" ht="35.25">
      <c r="F238" s="55" t="s">
        <v>28</v>
      </c>
    </row>
  </sheetData>
  <sheetProtection/>
  <mergeCells count="229"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  <mergeCell ref="R7:S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O38:Q38"/>
    <mergeCell ref="R38:S38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F64:S64"/>
    <mergeCell ref="Q66:S66"/>
    <mergeCell ref="A67:S67"/>
    <mergeCell ref="A68:A69"/>
    <mergeCell ref="B68:D69"/>
    <mergeCell ref="E68:E69"/>
    <mergeCell ref="F68:H68"/>
    <mergeCell ref="I68:K68"/>
    <mergeCell ref="L68:N68"/>
    <mergeCell ref="O68:Q68"/>
    <mergeCell ref="R68:S68"/>
    <mergeCell ref="B70:D70"/>
    <mergeCell ref="B71:D71"/>
    <mergeCell ref="B72:D72"/>
    <mergeCell ref="B73:D73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97:D97"/>
    <mergeCell ref="B98:D98"/>
    <mergeCell ref="B99:D99"/>
    <mergeCell ref="B100:D100"/>
    <mergeCell ref="B87:D87"/>
    <mergeCell ref="B88:D88"/>
    <mergeCell ref="B89:D89"/>
    <mergeCell ref="B90:D90"/>
    <mergeCell ref="B91:D91"/>
    <mergeCell ref="B92:D92"/>
    <mergeCell ref="B107:D107"/>
    <mergeCell ref="B108:D108"/>
    <mergeCell ref="B109:D109"/>
    <mergeCell ref="B110:D110"/>
    <mergeCell ref="B93:D93"/>
    <mergeCell ref="B94:D94"/>
    <mergeCell ref="B95:D95"/>
    <mergeCell ref="B96:D96"/>
    <mergeCell ref="B103:D103"/>
    <mergeCell ref="B104:D104"/>
    <mergeCell ref="B121:D121"/>
    <mergeCell ref="B122:D122"/>
    <mergeCell ref="B123:D123"/>
    <mergeCell ref="B124:D124"/>
    <mergeCell ref="B119:D119"/>
    <mergeCell ref="B120:D120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57:D157"/>
    <mergeCell ref="B160:D160"/>
    <mergeCell ref="F160:S160"/>
    <mergeCell ref="B154:D154"/>
    <mergeCell ref="Q164:S164"/>
    <mergeCell ref="B145:D145"/>
    <mergeCell ref="B147:D147"/>
    <mergeCell ref="B148:D148"/>
    <mergeCell ref="B151:D151"/>
    <mergeCell ref="Q165:S165"/>
    <mergeCell ref="Q166:S166"/>
    <mergeCell ref="A168:S168"/>
    <mergeCell ref="A169:A170"/>
    <mergeCell ref="B169:D170"/>
    <mergeCell ref="F169:H169"/>
    <mergeCell ref="I169:K169"/>
    <mergeCell ref="L169:N169"/>
    <mergeCell ref="O169:Q169"/>
    <mergeCell ref="R169:S169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F193:S193"/>
    <mergeCell ref="A196:S196"/>
    <mergeCell ref="A197:A198"/>
    <mergeCell ref="B197:D198"/>
    <mergeCell ref="F197:H197"/>
    <mergeCell ref="I197:K197"/>
    <mergeCell ref="L197:N197"/>
    <mergeCell ref="O197:Q197"/>
    <mergeCell ref="R197:S197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F221:S221"/>
    <mergeCell ref="B101:D101"/>
    <mergeCell ref="B102:D102"/>
    <mergeCell ref="B115:D115"/>
    <mergeCell ref="B116:D116"/>
    <mergeCell ref="B117:D117"/>
    <mergeCell ref="B118:D118"/>
    <mergeCell ref="B111:D111"/>
    <mergeCell ref="B112:D112"/>
    <mergeCell ref="B105:D105"/>
    <mergeCell ref="B106:D106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3" r:id="rId1"/>
  <rowBreaks count="2" manualBreakCount="2">
    <brk id="99" max="18" man="1"/>
    <brk id="138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2019-05-30T04:01:51Z</cp:lastPrinted>
  <dcterms:created xsi:type="dcterms:W3CDTF">1996-10-08T23:32:33Z</dcterms:created>
  <dcterms:modified xsi:type="dcterms:W3CDTF">2019-05-30T04:02:56Z</dcterms:modified>
  <cp:category/>
  <cp:version/>
  <cp:contentType/>
  <cp:contentStatus/>
</cp:coreProperties>
</file>