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0" yWindow="75" windowWidth="14385" windowHeight="10725" tabRatio="882" activeTab="19"/>
  </bookViews>
  <sheets>
    <sheet name="пр.1дох.21" sheetId="1" r:id="rId1"/>
    <sheet name="Пр.1.1. дох.22-23" sheetId="12" state="hidden" r:id="rId2"/>
    <sheet name="Пр.1.1. дох.22-23 (2)" sheetId="19" state="hidden" r:id="rId3"/>
    <sheet name="пр.2 Рд,пр 21" sheetId="2" r:id="rId4"/>
    <sheet name="пр.4.1. рдпр 22-23" sheetId="13" state="hidden" r:id="rId5"/>
    <sheet name="пр.4.1. рдпр 22-23 (2)" sheetId="20" state="hidden" r:id="rId6"/>
    <sheet name="Пр.3 Рд,пр, ЦС,ВР 21" sheetId="3" r:id="rId7"/>
    <sheet name="пр.5.1.рдпрцс 22-23" sheetId="14" state="hidden" r:id="rId8"/>
    <sheet name="пр.5.1.рдпрцс 22-23 (2)" sheetId="21" state="hidden" r:id="rId9"/>
    <sheet name="Пр.4 ведом.21" sheetId="4" r:id="rId10"/>
    <sheet name="Прил.№5 ведомств.старая" sheetId="10" state="hidden" r:id="rId11"/>
    <sheet name="пр.6.1.ведом.22-23" sheetId="15" state="hidden" r:id="rId12"/>
    <sheet name="пр.6.1.ведом.22-23 (2)" sheetId="22" state="hidden" r:id="rId13"/>
    <sheet name="пр.5 МП 21" sheetId="5" r:id="rId14"/>
    <sheet name="прил.№6 МП старая" sheetId="11" state="hidden" r:id="rId15"/>
    <sheet name="пр.7.1.МП 22-23" sheetId="16" state="hidden" r:id="rId16"/>
    <sheet name="пр. 6 публ. 21" sheetId="6" r:id="rId17"/>
    <sheet name="пр.8.1.публ.22-23" sheetId="17" state="hidden" r:id="rId18"/>
    <sheet name="пр.7.1.МП 22-23 (2)" sheetId="23" state="hidden" r:id="rId19"/>
    <sheet name="пр.7 ист-ки 21" sheetId="7" r:id="rId20"/>
    <sheet name="пр.8.1.ист-ки 22-23  (2)" sheetId="24" state="hidden" r:id="rId21"/>
    <sheet name="пр.8.1.ист-ки 22-23 " sheetId="18" state="hidden" r:id="rId22"/>
  </sheets>
  <externalReferences>
    <externalReference r:id="rId23"/>
  </externalReferences>
  <definedNames>
    <definedName name="_xlnm._FilterDatabase" localSheetId="0" hidden="1">пр.1дох.21!$A$1:$C$186</definedName>
    <definedName name="_xlnm._FilterDatabase" localSheetId="6" hidden="1">'Пр.3 Рд,пр, ЦС,ВР 21'!$A$9:$F$1038</definedName>
    <definedName name="_xlnm._FilterDatabase" localSheetId="9" hidden="1">'Пр.4 ведом.21'!$A$10:$G$10</definedName>
    <definedName name="_xlnm._FilterDatabase" localSheetId="7" hidden="1">'пр.5.1.рдпрцс 22-23'!$A$7:$G$972</definedName>
    <definedName name="_xlnm._FilterDatabase" localSheetId="8" hidden="1">'пр.5.1.рдпрцс 22-23 (2)'!$A$7:$G$972</definedName>
    <definedName name="_xlnm.Print_Area" localSheetId="1">'Пр.1.1. дох.22-23'!$A$1:$D$155</definedName>
    <definedName name="_xlnm.Print_Area" localSheetId="2">'Пр.1.1. дох.22-23 (2)'!$A$1:$D$155</definedName>
    <definedName name="_xlnm.Print_Area" localSheetId="0">пр.1дох.21!$A$1:$E$186</definedName>
    <definedName name="_xlnm.Print_Area" localSheetId="3">'пр.2 Рд,пр 21'!$A$1:$F$53</definedName>
    <definedName name="_xlnm.Print_Area" localSheetId="6">'Пр.3 Рд,пр, ЦС,ВР 21'!$A$1:$H$1036</definedName>
    <definedName name="_xlnm.Print_Area" localSheetId="9">'Пр.4 ведом.21'!$A$1:$I$1144</definedName>
    <definedName name="_xlnm.Print_Area" localSheetId="13">'пр.5 МП 21'!$A$1:$I$960</definedName>
    <definedName name="_xlnm.Print_Area" localSheetId="7">'пр.5.1.рдпрцс 22-23'!$A$1:$G$970</definedName>
    <definedName name="_xlnm.Print_Area" localSheetId="8">'пр.5.1.рдпрцс 22-23 (2)'!$A$1:$G$970</definedName>
    <definedName name="_xlnm.Print_Area" localSheetId="11">'пр.6.1.ведом.22-23'!$A$1:$AM$1108</definedName>
    <definedName name="_xlnm.Print_Area" localSheetId="12">'пр.6.1.ведом.22-23 (2)'!$A$1:$AM$1108</definedName>
    <definedName name="_xlnm.Print_Area" localSheetId="19">'пр.7 ист-ки 21'!$A$1:$E$19</definedName>
    <definedName name="_xlnm.Print_Area" localSheetId="15">'пр.7.1.МП 22-23'!$A$1:$H$893</definedName>
    <definedName name="_xlnm.Print_Area" localSheetId="18">'пр.7.1.МП 22-23 (2)'!$A$1:$H$893</definedName>
    <definedName name="_xlnm.Print_Area" localSheetId="10">'Прил.№5 ведомств.старая'!$A$1:$H$975</definedName>
    <definedName name="_xlnm.Print_Area" localSheetId="14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C183" i="1" l="1"/>
  <c r="D183" i="1"/>
  <c r="C84" i="1"/>
  <c r="C82" i="1" s="1"/>
  <c r="D84" i="1"/>
  <c r="D82" i="1" s="1"/>
  <c r="D160" i="1"/>
  <c r="D53" i="1"/>
  <c r="D79" i="1"/>
  <c r="D77" i="1"/>
  <c r="D63" i="1"/>
  <c r="D49" i="1"/>
  <c r="D52" i="1" l="1"/>
  <c r="D20" i="1"/>
  <c r="D13" i="1"/>
  <c r="D13" i="7" l="1"/>
  <c r="I47" i="6" l="1"/>
  <c r="I46" i="6"/>
  <c r="I23" i="6"/>
  <c r="H45" i="6"/>
  <c r="H41" i="6"/>
  <c r="H40" i="6" s="1"/>
  <c r="H39" i="6" s="1"/>
  <c r="H38" i="6" s="1"/>
  <c r="H37" i="6" s="1"/>
  <c r="H36" i="6" s="1"/>
  <c r="H35" i="6"/>
  <c r="H34" i="6" s="1"/>
  <c r="H29" i="6"/>
  <c r="H28" i="6" s="1"/>
  <c r="H27" i="6" s="1"/>
  <c r="H26" i="6" s="1"/>
  <c r="H25" i="6" s="1"/>
  <c r="H24" i="6" s="1"/>
  <c r="H22" i="6"/>
  <c r="H16" i="6"/>
  <c r="H15" i="6" s="1"/>
  <c r="H14" i="6" s="1"/>
  <c r="H13" i="6" s="1"/>
  <c r="H12" i="6" s="1"/>
  <c r="H17" i="6" s="1"/>
  <c r="I751" i="5"/>
  <c r="I677" i="5"/>
  <c r="I492" i="5"/>
  <c r="H950" i="5"/>
  <c r="H949" i="5" s="1"/>
  <c r="H942" i="5"/>
  <c r="H941" i="5" s="1"/>
  <c r="H934" i="5"/>
  <c r="H933" i="5" s="1"/>
  <c r="H927" i="5"/>
  <c r="H926" i="5"/>
  <c r="H919" i="5"/>
  <c r="H918" i="5" s="1"/>
  <c r="H911" i="5"/>
  <c r="H907" i="5"/>
  <c r="H908" i="5" s="1"/>
  <c r="H900" i="5"/>
  <c r="H901" i="5" s="1"/>
  <c r="H893" i="5"/>
  <c r="H892" i="5" s="1"/>
  <c r="H887" i="5"/>
  <c r="H888" i="5" s="1"/>
  <c r="H881" i="5"/>
  <c r="H882" i="5" s="1"/>
  <c r="H880" i="5"/>
  <c r="H875" i="5"/>
  <c r="H876" i="5" s="1"/>
  <c r="H871" i="5"/>
  <c r="H866" i="5"/>
  <c r="H861" i="5"/>
  <c r="H862" i="5" s="1"/>
  <c r="H854" i="5"/>
  <c r="H850" i="5"/>
  <c r="H842" i="5"/>
  <c r="H838" i="5"/>
  <c r="H834" i="5"/>
  <c r="H830" i="5"/>
  <c r="H826" i="5"/>
  <c r="H825" i="5" s="1"/>
  <c r="H823" i="5"/>
  <c r="H824" i="5" s="1"/>
  <c r="H758" i="5"/>
  <c r="H750" i="5"/>
  <c r="H743" i="5"/>
  <c r="H725" i="5"/>
  <c r="H714" i="5"/>
  <c r="H710" i="5"/>
  <c r="H709" i="5" s="1"/>
  <c r="H706" i="5"/>
  <c r="H696" i="5"/>
  <c r="H692" i="5"/>
  <c r="H691" i="5" s="1"/>
  <c r="H685" i="5"/>
  <c r="H684" i="5" s="1"/>
  <c r="H678" i="5"/>
  <c r="H676" i="5"/>
  <c r="H671" i="5"/>
  <c r="H665" i="5"/>
  <c r="H660" i="5"/>
  <c r="H655" i="5"/>
  <c r="H646" i="5"/>
  <c r="H639" i="5"/>
  <c r="H625" i="5"/>
  <c r="H618" i="5"/>
  <c r="H611" i="5"/>
  <c r="H601" i="5"/>
  <c r="H602" i="5" s="1"/>
  <c r="H597" i="5"/>
  <c r="H598" i="5" s="1"/>
  <c r="H593" i="5"/>
  <c r="H586" i="5"/>
  <c r="H574" i="5"/>
  <c r="H555" i="5"/>
  <c r="H551" i="5"/>
  <c r="H544" i="5"/>
  <c r="H541" i="5"/>
  <c r="H542" i="5" s="1"/>
  <c r="H538" i="5"/>
  <c r="H532" i="5"/>
  <c r="H531" i="5" s="1"/>
  <c r="H528" i="5"/>
  <c r="H529" i="5" s="1"/>
  <c r="H525" i="5"/>
  <c r="H522" i="5"/>
  <c r="H516" i="5"/>
  <c r="H515" i="5" s="1"/>
  <c r="H512" i="5"/>
  <c r="H510" i="5"/>
  <c r="H509" i="5"/>
  <c r="H506" i="5"/>
  <c r="H505" i="5" s="1"/>
  <c r="H498" i="5"/>
  <c r="H491" i="5"/>
  <c r="H484" i="5"/>
  <c r="H482" i="5"/>
  <c r="H481" i="5"/>
  <c r="H480" i="5"/>
  <c r="H467" i="5"/>
  <c r="H468" i="5" s="1"/>
  <c r="H463" i="5"/>
  <c r="H456" i="5"/>
  <c r="H452" i="5"/>
  <c r="H448" i="5"/>
  <c r="H444" i="5"/>
  <c r="H437" i="5"/>
  <c r="H438" i="5" s="1"/>
  <c r="H436" i="5"/>
  <c r="H429" i="5"/>
  <c r="H414" i="5"/>
  <c r="H402" i="5"/>
  <c r="H379" i="5"/>
  <c r="H372" i="5"/>
  <c r="H365" i="5"/>
  <c r="H358" i="5"/>
  <c r="H353" i="5"/>
  <c r="H346" i="5"/>
  <c r="H339" i="5"/>
  <c r="H338" i="5" s="1"/>
  <c r="H332" i="5"/>
  <c r="H325" i="5"/>
  <c r="H324" i="5" s="1"/>
  <c r="H304" i="5"/>
  <c r="H297" i="5"/>
  <c r="H290" i="5"/>
  <c r="H285" i="5"/>
  <c r="H281" i="5"/>
  <c r="H276" i="5"/>
  <c r="H272" i="5"/>
  <c r="H268" i="5"/>
  <c r="H261" i="5"/>
  <c r="H254" i="5"/>
  <c r="H250" i="5"/>
  <c r="H246" i="5"/>
  <c r="H242" i="5"/>
  <c r="H236" i="5"/>
  <c r="H232" i="5"/>
  <c r="H228" i="5"/>
  <c r="H221" i="5"/>
  <c r="H217" i="5"/>
  <c r="H218" i="5" s="1"/>
  <c r="H188" i="5"/>
  <c r="H164" i="5"/>
  <c r="H160" i="5"/>
  <c r="H155" i="5"/>
  <c r="H150" i="5"/>
  <c r="H142" i="5"/>
  <c r="H136" i="5"/>
  <c r="H129" i="5"/>
  <c r="H119" i="5"/>
  <c r="H120" i="5" s="1"/>
  <c r="H116" i="5"/>
  <c r="H108" i="5"/>
  <c r="H104" i="5"/>
  <c r="H96" i="5"/>
  <c r="H89" i="5"/>
  <c r="H75" i="5"/>
  <c r="H67" i="5"/>
  <c r="H66" i="5" s="1"/>
  <c r="H65" i="5" s="1"/>
  <c r="H59" i="5"/>
  <c r="H52" i="5"/>
  <c r="H49" i="5"/>
  <c r="H38" i="5"/>
  <c r="H39" i="5" s="1"/>
  <c r="H29" i="5"/>
  <c r="H26" i="5"/>
  <c r="H23" i="5"/>
  <c r="H16" i="5"/>
  <c r="F19" i="2"/>
  <c r="H99" i="3"/>
  <c r="G925" i="3"/>
  <c r="H925" i="3" s="1"/>
  <c r="G830" i="4"/>
  <c r="G1073" i="4"/>
  <c r="I1073" i="4" s="1"/>
  <c r="G1076" i="4"/>
  <c r="I1140" i="4"/>
  <c r="I1129" i="4"/>
  <c r="I1106" i="4"/>
  <c r="I1101" i="4"/>
  <c r="I1092" i="4"/>
  <c r="I1087" i="4"/>
  <c r="I1086" i="4"/>
  <c r="I1076" i="4"/>
  <c r="I1071" i="4"/>
  <c r="I1063" i="4"/>
  <c r="I1046" i="4"/>
  <c r="I1043" i="4"/>
  <c r="I1036" i="4"/>
  <c r="I1028" i="4"/>
  <c r="I1025" i="4"/>
  <c r="I1021" i="4"/>
  <c r="I1012" i="4"/>
  <c r="I992" i="4"/>
  <c r="I988" i="4"/>
  <c r="I984" i="4"/>
  <c r="I980" i="4"/>
  <c r="I967" i="4"/>
  <c r="I964" i="4"/>
  <c r="I962" i="4"/>
  <c r="I959" i="4"/>
  <c r="I956" i="4"/>
  <c r="I950" i="4"/>
  <c r="I945" i="4"/>
  <c r="I944" i="4"/>
  <c r="I930" i="4"/>
  <c r="I927" i="4"/>
  <c r="I918" i="4"/>
  <c r="I914" i="4"/>
  <c r="I910" i="4"/>
  <c r="I904" i="4"/>
  <c r="I890" i="4"/>
  <c r="I883" i="4"/>
  <c r="I847" i="4"/>
  <c r="I830" i="4"/>
  <c r="I827" i="4"/>
  <c r="I823" i="4"/>
  <c r="I820" i="4"/>
  <c r="I817" i="4"/>
  <c r="I803" i="4"/>
  <c r="I777" i="4"/>
  <c r="I774" i="4"/>
  <c r="I772" i="4"/>
  <c r="I751" i="4"/>
  <c r="I744" i="4"/>
  <c r="I741" i="4"/>
  <c r="I728" i="4"/>
  <c r="I723" i="4"/>
  <c r="I706" i="4"/>
  <c r="I679" i="4"/>
  <c r="I672" i="4"/>
  <c r="I666" i="4"/>
  <c r="I662" i="4"/>
  <c r="I656" i="4"/>
  <c r="I650" i="4"/>
  <c r="I647" i="4"/>
  <c r="I619" i="4"/>
  <c r="I605" i="4"/>
  <c r="I602" i="4"/>
  <c r="I595" i="4"/>
  <c r="I592" i="4"/>
  <c r="I582" i="4"/>
  <c r="I579" i="4"/>
  <c r="I568" i="4"/>
  <c r="I554" i="4"/>
  <c r="I536" i="4"/>
  <c r="I528" i="4"/>
  <c r="I524" i="4"/>
  <c r="I489" i="4"/>
  <c r="I485" i="4"/>
  <c r="I479" i="4"/>
  <c r="I472" i="4"/>
  <c r="I464" i="4"/>
  <c r="I450" i="4"/>
  <c r="I442" i="4"/>
  <c r="I434" i="4"/>
  <c r="I421" i="4"/>
  <c r="I416" i="4"/>
  <c r="I412" i="4"/>
  <c r="I400" i="4"/>
  <c r="I396" i="4"/>
  <c r="I365" i="4"/>
  <c r="I360" i="4"/>
  <c r="I350" i="4"/>
  <c r="I327" i="4"/>
  <c r="I324" i="4"/>
  <c r="I311" i="4"/>
  <c r="I293" i="4"/>
  <c r="I289" i="4"/>
  <c r="I281" i="4"/>
  <c r="I268" i="4"/>
  <c r="I265" i="4"/>
  <c r="I262" i="4"/>
  <c r="I259" i="4"/>
  <c r="I256" i="4"/>
  <c r="I231" i="4"/>
  <c r="I225" i="4"/>
  <c r="I218" i="4"/>
  <c r="I205" i="4"/>
  <c r="I192" i="4"/>
  <c r="I178" i="4"/>
  <c r="I164" i="4"/>
  <c r="I152" i="4"/>
  <c r="I147" i="4"/>
  <c r="I143" i="4"/>
  <c r="I133" i="4"/>
  <c r="I127" i="4"/>
  <c r="I125" i="4"/>
  <c r="I116" i="4"/>
  <c r="I110" i="4"/>
  <c r="I107" i="4"/>
  <c r="I103" i="4"/>
  <c r="I79" i="4"/>
  <c r="I74" i="4"/>
  <c r="I71" i="4"/>
  <c r="I64" i="4"/>
  <c r="I61" i="4"/>
  <c r="I41" i="4"/>
  <c r="I31" i="4"/>
  <c r="I25" i="4"/>
  <c r="H1142" i="4"/>
  <c r="H1141" i="4" s="1"/>
  <c r="H1139" i="4"/>
  <c r="H1137" i="4"/>
  <c r="H1131" i="4"/>
  <c r="H1130" i="4" s="1"/>
  <c r="H1128" i="4"/>
  <c r="H1126" i="4"/>
  <c r="H1123" i="4"/>
  <c r="H1121" i="4"/>
  <c r="H1113" i="4"/>
  <c r="H1112" i="4" s="1"/>
  <c r="H1111" i="4" s="1"/>
  <c r="H1110" i="4" s="1"/>
  <c r="H1105" i="4"/>
  <c r="H1100" i="4"/>
  <c r="H1099" i="4" s="1"/>
  <c r="H1097" i="4"/>
  <c r="H1095" i="4"/>
  <c r="H1091" i="4"/>
  <c r="H1089" i="4"/>
  <c r="H1085" i="4"/>
  <c r="H1082" i="4"/>
  <c r="H1081" i="4"/>
  <c r="H1080" i="4" s="1"/>
  <c r="H1075" i="4"/>
  <c r="H1074" i="4" s="1"/>
  <c r="H1072" i="4"/>
  <c r="H1070" i="4"/>
  <c r="H1068" i="4"/>
  <c r="H1062" i="4"/>
  <c r="H1058" i="4"/>
  <c r="H1057" i="4" s="1"/>
  <c r="H1056" i="4" s="1"/>
  <c r="H1053" i="4"/>
  <c r="H1052" i="4" s="1"/>
  <c r="H1051" i="4" s="1"/>
  <c r="H1049" i="4"/>
  <c r="H1048" i="4" s="1"/>
  <c r="H1047" i="4" s="1"/>
  <c r="H1045" i="4"/>
  <c r="H1044" i="4" s="1"/>
  <c r="H1042" i="4"/>
  <c r="H1041" i="4"/>
  <c r="H1038" i="4"/>
  <c r="H1037" i="4" s="1"/>
  <c r="H1035" i="4"/>
  <c r="H1034" i="4" s="1"/>
  <c r="H1033" i="4"/>
  <c r="H717" i="5" s="1"/>
  <c r="H718" i="5" s="1"/>
  <c r="H1030" i="4"/>
  <c r="H1027" i="4"/>
  <c r="H1026" i="4" s="1"/>
  <c r="H1024" i="4"/>
  <c r="H1023" i="4" s="1"/>
  <c r="H1022" i="4"/>
  <c r="H1020" i="4" s="1"/>
  <c r="H1018" i="4"/>
  <c r="H1015" i="4"/>
  <c r="H1014" i="4" s="1"/>
  <c r="H1011" i="4"/>
  <c r="H1010" i="4" s="1"/>
  <c r="H1009" i="4" s="1"/>
  <c r="H1006" i="4"/>
  <c r="H1005" i="4" s="1"/>
  <c r="H1004" i="4" s="1"/>
  <c r="H1003" i="4" s="1"/>
  <c r="H1001" i="4"/>
  <c r="H1000" i="4"/>
  <c r="H995" i="4"/>
  <c r="H994" i="4" s="1"/>
  <c r="H993" i="4" s="1"/>
  <c r="H991" i="4"/>
  <c r="H987" i="4"/>
  <c r="H983" i="4"/>
  <c r="H982" i="4" s="1"/>
  <c r="H981" i="4" s="1"/>
  <c r="H979" i="4"/>
  <c r="H978" i="4" s="1"/>
  <c r="H977" i="4" s="1"/>
  <c r="H975" i="4"/>
  <c r="H974" i="4" s="1"/>
  <c r="H973" i="4" s="1"/>
  <c r="H972" i="4"/>
  <c r="H971" i="4" s="1"/>
  <c r="H970" i="4" s="1"/>
  <c r="H969" i="4" s="1"/>
  <c r="H966" i="4"/>
  <c r="H965" i="4" s="1"/>
  <c r="H963" i="4"/>
  <c r="H961" i="4"/>
  <c r="H958" i="4"/>
  <c r="H955" i="4"/>
  <c r="H953" i="4"/>
  <c r="H952" i="4" s="1"/>
  <c r="H949" i="4"/>
  <c r="H947" i="4"/>
  <c r="H946" i="4" s="1"/>
  <c r="H943" i="4"/>
  <c r="H941" i="4"/>
  <c r="H940" i="4" s="1"/>
  <c r="H935" i="4"/>
  <c r="H934" i="4"/>
  <c r="H932" i="4"/>
  <c r="H929" i="4"/>
  <c r="H928" i="4" s="1"/>
  <c r="H926" i="4"/>
  <c r="H924" i="4"/>
  <c r="H917" i="4"/>
  <c r="G283" i="3"/>
  <c r="H915" i="4"/>
  <c r="H913" i="4"/>
  <c r="H909" i="4"/>
  <c r="H903" i="4"/>
  <c r="H902" i="4" s="1"/>
  <c r="H901" i="4" s="1"/>
  <c r="H900" i="4" s="1"/>
  <c r="H899" i="4" s="1"/>
  <c r="H896" i="4"/>
  <c r="H895" i="4" s="1"/>
  <c r="H894" i="4" s="1"/>
  <c r="H893" i="4" s="1"/>
  <c r="H892" i="4" s="1"/>
  <c r="H891" i="4" s="1"/>
  <c r="H889" i="4"/>
  <c r="H887" i="4"/>
  <c r="H885" i="4"/>
  <c r="H882" i="4"/>
  <c r="H881" i="4" s="1"/>
  <c r="H874" i="4"/>
  <c r="H872" i="4"/>
  <c r="H867" i="4"/>
  <c r="H866" i="4" s="1"/>
  <c r="H864" i="4"/>
  <c r="H862" i="4"/>
  <c r="H860" i="4"/>
  <c r="H855" i="4"/>
  <c r="H854" i="4" s="1"/>
  <c r="H852" i="4"/>
  <c r="H846" i="4"/>
  <c r="H845" i="4" s="1"/>
  <c r="H844" i="4" s="1"/>
  <c r="H843" i="4" s="1"/>
  <c r="H841" i="4"/>
  <c r="H840" i="4" s="1"/>
  <c r="H839" i="4" s="1"/>
  <c r="H837" i="4"/>
  <c r="H836" i="4" s="1"/>
  <c r="H835" i="4" s="1"/>
  <c r="H833" i="4"/>
  <c r="H832" i="4" s="1"/>
  <c r="H829" i="4"/>
  <c r="H828" i="4" s="1"/>
  <c r="H826" i="4"/>
  <c r="H825" i="4" s="1"/>
  <c r="H822" i="4"/>
  <c r="H821" i="4"/>
  <c r="H819" i="4"/>
  <c r="H818" i="4" s="1"/>
  <c r="H816" i="4"/>
  <c r="H815" i="4" s="1"/>
  <c r="H813" i="4"/>
  <c r="H812" i="4" s="1"/>
  <c r="H809" i="4"/>
  <c r="H808" i="4" s="1"/>
  <c r="H807" i="4" s="1"/>
  <c r="H802" i="4"/>
  <c r="H794" i="4"/>
  <c r="H793" i="4" s="1"/>
  <c r="H791" i="4"/>
  <c r="H789" i="4"/>
  <c r="H787" i="4"/>
  <c r="H783" i="4"/>
  <c r="H781" i="4"/>
  <c r="H776" i="4"/>
  <c r="H775" i="4" s="1"/>
  <c r="H773" i="4"/>
  <c r="H771" i="4"/>
  <c r="H765" i="4"/>
  <c r="H764" i="4" s="1"/>
  <c r="H763" i="4" s="1"/>
  <c r="H762" i="4" s="1"/>
  <c r="H759" i="4"/>
  <c r="H758" i="4" s="1"/>
  <c r="H754" i="4"/>
  <c r="H753" i="4" s="1"/>
  <c r="H752" i="4" s="1"/>
  <c r="H750" i="4"/>
  <c r="H749" i="4" s="1"/>
  <c r="H748" i="4" s="1"/>
  <c r="H746" i="4"/>
  <c r="H745" i="4" s="1"/>
  <c r="H743" i="4"/>
  <c r="H740" i="4"/>
  <c r="H736" i="4"/>
  <c r="H733" i="4"/>
  <c r="H732" i="4" s="1"/>
  <c r="H727" i="4"/>
  <c r="H726" i="4" s="1"/>
  <c r="H725" i="4" s="1"/>
  <c r="H722" i="4"/>
  <c r="H721" i="4" s="1"/>
  <c r="H717" i="4"/>
  <c r="H716" i="4" s="1"/>
  <c r="H713" i="4"/>
  <c r="H712" i="4" s="1"/>
  <c r="H711" i="4" s="1"/>
  <c r="H709" i="4"/>
  <c r="H708" i="4" s="1"/>
  <c r="H707" i="4" s="1"/>
  <c r="H705" i="4"/>
  <c r="H704" i="4" s="1"/>
  <c r="H703" i="4" s="1"/>
  <c r="H701" i="4"/>
  <c r="H700" i="4" s="1"/>
  <c r="H699" i="4" s="1"/>
  <c r="H697" i="4"/>
  <c r="H693" i="4"/>
  <c r="H692" i="4" s="1"/>
  <c r="H691" i="4" s="1"/>
  <c r="H689" i="4"/>
  <c r="H688" i="4" s="1"/>
  <c r="H687" i="4" s="1"/>
  <c r="H685" i="4"/>
  <c r="H684" i="4" s="1"/>
  <c r="H683" i="4" s="1"/>
  <c r="H681" i="4"/>
  <c r="H680" i="4"/>
  <c r="H678" i="4"/>
  <c r="H674" i="4"/>
  <c r="H671" i="4"/>
  <c r="H670" i="4" s="1"/>
  <c r="H668" i="4"/>
  <c r="H667" i="4" s="1"/>
  <c r="H665" i="4"/>
  <c r="H661" i="4"/>
  <c r="H660" i="4" s="1"/>
  <c r="H658" i="4"/>
  <c r="H657" i="4" s="1"/>
  <c r="H655" i="4"/>
  <c r="H654" i="4" s="1"/>
  <c r="H652" i="4"/>
  <c r="H651" i="4" s="1"/>
  <c r="H649" i="4"/>
  <c r="H648" i="4"/>
  <c r="H646" i="4"/>
  <c r="H645" i="4"/>
  <c r="H642" i="4"/>
  <c r="H641" i="4" s="1"/>
  <c r="H640" i="4" s="1"/>
  <c r="H636" i="4"/>
  <c r="H635" i="4" s="1"/>
  <c r="H634" i="4" s="1"/>
  <c r="H631" i="4"/>
  <c r="H630" i="4" s="1"/>
  <c r="H626" i="4"/>
  <c r="H622" i="4"/>
  <c r="H621" i="4" s="1"/>
  <c r="H620" i="4" s="1"/>
  <c r="H618" i="4"/>
  <c r="H617" i="4" s="1"/>
  <c r="H615" i="4"/>
  <c r="H614" i="4" s="1"/>
  <c r="H613" i="4" s="1"/>
  <c r="H611" i="4"/>
  <c r="H610" i="4" s="1"/>
  <c r="H609" i="4" s="1"/>
  <c r="H607" i="4"/>
  <c r="H606" i="4" s="1"/>
  <c r="H604" i="4"/>
  <c r="H603" i="4" s="1"/>
  <c r="H601" i="4"/>
  <c r="H597" i="4"/>
  <c r="H596" i="4" s="1"/>
  <c r="H594" i="4"/>
  <c r="H593" i="4" s="1"/>
  <c r="H591" i="4"/>
  <c r="H590" i="4" s="1"/>
  <c r="H587" i="4"/>
  <c r="H586" i="4" s="1"/>
  <c r="H584" i="4"/>
  <c r="H581" i="4"/>
  <c r="H580" i="4" s="1"/>
  <c r="H578" i="4"/>
  <c r="H577" i="4" s="1"/>
  <c r="H574" i="4"/>
  <c r="H573" i="4" s="1"/>
  <c r="H572" i="4" s="1"/>
  <c r="H567" i="4"/>
  <c r="H566" i="4" s="1"/>
  <c r="H560" i="4"/>
  <c r="H559" i="4" s="1"/>
  <c r="H553" i="4"/>
  <c r="H552" i="4" s="1"/>
  <c r="H550" i="4"/>
  <c r="H549" i="4" s="1"/>
  <c r="H543" i="4"/>
  <c r="H539" i="4"/>
  <c r="H538" i="4" s="1"/>
  <c r="H535" i="4"/>
  <c r="H533" i="4"/>
  <c r="H527" i="4"/>
  <c r="H523" i="4"/>
  <c r="H522" i="4" s="1"/>
  <c r="H520" i="4"/>
  <c r="H518" i="4"/>
  <c r="H516" i="4"/>
  <c r="H508" i="4"/>
  <c r="H503" i="4"/>
  <c r="H502" i="4" s="1"/>
  <c r="H501" i="4" s="1"/>
  <c r="H499" i="4"/>
  <c r="H497" i="4"/>
  <c r="H495" i="4"/>
  <c r="H488" i="4"/>
  <c r="H487" i="4" s="1"/>
  <c r="H486" i="4" s="1"/>
  <c r="H484" i="4"/>
  <c r="H483" i="4"/>
  <c r="H481" i="4" s="1"/>
  <c r="H480" i="4" s="1"/>
  <c r="H478" i="4"/>
  <c r="H475" i="4" s="1"/>
  <c r="H476" i="4"/>
  <c r="H471" i="4"/>
  <c r="H470" i="4" s="1"/>
  <c r="H469" i="4" s="1"/>
  <c r="H463" i="4"/>
  <c r="H462" i="4" s="1"/>
  <c r="H461" i="4"/>
  <c r="H458" i="4"/>
  <c r="H457" i="4" s="1"/>
  <c r="H456" i="4" s="1"/>
  <c r="H452" i="4"/>
  <c r="H449" i="4"/>
  <c r="H447" i="4"/>
  <c r="H445" i="4"/>
  <c r="H441" i="4"/>
  <c r="H440" i="4" s="1"/>
  <c r="H436" i="4"/>
  <c r="H435" i="4" s="1"/>
  <c r="H433" i="4"/>
  <c r="H431" i="4"/>
  <c r="H425" i="4"/>
  <c r="H424" i="4" s="1"/>
  <c r="H423" i="4" s="1"/>
  <c r="H422" i="4" s="1"/>
  <c r="H420" i="4"/>
  <c r="H419" i="4" s="1"/>
  <c r="H418" i="4"/>
  <c r="H415" i="4"/>
  <c r="H411" i="4"/>
  <c r="H408" i="4"/>
  <c r="H403" i="4"/>
  <c r="H402" i="4" s="1"/>
  <c r="H401" i="4" s="1"/>
  <c r="H399" i="4"/>
  <c r="H398" i="4" s="1"/>
  <c r="H395" i="4"/>
  <c r="H394" i="4" s="1"/>
  <c r="H392" i="4"/>
  <c r="H391" i="4" s="1"/>
  <c r="H388" i="4"/>
  <c r="H387" i="4" s="1"/>
  <c r="H386" i="4" s="1"/>
  <c r="H384" i="4"/>
  <c r="H382" i="4"/>
  <c r="H378" i="4"/>
  <c r="H377" i="4" s="1"/>
  <c r="H375" i="4"/>
  <c r="H373" i="4"/>
  <c r="H371" i="4"/>
  <c r="H364" i="4"/>
  <c r="H359" i="4"/>
  <c r="H358" i="4" s="1"/>
  <c r="H357" i="4" s="1"/>
  <c r="H355" i="4"/>
  <c r="H353" i="4"/>
  <c r="H349" i="4"/>
  <c r="H348" i="4" s="1"/>
  <c r="H346" i="4"/>
  <c r="H345" i="4" s="1"/>
  <c r="H339" i="4"/>
  <c r="H338" i="4" s="1"/>
  <c r="H336" i="4" s="1"/>
  <c r="H329" i="4"/>
  <c r="H328" i="4" s="1"/>
  <c r="H326" i="4"/>
  <c r="H325" i="4" s="1"/>
  <c r="H323" i="4"/>
  <c r="H319" i="4"/>
  <c r="H318" i="4" s="1"/>
  <c r="H317" i="4" s="1"/>
  <c r="H316" i="4"/>
  <c r="H313" i="4"/>
  <c r="H310" i="4"/>
  <c r="H309" i="4" s="1"/>
  <c r="H306" i="4"/>
  <c r="H303" i="4"/>
  <c r="H301" i="4"/>
  <c r="H299" i="4"/>
  <c r="H292" i="4"/>
  <c r="H291" i="4" s="1"/>
  <c r="H290" i="4" s="1"/>
  <c r="H288" i="4"/>
  <c r="H287" i="4" s="1"/>
  <c r="H285" i="4"/>
  <c r="H280" i="4"/>
  <c r="H279" i="4" s="1"/>
  <c r="H278" i="4" s="1"/>
  <c r="H272" i="4"/>
  <c r="H271" i="4" s="1"/>
  <c r="H267" i="4"/>
  <c r="H264" i="4"/>
  <c r="H261" i="4"/>
  <c r="H260" i="4" s="1"/>
  <c r="H258" i="4"/>
  <c r="H257" i="4" s="1"/>
  <c r="H255" i="4"/>
  <c r="H254" i="4" s="1"/>
  <c r="H250" i="4"/>
  <c r="H249" i="4" s="1"/>
  <c r="H247" i="4"/>
  <c r="H246" i="4" s="1"/>
  <c r="H238" i="4"/>
  <c r="H230" i="4"/>
  <c r="H229" i="4" s="1"/>
  <c r="H228" i="4" s="1"/>
  <c r="H224" i="4"/>
  <c r="H223" i="4" s="1"/>
  <c r="H217" i="4"/>
  <c r="H216" i="4"/>
  <c r="H215" i="4" s="1"/>
  <c r="H214" i="4" s="1"/>
  <c r="H1186" i="4" s="1"/>
  <c r="H212" i="4"/>
  <c r="H210" i="4"/>
  <c r="H204" i="4"/>
  <c r="H203" i="4"/>
  <c r="H200" i="4"/>
  <c r="H199" i="4" s="1"/>
  <c r="H198" i="4" s="1"/>
  <c r="H1159" i="4"/>
  <c r="H193" i="4"/>
  <c r="H191" i="4"/>
  <c r="H190" i="4" s="1"/>
  <c r="H187" i="4"/>
  <c r="H186" i="4" s="1"/>
  <c r="H182" i="4"/>
  <c r="H181" i="4" s="1"/>
  <c r="H179" i="4"/>
  <c r="H177" i="4"/>
  <c r="H173" i="4"/>
  <c r="H172" i="4" s="1"/>
  <c r="H170" i="4"/>
  <c r="H169" i="4" s="1"/>
  <c r="H163" i="4"/>
  <c r="H162" i="4"/>
  <c r="H161" i="4" s="1"/>
  <c r="H156" i="4"/>
  <c r="H155" i="4" s="1"/>
  <c r="H153" i="4" s="1"/>
  <c r="H151" i="4"/>
  <c r="H150" i="4" s="1"/>
  <c r="H148" i="4" s="1"/>
  <c r="H1200" i="4" s="1"/>
  <c r="H146" i="4"/>
  <c r="H145" i="4" s="1"/>
  <c r="H144" i="4" s="1"/>
  <c r="H142" i="4"/>
  <c r="H141" i="4" s="1"/>
  <c r="H137" i="4"/>
  <c r="H136" i="4" s="1"/>
  <c r="H134" i="4"/>
  <c r="H132" i="4"/>
  <c r="H126" i="4"/>
  <c r="H124" i="4"/>
  <c r="H118" i="4"/>
  <c r="H115" i="4"/>
  <c r="H114" i="4" s="1"/>
  <c r="H109" i="4"/>
  <c r="H106" i="4"/>
  <c r="H105" i="4" s="1"/>
  <c r="H102" i="4"/>
  <c r="H99" i="4"/>
  <c r="H97" i="4"/>
  <c r="H93" i="4"/>
  <c r="H92" i="4" s="1"/>
  <c r="H91" i="4" s="1"/>
  <c r="H88" i="4"/>
  <c r="H86" i="4"/>
  <c r="H83" i="4"/>
  <c r="H81" i="4"/>
  <c r="H78" i="4"/>
  <c r="H76" i="4"/>
  <c r="H75" i="4" s="1"/>
  <c r="H73" i="4"/>
  <c r="H72" i="4" s="1"/>
  <c r="H70" i="4"/>
  <c r="H66" i="4"/>
  <c r="H63" i="4"/>
  <c r="H60" i="4"/>
  <c r="H59" i="4"/>
  <c r="H58" i="4" s="1"/>
  <c r="H56" i="4"/>
  <c r="H54" i="4"/>
  <c r="H44" i="4"/>
  <c r="H40" i="4"/>
  <c r="H38" i="4"/>
  <c r="H30" i="4"/>
  <c r="H29" i="4" s="1"/>
  <c r="H28" i="4" s="1"/>
  <c r="H24" i="4"/>
  <c r="H23" i="4" s="1"/>
  <c r="H21" i="4"/>
  <c r="H19" i="4"/>
  <c r="H17" i="4"/>
  <c r="G1035" i="3"/>
  <c r="G1034" i="3"/>
  <c r="G1030" i="3"/>
  <c r="G1029" i="3"/>
  <c r="G1028" i="3" s="1"/>
  <c r="G1027" i="3"/>
  <c r="G1026" i="3"/>
  <c r="G1025" i="3"/>
  <c r="G1023" i="3"/>
  <c r="G1016" i="3"/>
  <c r="G1014" i="3"/>
  <c r="G1009" i="3"/>
  <c r="G1008" i="3" s="1"/>
  <c r="G1006" i="3"/>
  <c r="G1004" i="3"/>
  <c r="G1002" i="3"/>
  <c r="G997" i="3"/>
  <c r="G996" i="3" s="1"/>
  <c r="G994" i="3"/>
  <c r="G988" i="3"/>
  <c r="G983" i="3"/>
  <c r="G979" i="3"/>
  <c r="G975" i="3"/>
  <c r="G971" i="3"/>
  <c r="G969" i="3"/>
  <c r="G968" i="3"/>
  <c r="G966" i="3"/>
  <c r="G964" i="3"/>
  <c r="G961" i="3"/>
  <c r="G960" i="3"/>
  <c r="G958" i="3"/>
  <c r="G957" i="3"/>
  <c r="G955" i="3"/>
  <c r="G954" i="3"/>
  <c r="G951" i="3"/>
  <c r="G944" i="3"/>
  <c r="G939" i="3"/>
  <c r="G931" i="3"/>
  <c r="G926" i="3"/>
  <c r="G924" i="3"/>
  <c r="G921" i="3"/>
  <c r="G917" i="3"/>
  <c r="G915" i="3"/>
  <c r="G911" i="3"/>
  <c r="G909" i="3"/>
  <c r="G904" i="3"/>
  <c r="G903" i="3"/>
  <c r="G897" i="3"/>
  <c r="G890" i="3"/>
  <c r="G885" i="3"/>
  <c r="G879" i="3"/>
  <c r="G876" i="3"/>
  <c r="G875" i="3"/>
  <c r="G874" i="3"/>
  <c r="G872" i="3"/>
  <c r="G868" i="3"/>
  <c r="G863" i="3"/>
  <c r="G860" i="3"/>
  <c r="G858" i="3"/>
  <c r="G852" i="3"/>
  <c r="G847" i="3"/>
  <c r="G842" i="3"/>
  <c r="G838" i="3"/>
  <c r="G837" i="3"/>
  <c r="G834" i="3"/>
  <c r="G830" i="3"/>
  <c r="G826" i="3"/>
  <c r="G822" i="3"/>
  <c r="G819" i="3"/>
  <c r="G815" i="3"/>
  <c r="G811" i="3"/>
  <c r="G809" i="3"/>
  <c r="G805" i="3"/>
  <c r="G802" i="3"/>
  <c r="G800" i="3"/>
  <c r="G798" i="3"/>
  <c r="G797" i="3" s="1"/>
  <c r="G791" i="3"/>
  <c r="G788" i="3"/>
  <c r="G787" i="3" s="1"/>
  <c r="G786" i="3"/>
  <c r="G784" i="3"/>
  <c r="G780" i="3"/>
  <c r="G778" i="3"/>
  <c r="G775" i="3"/>
  <c r="G770" i="3"/>
  <c r="G769" i="3" s="1"/>
  <c r="G767" i="3"/>
  <c r="G765" i="3"/>
  <c r="G759" i="3"/>
  <c r="G754" i="3"/>
  <c r="G750" i="3"/>
  <c r="G749" i="3" s="1"/>
  <c r="G744" i="3"/>
  <c r="G741" i="3"/>
  <c r="G734" i="3"/>
  <c r="G733" i="3" s="1"/>
  <c r="G731" i="3"/>
  <c r="G726" i="3"/>
  <c r="G721" i="3"/>
  <c r="G718" i="3"/>
  <c r="G717" i="3" s="1"/>
  <c r="G715" i="3"/>
  <c r="G711" i="3"/>
  <c r="G705" i="3"/>
  <c r="G702" i="3"/>
  <c r="G701" i="3" s="1"/>
  <c r="G698" i="3"/>
  <c r="G695" i="3"/>
  <c r="G693" i="3"/>
  <c r="G691" i="3"/>
  <c r="G686" i="3"/>
  <c r="G682" i="3"/>
  <c r="G678" i="3"/>
  <c r="G675" i="3"/>
  <c r="G672" i="3"/>
  <c r="G668" i="3"/>
  <c r="G665" i="3"/>
  <c r="G664" i="3"/>
  <c r="G659" i="3"/>
  <c r="G654" i="3"/>
  <c r="G649" i="3"/>
  <c r="G648" i="3" s="1"/>
  <c r="G645" i="3"/>
  <c r="G644" i="3"/>
  <c r="G641" i="3"/>
  <c r="G637" i="3"/>
  <c r="G636" i="3" s="1"/>
  <c r="G633" i="3"/>
  <c r="G629" i="3"/>
  <c r="G628" i="3" s="1"/>
  <c r="G625" i="3"/>
  <c r="G621" i="3"/>
  <c r="G617" i="3"/>
  <c r="G616" i="3"/>
  <c r="G615" i="3" s="1"/>
  <c r="G613" i="3"/>
  <c r="G610" i="3"/>
  <c r="G606" i="3"/>
  <c r="G603" i="3"/>
  <c r="G600" i="3"/>
  <c r="G597" i="3"/>
  <c r="G593" i="3"/>
  <c r="G590" i="3"/>
  <c r="G587" i="3"/>
  <c r="G584" i="3"/>
  <c r="G581" i="3"/>
  <c r="G578" i="3"/>
  <c r="G574" i="3"/>
  <c r="G573" i="3"/>
  <c r="G572" i="3" s="1"/>
  <c r="G568" i="3"/>
  <c r="G563" i="3"/>
  <c r="G558" i="3"/>
  <c r="G557" i="3" s="1"/>
  <c r="G554" i="3"/>
  <c r="G550" i="3"/>
  <c r="G546" i="3"/>
  <c r="G542" i="3"/>
  <c r="G539" i="3"/>
  <c r="G536" i="3"/>
  <c r="G535" i="3"/>
  <c r="G532" i="3"/>
  <c r="G531" i="3"/>
  <c r="G529" i="3"/>
  <c r="G526" i="3"/>
  <c r="G522" i="3"/>
  <c r="G519" i="3"/>
  <c r="G518" i="3" s="1"/>
  <c r="G516" i="3"/>
  <c r="G513" i="3"/>
  <c r="G509" i="3"/>
  <c r="G502" i="3"/>
  <c r="G497" i="3"/>
  <c r="G494" i="3"/>
  <c r="G492" i="3"/>
  <c r="G488" i="3"/>
  <c r="G486" i="3"/>
  <c r="G483" i="3"/>
  <c r="G482" i="3"/>
  <c r="G481" i="3"/>
  <c r="G479" i="3"/>
  <c r="G474" i="3"/>
  <c r="G473" i="3" s="1"/>
  <c r="G471" i="3"/>
  <c r="G469" i="3"/>
  <c r="G467" i="3"/>
  <c r="G461" i="3"/>
  <c r="G457" i="3"/>
  <c r="G452" i="3"/>
  <c r="G448" i="3"/>
  <c r="G447" i="3" s="1"/>
  <c r="G444" i="3"/>
  <c r="G441" i="3"/>
  <c r="G440" i="3" s="1"/>
  <c r="G437" i="3"/>
  <c r="G436" i="3" s="1"/>
  <c r="G434" i="3"/>
  <c r="G431" i="3"/>
  <c r="G429" i="3"/>
  <c r="G426" i="3"/>
  <c r="G425" i="3" s="1"/>
  <c r="G423" i="3"/>
  <c r="G422" i="3"/>
  <c r="G420" i="3"/>
  <c r="G419" i="3"/>
  <c r="G417" i="3"/>
  <c r="G414" i="3"/>
  <c r="G410" i="3"/>
  <c r="G405" i="3"/>
  <c r="G404" i="3" s="1"/>
  <c r="G399" i="3"/>
  <c r="G398" i="3"/>
  <c r="G397" i="3" s="1"/>
  <c r="G396" i="3" s="1"/>
  <c r="G395" i="3" s="1"/>
  <c r="G394" i="3"/>
  <c r="G390" i="3"/>
  <c r="G386" i="3"/>
  <c r="G382" i="3"/>
  <c r="G378" i="3"/>
  <c r="G374" i="3"/>
  <c r="G370" i="3"/>
  <c r="G365" i="3"/>
  <c r="G364" i="3" s="1"/>
  <c r="G362" i="3"/>
  <c r="G361" i="3" s="1"/>
  <c r="G360" i="3"/>
  <c r="G359" i="3" s="1"/>
  <c r="G357" i="3"/>
  <c r="G354" i="3"/>
  <c r="G352" i="3"/>
  <c r="G348" i="3"/>
  <c r="G347" i="3" s="1"/>
  <c r="G346" i="3"/>
  <c r="G345" i="3" s="1"/>
  <c r="G343" i="3"/>
  <c r="G342" i="3"/>
  <c r="G340" i="3"/>
  <c r="G334" i="3"/>
  <c r="G331" i="3"/>
  <c r="G328" i="3"/>
  <c r="G325" i="3"/>
  <c r="G323" i="3"/>
  <c r="G316" i="3"/>
  <c r="G315" i="3" s="1"/>
  <c r="G314" i="3" s="1"/>
  <c r="G311" i="3"/>
  <c r="G307" i="3"/>
  <c r="G303" i="3"/>
  <c r="G299" i="3"/>
  <c r="G293" i="3"/>
  <c r="G291" i="3"/>
  <c r="G285" i="3"/>
  <c r="G284" i="3" s="1"/>
  <c r="G281" i="3"/>
  <c r="G277" i="3"/>
  <c r="G276" i="3" s="1"/>
  <c r="G275" i="3" s="1"/>
  <c r="G271" i="3"/>
  <c r="G265" i="3"/>
  <c r="G264" i="3" s="1"/>
  <c r="G254" i="3"/>
  <c r="G246" i="3"/>
  <c r="G243" i="3"/>
  <c r="G242" i="3"/>
  <c r="G241" i="3"/>
  <c r="G240" i="3"/>
  <c r="G237" i="3"/>
  <c r="G236" i="3" s="1"/>
  <c r="G227" i="3"/>
  <c r="G226" i="3" s="1"/>
  <c r="G220" i="3"/>
  <c r="G215" i="3"/>
  <c r="G210" i="3"/>
  <c r="G205" i="3"/>
  <c r="G201" i="3"/>
  <c r="G196" i="3"/>
  <c r="G193" i="3"/>
  <c r="G192" i="3" s="1"/>
  <c r="G190" i="3"/>
  <c r="G187" i="3"/>
  <c r="G186" i="3" s="1"/>
  <c r="G184" i="3"/>
  <c r="G176" i="3"/>
  <c r="G170" i="3"/>
  <c r="G167" i="3"/>
  <c r="G165" i="3"/>
  <c r="G164" i="3" s="1"/>
  <c r="G161" i="3"/>
  <c r="G160" i="3" s="1"/>
  <c r="G158" i="3"/>
  <c r="G156" i="3"/>
  <c r="G152" i="3"/>
  <c r="G150" i="3"/>
  <c r="G148" i="3"/>
  <c r="G145" i="3"/>
  <c r="G144" i="3" s="1"/>
  <c r="G139" i="3"/>
  <c r="G138" i="3" s="1"/>
  <c r="G133" i="3"/>
  <c r="G131" i="3"/>
  <c r="G130" i="3" s="1"/>
  <c r="G125" i="3"/>
  <c r="G122" i="3"/>
  <c r="G111" i="3"/>
  <c r="G109" i="3"/>
  <c r="G108" i="3" s="1"/>
  <c r="G103" i="3"/>
  <c r="G102" i="3"/>
  <c r="G98" i="3"/>
  <c r="G90" i="3"/>
  <c r="G85" i="3"/>
  <c r="G82" i="3"/>
  <c r="G80" i="3"/>
  <c r="G77" i="3"/>
  <c r="G72" i="3"/>
  <c r="G70" i="3"/>
  <c r="G67" i="3"/>
  <c r="G66" i="3" s="1"/>
  <c r="G64" i="3"/>
  <c r="G63" i="3"/>
  <c r="G60" i="3"/>
  <c r="G57" i="3"/>
  <c r="G54" i="3"/>
  <c r="G52" i="3"/>
  <c r="G50" i="3"/>
  <c r="G48" i="3"/>
  <c r="G42" i="3"/>
  <c r="G39" i="3"/>
  <c r="G38" i="3" s="1"/>
  <c r="G37" i="3"/>
  <c r="G34" i="3"/>
  <c r="G32" i="3"/>
  <c r="G26" i="3"/>
  <c r="G25" i="3" s="1"/>
  <c r="G18" i="3"/>
  <c r="G16" i="3"/>
  <c r="E18" i="2"/>
  <c r="E179" i="1"/>
  <c r="E178" i="1"/>
  <c r="E177" i="1"/>
  <c r="E174" i="1"/>
  <c r="E172" i="1"/>
  <c r="E167" i="1"/>
  <c r="E165" i="1"/>
  <c r="E162" i="1"/>
  <c r="E161" i="1"/>
  <c r="E159" i="1"/>
  <c r="E156" i="1"/>
  <c r="E155" i="1"/>
  <c r="E154" i="1"/>
  <c r="E153" i="1"/>
  <c r="E152" i="1"/>
  <c r="E150" i="1"/>
  <c r="E149" i="1"/>
  <c r="E148" i="1"/>
  <c r="E147" i="1"/>
  <c r="E141" i="1"/>
  <c r="E140" i="1"/>
  <c r="E139" i="1"/>
  <c r="E138" i="1"/>
  <c r="E137" i="1"/>
  <c r="E136" i="1"/>
  <c r="E135" i="1"/>
  <c r="E134" i="1"/>
  <c r="E133" i="1"/>
  <c r="E130" i="1"/>
  <c r="E129" i="1"/>
  <c r="E128" i="1"/>
  <c r="E127" i="1"/>
  <c r="E126" i="1"/>
  <c r="E125" i="1"/>
  <c r="E122" i="1"/>
  <c r="E121" i="1"/>
  <c r="E120" i="1"/>
  <c r="E117" i="1"/>
  <c r="E116" i="1"/>
  <c r="E113" i="1"/>
  <c r="E111" i="1"/>
  <c r="E109" i="1"/>
  <c r="E105" i="1"/>
  <c r="E103" i="1"/>
  <c r="E101" i="1"/>
  <c r="E99" i="1"/>
  <c r="E97" i="1"/>
  <c r="E95" i="1"/>
  <c r="E92" i="1"/>
  <c r="E90" i="1"/>
  <c r="E76" i="1"/>
  <c r="E72" i="1"/>
  <c r="E68" i="1"/>
  <c r="E66" i="1"/>
  <c r="E63" i="1"/>
  <c r="E51" i="1"/>
  <c r="E49" i="1"/>
  <c r="E45" i="1"/>
  <c r="E42" i="1"/>
  <c r="E40" i="1"/>
  <c r="E37" i="1"/>
  <c r="E34" i="1"/>
  <c r="E32" i="1"/>
  <c r="E28" i="1"/>
  <c r="E23" i="1"/>
  <c r="E22" i="1"/>
  <c r="E21" i="1"/>
  <c r="E17" i="1"/>
  <c r="E15" i="1"/>
  <c r="D166" i="1"/>
  <c r="D151" i="1"/>
  <c r="D58" i="1"/>
  <c r="H860" i="5" l="1"/>
  <c r="H216" i="5"/>
  <c r="H245" i="4"/>
  <c r="H244" i="4" s="1"/>
  <c r="H243" i="4" s="1"/>
  <c r="H37" i="5"/>
  <c r="H118" i="5"/>
  <c r="H466" i="5"/>
  <c r="H1032" i="4"/>
  <c r="H527" i="5"/>
  <c r="G159" i="3"/>
  <c r="G24" i="3"/>
  <c r="G49" i="3"/>
  <c r="G69" i="3"/>
  <c r="G101" i="3"/>
  <c r="G137" i="3"/>
  <c r="G151" i="3"/>
  <c r="G175" i="3"/>
  <c r="G191" i="3"/>
  <c r="G225" i="3"/>
  <c r="G290" i="3"/>
  <c r="G353" i="3"/>
  <c r="G363" i="3"/>
  <c r="G393" i="3"/>
  <c r="H702" i="5"/>
  <c r="G428" i="3"/>
  <c r="G451" i="3"/>
  <c r="G525" i="3"/>
  <c r="G545" i="3"/>
  <c r="G577" i="3"/>
  <c r="G589" i="3"/>
  <c r="H204" i="5"/>
  <c r="G614" i="3"/>
  <c r="G640" i="3"/>
  <c r="G692" i="3"/>
  <c r="G720" i="3"/>
  <c r="G753" i="3"/>
  <c r="G779" i="3"/>
  <c r="G833" i="3"/>
  <c r="H43" i="4"/>
  <c r="H160" i="4"/>
  <c r="H363" i="4"/>
  <c r="H362" i="4" s="1"/>
  <c r="H600" i="4"/>
  <c r="H742" i="4"/>
  <c r="G51" i="3"/>
  <c r="G62" i="3"/>
  <c r="G71" i="3"/>
  <c r="G84" i="3"/>
  <c r="G124" i="3"/>
  <c r="G310" i="3"/>
  <c r="G324" i="3"/>
  <c r="G339" i="3"/>
  <c r="G356" i="3"/>
  <c r="G413" i="3"/>
  <c r="G421" i="3"/>
  <c r="G430" i="3"/>
  <c r="G456" i="3"/>
  <c r="G470" i="3"/>
  <c r="G501" i="3"/>
  <c r="G517" i="3"/>
  <c r="G528" i="3"/>
  <c r="G549" i="3"/>
  <c r="G567" i="3"/>
  <c r="G580" i="3"/>
  <c r="H192" i="5"/>
  <c r="G592" i="3"/>
  <c r="H208" i="5"/>
  <c r="G605" i="3"/>
  <c r="G632" i="3"/>
  <c r="G643" i="3"/>
  <c r="G653" i="3"/>
  <c r="G681" i="3"/>
  <c r="G694" i="3"/>
  <c r="G723" i="3"/>
  <c r="G31" i="3"/>
  <c r="G41" i="3"/>
  <c r="G53" i="3"/>
  <c r="G76" i="3"/>
  <c r="G89" i="3"/>
  <c r="H395" i="5"/>
  <c r="G147" i="3"/>
  <c r="G157" i="3"/>
  <c r="G166" i="3"/>
  <c r="G185" i="3"/>
  <c r="G195" i="3"/>
  <c r="G214" i="3"/>
  <c r="G239" i="3"/>
  <c r="G245" i="3"/>
  <c r="G270" i="3"/>
  <c r="G280" i="3"/>
  <c r="G298" i="3"/>
  <c r="G297" i="3" s="1"/>
  <c r="G296" i="3" s="1"/>
  <c r="G313" i="3"/>
  <c r="G327" i="3"/>
  <c r="G341" i="3"/>
  <c r="G358" i="3"/>
  <c r="G369" i="3"/>
  <c r="H773" i="5"/>
  <c r="G385" i="3"/>
  <c r="H801" i="5"/>
  <c r="G416" i="3"/>
  <c r="G433" i="3"/>
  <c r="H721" i="5"/>
  <c r="G443" i="3"/>
  <c r="H736" i="5"/>
  <c r="H735" i="5" s="1"/>
  <c r="G460" i="3"/>
  <c r="G472" i="3"/>
  <c r="G493" i="3"/>
  <c r="G508" i="3"/>
  <c r="H179" i="5"/>
  <c r="G530" i="3"/>
  <c r="G538" i="3"/>
  <c r="G553" i="3"/>
  <c r="G571" i="3"/>
  <c r="G583" i="3"/>
  <c r="H196" i="5"/>
  <c r="G596" i="3"/>
  <c r="G609" i="3"/>
  <c r="G620" i="3"/>
  <c r="H311" i="5"/>
  <c r="G635" i="3"/>
  <c r="G658" i="3"/>
  <c r="G671" i="3"/>
  <c r="G685" i="3"/>
  <c r="G697" i="3"/>
  <c r="G714" i="3"/>
  <c r="G730" i="3"/>
  <c r="G764" i="3"/>
  <c r="G774" i="3"/>
  <c r="G785" i="3"/>
  <c r="G799" i="3"/>
  <c r="H65" i="4"/>
  <c r="H117" i="4"/>
  <c r="H397" i="4"/>
  <c r="H526" i="4"/>
  <c r="H673" i="4"/>
  <c r="H715" i="4"/>
  <c r="H761" i="4"/>
  <c r="H990" i="4"/>
  <c r="G21" i="3"/>
  <c r="G33" i="3"/>
  <c r="G47" i="3"/>
  <c r="G56" i="3"/>
  <c r="G65" i="3"/>
  <c r="G97" i="3"/>
  <c r="G110" i="3"/>
  <c r="G132" i="3"/>
  <c r="G149" i="3"/>
  <c r="G169" i="3"/>
  <c r="G189" i="3"/>
  <c r="G200" i="3"/>
  <c r="G219" i="3"/>
  <c r="G253" i="3"/>
  <c r="G274" i="3"/>
  <c r="G302" i="3"/>
  <c r="G301" i="3" s="1"/>
  <c r="G300" i="3" s="1"/>
  <c r="H387" i="5"/>
  <c r="G330" i="3"/>
  <c r="G351" i="3"/>
  <c r="G814" i="3"/>
  <c r="H580" i="5"/>
  <c r="G829" i="3"/>
  <c r="G862" i="3"/>
  <c r="G908" i="3"/>
  <c r="G920" i="3"/>
  <c r="G938" i="3"/>
  <c r="G982" i="3"/>
  <c r="G1001" i="3"/>
  <c r="G1013" i="3"/>
  <c r="G1033" i="3"/>
  <c r="H69" i="4"/>
  <c r="H123" i="4"/>
  <c r="H1201" i="4"/>
  <c r="H263" i="4"/>
  <c r="H284" i="4"/>
  <c r="H82" i="5"/>
  <c r="H583" i="4"/>
  <c r="H625" i="4"/>
  <c r="H624" i="4" s="1"/>
  <c r="H664" i="4"/>
  <c r="H720" i="4"/>
  <c r="H739" i="4"/>
  <c r="H213" i="5"/>
  <c r="H212" i="5" s="1"/>
  <c r="G282" i="3"/>
  <c r="H1104" i="4"/>
  <c r="H1125" i="4"/>
  <c r="G36" i="3"/>
  <c r="G81" i="3"/>
  <c r="G121" i="3"/>
  <c r="G204" i="3"/>
  <c r="G263" i="3"/>
  <c r="G306" i="3"/>
  <c r="G377" i="3"/>
  <c r="H787" i="5"/>
  <c r="G409" i="3"/>
  <c r="G439" i="3"/>
  <c r="G468" i="3"/>
  <c r="G487" i="3"/>
  <c r="G515" i="3"/>
  <c r="H175" i="5"/>
  <c r="G534" i="3"/>
  <c r="G562" i="3"/>
  <c r="G602" i="3"/>
  <c r="G627" i="3"/>
  <c r="G677" i="3"/>
  <c r="G704" i="3"/>
  <c r="G740" i="3"/>
  <c r="G768" i="3"/>
  <c r="G790" i="3"/>
  <c r="G804" i="3"/>
  <c r="H108" i="4"/>
  <c r="H286" i="4"/>
  <c r="H407" i="4"/>
  <c r="H632" i="5"/>
  <c r="H999" i="4"/>
  <c r="G15" i="3"/>
  <c r="H421" i="5"/>
  <c r="G381" i="3"/>
  <c r="H794" i="5"/>
  <c r="H732" i="5"/>
  <c r="G491" i="3"/>
  <c r="G667" i="3"/>
  <c r="G710" i="3"/>
  <c r="G743" i="3"/>
  <c r="H42" i="5"/>
  <c r="H43" i="5" s="1"/>
  <c r="G758" i="3"/>
  <c r="H564" i="5"/>
  <c r="G808" i="3"/>
  <c r="G821" i="3"/>
  <c r="G836" i="3"/>
  <c r="G857" i="3"/>
  <c r="G871" i="3"/>
  <c r="G878" i="3"/>
  <c r="G902" i="3"/>
  <c r="G950" i="3"/>
  <c r="G965" i="3"/>
  <c r="G974" i="3"/>
  <c r="H474" i="5"/>
  <c r="G993" i="3"/>
  <c r="G1005" i="3"/>
  <c r="G1022" i="3"/>
  <c r="H27" i="4"/>
  <c r="H26" i="4" s="1"/>
  <c r="H62" i="4"/>
  <c r="H189" i="4"/>
  <c r="H202" i="4"/>
  <c r="H269" i="4"/>
  <c r="H305" i="4"/>
  <c r="H315" i="4"/>
  <c r="H558" i="5"/>
  <c r="H410" i="4"/>
  <c r="H439" i="4"/>
  <c r="H451" i="4"/>
  <c r="H468" i="4"/>
  <c r="H507" i="4"/>
  <c r="H537" i="4"/>
  <c r="H558" i="4"/>
  <c r="H696" i="4"/>
  <c r="H695" i="4" s="1"/>
  <c r="H801" i="4"/>
  <c r="H957" i="4"/>
  <c r="H986" i="4"/>
  <c r="H130" i="5"/>
  <c r="H128" i="5"/>
  <c r="H815" i="5"/>
  <c r="H816" i="5" s="1"/>
  <c r="H872" i="5"/>
  <c r="H870" i="5"/>
  <c r="G17" i="3"/>
  <c r="G59" i="3"/>
  <c r="G79" i="3"/>
  <c r="G143" i="3"/>
  <c r="G155" i="3"/>
  <c r="G183" i="3"/>
  <c r="G209" i="3"/>
  <c r="G235" i="3"/>
  <c r="H765" i="5"/>
  <c r="H766" i="5" s="1"/>
  <c r="G292" i="3"/>
  <c r="G322" i="3"/>
  <c r="G333" i="3"/>
  <c r="G344" i="3"/>
  <c r="G373" i="3"/>
  <c r="H780" i="5"/>
  <c r="G389" i="3"/>
  <c r="H808" i="5"/>
  <c r="H807" i="5" s="1"/>
  <c r="G403" i="3"/>
  <c r="G418" i="3"/>
  <c r="H699" i="5"/>
  <c r="H698" i="5" s="1"/>
  <c r="G424" i="3"/>
  <c r="G435" i="3"/>
  <c r="G446" i="3"/>
  <c r="G466" i="3"/>
  <c r="G478" i="3"/>
  <c r="G485" i="3"/>
  <c r="G484" i="3" s="1"/>
  <c r="G496" i="3"/>
  <c r="G512" i="3"/>
  <c r="H171" i="5"/>
  <c r="G521" i="3"/>
  <c r="H183" i="5"/>
  <c r="G541" i="3"/>
  <c r="G556" i="3"/>
  <c r="G586" i="3"/>
  <c r="H200" i="5"/>
  <c r="H201" i="5" s="1"/>
  <c r="G599" i="3"/>
  <c r="G612" i="3"/>
  <c r="G624" i="3"/>
  <c r="H318" i="5"/>
  <c r="H317" i="5" s="1"/>
  <c r="G647" i="3"/>
  <c r="G663" i="3"/>
  <c r="G674" i="3"/>
  <c r="G690" i="3"/>
  <c r="G700" i="3"/>
  <c r="G716" i="3"/>
  <c r="G732" i="3"/>
  <c r="G766" i="3"/>
  <c r="G777" i="3"/>
  <c r="G801" i="3"/>
  <c r="G810" i="3"/>
  <c r="H567" i="5"/>
  <c r="H566" i="5" s="1"/>
  <c r="G825" i="3"/>
  <c r="G841" i="3"/>
  <c r="G851" i="3"/>
  <c r="G867" i="3"/>
  <c r="G896" i="3"/>
  <c r="G910" i="3"/>
  <c r="G923" i="3"/>
  <c r="G943" i="3"/>
  <c r="G956" i="3"/>
  <c r="G963" i="3"/>
  <c r="G970" i="3"/>
  <c r="G987" i="3"/>
  <c r="G1003" i="3"/>
  <c r="G1015" i="3"/>
  <c r="H227" i="4"/>
  <c r="H266" i="4"/>
  <c r="H390" i="4"/>
  <c r="H417" i="4"/>
  <c r="H460" i="4"/>
  <c r="H629" i="4"/>
  <c r="H628" i="4" s="1"/>
  <c r="H724" i="4"/>
  <c r="H851" i="4"/>
  <c r="H960" i="4"/>
  <c r="H1136" i="4"/>
  <c r="G783" i="3"/>
  <c r="G818" i="3"/>
  <c r="H607" i="5"/>
  <c r="G846" i="3"/>
  <c r="G859" i="3"/>
  <c r="G873" i="3"/>
  <c r="G884" i="3"/>
  <c r="G916" i="3"/>
  <c r="G930" i="3"/>
  <c r="G953" i="3"/>
  <c r="G959" i="3"/>
  <c r="G967" i="3"/>
  <c r="G978" i="3"/>
  <c r="G995" i="3"/>
  <c r="G1007" i="3"/>
  <c r="G1024" i="3"/>
  <c r="H37" i="4"/>
  <c r="H101" i="4"/>
  <c r="H113" i="4"/>
  <c r="H112" i="4" s="1"/>
  <c r="H111" i="4" s="1"/>
  <c r="H414" i="4"/>
  <c r="H430" i="4"/>
  <c r="H455" i="4"/>
  <c r="H454" i="4" s="1"/>
  <c r="H482" i="4"/>
  <c r="H126" i="5"/>
  <c r="H735" i="4"/>
  <c r="H871" i="4"/>
  <c r="H870" i="4" s="1"/>
  <c r="H869" i="4" s="1"/>
  <c r="H908" i="4"/>
  <c r="H931" i="4"/>
  <c r="H1202" i="4"/>
  <c r="H959" i="5"/>
  <c r="H1017" i="4"/>
  <c r="H1109" i="4"/>
  <c r="H1108" i="4" s="1"/>
  <c r="H21" i="6"/>
  <c r="H44" i="6"/>
  <c r="H286" i="5"/>
  <c r="H284" i="5"/>
  <c r="H573" i="5"/>
  <c r="H572" i="5" s="1"/>
  <c r="H575" i="5"/>
  <c r="H33" i="6"/>
  <c r="H831" i="5"/>
  <c r="H829" i="5"/>
  <c r="H828" i="5" s="1"/>
  <c r="H568" i="5"/>
  <c r="H693" i="5"/>
  <c r="H507" i="5"/>
  <c r="H371" i="5"/>
  <c r="H354" i="5"/>
  <c r="H352" i="5"/>
  <c r="H539" i="5"/>
  <c r="H550" i="5"/>
  <c r="H51" i="5"/>
  <c r="H53" i="5"/>
  <c r="H337" i="5"/>
  <c r="H336" i="5" s="1"/>
  <c r="H296" i="5"/>
  <c r="H298" i="5"/>
  <c r="H323" i="5"/>
  <c r="H428" i="5"/>
  <c r="H430" i="5"/>
  <c r="H464" i="5"/>
  <c r="H462" i="5"/>
  <c r="H670" i="5"/>
  <c r="H759" i="5"/>
  <c r="H757" i="5"/>
  <c r="H802" i="5"/>
  <c r="H958" i="5"/>
  <c r="H163" i="5"/>
  <c r="H214" i="5"/>
  <c r="H435" i="5"/>
  <c r="H523" i="5"/>
  <c r="H585" i="5"/>
  <c r="H587" i="5"/>
  <c r="H626" i="5"/>
  <c r="H624" i="5"/>
  <c r="H638" i="5"/>
  <c r="H41" i="5"/>
  <c r="H64" i="5"/>
  <c r="H170" i="5"/>
  <c r="H172" i="5"/>
  <c r="H180" i="5"/>
  <c r="H178" i="5"/>
  <c r="H187" i="5"/>
  <c r="H215" i="5"/>
  <c r="H262" i="5"/>
  <c r="H260" i="5"/>
  <c r="H280" i="5"/>
  <c r="H282" i="5"/>
  <c r="H310" i="5"/>
  <c r="H312" i="5"/>
  <c r="H388" i="5"/>
  <c r="H386" i="5"/>
  <c r="H526" i="5"/>
  <c r="H524" i="5"/>
  <c r="H530" i="5"/>
  <c r="H559" i="5"/>
  <c r="H612" i="5"/>
  <c r="H610" i="5"/>
  <c r="H664" i="5"/>
  <c r="H666" i="5"/>
  <c r="H675" i="5"/>
  <c r="H690" i="5"/>
  <c r="H715" i="5"/>
  <c r="H713" i="5"/>
  <c r="H853" i="5"/>
  <c r="H855" i="5"/>
  <c r="H948" i="5"/>
  <c r="H683" i="5"/>
  <c r="H686" i="5" s="1"/>
  <c r="H734" i="5"/>
  <c r="H843" i="5"/>
  <c r="H841" i="5"/>
  <c r="H25" i="5"/>
  <c r="H27" i="5"/>
  <c r="H74" i="5"/>
  <c r="H76" i="5"/>
  <c r="H222" i="5"/>
  <c r="H220" i="5"/>
  <c r="H378" i="5"/>
  <c r="H449" i="5"/>
  <c r="H465" i="5"/>
  <c r="H697" i="5"/>
  <c r="H695" i="5"/>
  <c r="H15" i="5"/>
  <c r="H17" i="5"/>
  <c r="H36" i="5"/>
  <c r="H88" i="5"/>
  <c r="H90" i="5"/>
  <c r="H156" i="5"/>
  <c r="H154" i="5"/>
  <c r="H283" i="5"/>
  <c r="H345" i="5"/>
  <c r="H364" i="5"/>
  <c r="H366" i="5"/>
  <c r="H457" i="5"/>
  <c r="H514" i="5"/>
  <c r="H545" i="5"/>
  <c r="H543" i="5"/>
  <c r="H619" i="5"/>
  <c r="H617" i="5"/>
  <c r="H708" i="5"/>
  <c r="H731" i="5"/>
  <c r="H733" i="5"/>
  <c r="H749" i="5"/>
  <c r="H814" i="5"/>
  <c r="H837" i="5"/>
  <c r="H839" i="5"/>
  <c r="H879" i="5"/>
  <c r="H925" i="5"/>
  <c r="H401" i="5"/>
  <c r="H445" i="5"/>
  <c r="H490" i="5"/>
  <c r="H513" i="5"/>
  <c r="H581" i="5"/>
  <c r="H600" i="5"/>
  <c r="H707" i="5"/>
  <c r="H705" i="5"/>
  <c r="H722" i="5"/>
  <c r="H859" i="5"/>
  <c r="H869" i="5"/>
  <c r="H940" i="5"/>
  <c r="H331" i="5"/>
  <c r="H453" i="5"/>
  <c r="H475" i="5"/>
  <c r="H485" i="5"/>
  <c r="H497" i="5"/>
  <c r="H508" i="5"/>
  <c r="H540" i="5"/>
  <c r="H596" i="5"/>
  <c r="H654" i="5"/>
  <c r="H711" i="5"/>
  <c r="H716" i="5"/>
  <c r="H737" i="5"/>
  <c r="H779" i="5"/>
  <c r="H827" i="5"/>
  <c r="H835" i="5"/>
  <c r="H833" i="5"/>
  <c r="H851" i="5"/>
  <c r="H849" i="5"/>
  <c r="H891" i="5"/>
  <c r="H932" i="5"/>
  <c r="H865" i="5"/>
  <c r="H899" i="5"/>
  <c r="H917" i="5"/>
  <c r="H137" i="5"/>
  <c r="H135" i="5"/>
  <c r="H193" i="5"/>
  <c r="H191" i="5"/>
  <c r="H661" i="5"/>
  <c r="H659" i="5"/>
  <c r="H726" i="5"/>
  <c r="H724" i="5"/>
  <c r="H127" i="5"/>
  <c r="H125" i="5"/>
  <c r="H143" i="5"/>
  <c r="H141" i="5"/>
  <c r="H151" i="5"/>
  <c r="H149" i="5"/>
  <c r="H247" i="5"/>
  <c r="H245" i="5"/>
  <c r="H592" i="5"/>
  <c r="H594" i="5"/>
  <c r="H117" i="5"/>
  <c r="H115" i="5"/>
  <c r="H161" i="5"/>
  <c r="H159" i="5"/>
  <c r="H255" i="5"/>
  <c r="H253" i="5"/>
  <c r="H273" i="5"/>
  <c r="H271" i="5"/>
  <c r="H305" i="5"/>
  <c r="H303" i="5"/>
  <c r="H340" i="5"/>
  <c r="H109" i="5"/>
  <c r="H107" i="5"/>
  <c r="H24" i="5"/>
  <c r="H22" i="5"/>
  <c r="H30" i="5"/>
  <c r="H28" i="5"/>
  <c r="H50" i="5"/>
  <c r="H48" i="5"/>
  <c r="H60" i="5"/>
  <c r="H58" i="5"/>
  <c r="H83" i="5"/>
  <c r="H81" i="5"/>
  <c r="H233" i="5"/>
  <c r="H231" i="5"/>
  <c r="H554" i="5"/>
  <c r="H556" i="5"/>
  <c r="H744" i="5"/>
  <c r="H742" i="5"/>
  <c r="H97" i="5"/>
  <c r="H95" i="5"/>
  <c r="H105" i="5"/>
  <c r="H103" i="5"/>
  <c r="H229" i="5"/>
  <c r="H227" i="5"/>
  <c r="H237" i="5"/>
  <c r="H235" i="5"/>
  <c r="H291" i="5"/>
  <c r="H289" i="5"/>
  <c r="H319" i="5"/>
  <c r="H359" i="5"/>
  <c r="H357" i="5"/>
  <c r="H197" i="5"/>
  <c r="H195" i="5"/>
  <c r="H205" i="5"/>
  <c r="H203" i="5"/>
  <c r="H243" i="5"/>
  <c r="H241" i="5"/>
  <c r="H251" i="5"/>
  <c r="H249" i="5"/>
  <c r="H269" i="5"/>
  <c r="H267" i="5"/>
  <c r="H277" i="5"/>
  <c r="H275" i="5"/>
  <c r="H521" i="5"/>
  <c r="H552" i="5"/>
  <c r="H647" i="5"/>
  <c r="H645" i="5"/>
  <c r="H912" i="5"/>
  <c r="H910" i="5"/>
  <c r="H415" i="5"/>
  <c r="H413" i="5"/>
  <c r="H443" i="5"/>
  <c r="H447" i="5"/>
  <c r="H451" i="5"/>
  <c r="H455" i="5"/>
  <c r="H473" i="5"/>
  <c r="H483" i="5"/>
  <c r="H479" i="5" s="1"/>
  <c r="H511" i="5"/>
  <c r="H537" i="5"/>
  <c r="H557" i="5"/>
  <c r="H579" i="5"/>
  <c r="H720" i="5"/>
  <c r="H781" i="5"/>
  <c r="H822" i="5"/>
  <c r="H867" i="5"/>
  <c r="H774" i="5"/>
  <c r="H772" i="5"/>
  <c r="H800" i="5"/>
  <c r="H874" i="5"/>
  <c r="H886" i="5"/>
  <c r="H906" i="5"/>
  <c r="H912" i="4"/>
  <c r="H494" i="4"/>
  <c r="H493" i="4" s="1"/>
  <c r="G465" i="3"/>
  <c r="H1067" i="4"/>
  <c r="H1066" i="4" s="1"/>
  <c r="H1065" i="4" s="1"/>
  <c r="H1061" i="4"/>
  <c r="H939" i="4"/>
  <c r="H831" i="4"/>
  <c r="H786" i="4"/>
  <c r="G776" i="3"/>
  <c r="H770" i="4"/>
  <c r="H677" i="4"/>
  <c r="H565" i="4"/>
  <c r="H542" i="4"/>
  <c r="H515" i="4"/>
  <c r="H514" i="4" s="1"/>
  <c r="H474" i="4"/>
  <c r="H344" i="4"/>
  <c r="H322" i="4"/>
  <c r="H222" i="4"/>
  <c r="H168" i="4"/>
  <c r="H149" i="4"/>
  <c r="H140" i="4"/>
  <c r="H53" i="4"/>
  <c r="H1135" i="4"/>
  <c r="G490" i="3"/>
  <c r="H1088" i="4"/>
  <c r="G480" i="3"/>
  <c r="H1040" i="4"/>
  <c r="G1000" i="3"/>
  <c r="H780" i="4"/>
  <c r="H644" i="4"/>
  <c r="H576" i="4"/>
  <c r="H548" i="4"/>
  <c r="G154" i="3"/>
  <c r="H532" i="4"/>
  <c r="G907" i="3"/>
  <c r="H444" i="4"/>
  <c r="H429" i="4"/>
  <c r="H370" i="4"/>
  <c r="H337" i="4"/>
  <c r="G689" i="3"/>
  <c r="H270" i="4"/>
  <c r="H185" i="4"/>
  <c r="H176" i="4"/>
  <c r="H139" i="4"/>
  <c r="H96" i="4"/>
  <c r="H80" i="4"/>
  <c r="H16" i="4"/>
  <c r="H1188" i="4"/>
  <c r="H226" i="4"/>
  <c r="G68" i="3"/>
  <c r="G807" i="3"/>
  <c r="H321" i="4"/>
  <c r="G179" i="3"/>
  <c r="G796" i="3"/>
  <c r="H48" i="4"/>
  <c r="G96" i="3"/>
  <c r="G120" i="3"/>
  <c r="G234" i="3"/>
  <c r="G261" i="3"/>
  <c r="G707" i="3"/>
  <c r="G725" i="3"/>
  <c r="G763" i="3"/>
  <c r="G887" i="3"/>
  <c r="G889" i="3"/>
  <c r="H85" i="4"/>
  <c r="H131" i="4"/>
  <c r="H154" i="4"/>
  <c r="H209" i="4"/>
  <c r="H334" i="4"/>
  <c r="H332" i="4"/>
  <c r="H352" i="4"/>
  <c r="H506" i="4"/>
  <c r="H505" i="4"/>
  <c r="G129" i="3"/>
  <c r="G427" i="3"/>
  <c r="G14" i="3"/>
  <c r="G163" i="3"/>
  <c r="H757" i="4"/>
  <c r="H756" i="4"/>
  <c r="G75" i="3"/>
  <c r="G94" i="3"/>
  <c r="G114" i="3"/>
  <c r="G118" i="3"/>
  <c r="G146" i="3"/>
  <c r="G251" i="3"/>
  <c r="G748" i="3"/>
  <c r="G870" i="3"/>
  <c r="H236" i="4"/>
  <c r="G937" i="3"/>
  <c r="H298" i="4"/>
  <c r="H811" i="4"/>
  <c r="H1029" i="4"/>
  <c r="H381" i="4"/>
  <c r="H589" i="4"/>
  <c r="H599" i="4"/>
  <c r="H633" i="4"/>
  <c r="H738" i="4"/>
  <c r="H850" i="4"/>
  <c r="H951" i="4"/>
  <c r="H1120" i="4"/>
  <c r="H492" i="4"/>
  <c r="H824" i="4"/>
  <c r="H1094" i="4"/>
  <c r="H884" i="4"/>
  <c r="H1079" i="4"/>
  <c r="H859" i="4"/>
  <c r="H923" i="4"/>
  <c r="G30" i="3"/>
  <c r="G289" i="3"/>
  <c r="G338" i="3"/>
  <c r="G78" i="3"/>
  <c r="G107" i="3"/>
  <c r="G782" i="3"/>
  <c r="G913" i="3"/>
  <c r="G914" i="3"/>
  <c r="G1012" i="3"/>
  <c r="G128" i="3" l="1"/>
  <c r="G119" i="3"/>
  <c r="H608" i="5"/>
  <c r="H606" i="5"/>
  <c r="H605" i="5" s="1"/>
  <c r="G372" i="3"/>
  <c r="G58" i="3"/>
  <c r="G901" i="3"/>
  <c r="G709" i="3"/>
  <c r="G376" i="3"/>
  <c r="G981" i="3"/>
  <c r="G631" i="3"/>
  <c r="H42" i="4"/>
  <c r="G544" i="3"/>
  <c r="G136" i="3"/>
  <c r="G337" i="3"/>
  <c r="G250" i="3"/>
  <c r="G95" i="3"/>
  <c r="H410" i="5"/>
  <c r="G153" i="3"/>
  <c r="G999" i="3"/>
  <c r="H793" i="5"/>
  <c r="H792" i="5" s="1"/>
  <c r="H791" i="5" s="1"/>
  <c r="H795" i="5"/>
  <c r="G1032" i="3"/>
  <c r="H703" i="5"/>
  <c r="H701" i="5"/>
  <c r="G747" i="3"/>
  <c r="G142" i="3"/>
  <c r="G74" i="3"/>
  <c r="G724" i="3"/>
  <c r="G260" i="3"/>
  <c r="G178" i="3"/>
  <c r="G906" i="3"/>
  <c r="H104" i="4"/>
  <c r="H253" i="4"/>
  <c r="H252" i="4" s="1"/>
  <c r="H809" i="5"/>
  <c r="H199" i="5"/>
  <c r="H700" i="5"/>
  <c r="H43" i="6"/>
  <c r="G895" i="3"/>
  <c r="G840" i="3"/>
  <c r="G611" i="3"/>
  <c r="G585" i="3"/>
  <c r="H182" i="5"/>
  <c r="H181" i="5" s="1"/>
  <c r="H184" i="5"/>
  <c r="G835" i="3"/>
  <c r="G380" i="3"/>
  <c r="H283" i="4"/>
  <c r="G861" i="3"/>
  <c r="G168" i="3"/>
  <c r="G657" i="3"/>
  <c r="G459" i="3"/>
  <c r="H209" i="5"/>
  <c r="H207" i="5"/>
  <c r="G355" i="3"/>
  <c r="G1011" i="3"/>
  <c r="G113" i="3"/>
  <c r="G162" i="3"/>
  <c r="G806" i="3"/>
  <c r="G477" i="3"/>
  <c r="G321" i="3"/>
  <c r="H406" i="4"/>
  <c r="G199" i="3"/>
  <c r="G856" i="3"/>
  <c r="G93" i="3"/>
  <c r="H407" i="5"/>
  <c r="G762" i="3"/>
  <c r="H663" i="4"/>
  <c r="G464" i="3"/>
  <c r="H1107" i="4"/>
  <c r="G883" i="3"/>
  <c r="G511" i="3"/>
  <c r="H557" i="4"/>
  <c r="G514" i="3"/>
  <c r="G252" i="3"/>
  <c r="G55" i="3"/>
  <c r="G23" i="3"/>
  <c r="G912" i="3"/>
  <c r="G279" i="3"/>
  <c r="G46" i="3"/>
  <c r="G288" i="3"/>
  <c r="G936" i="3"/>
  <c r="G117" i="3"/>
  <c r="G888" i="3"/>
  <c r="G706" i="3"/>
  <c r="G233" i="3"/>
  <c r="H52" i="4"/>
  <c r="G1021" i="3"/>
  <c r="H731" i="4"/>
  <c r="H764" i="5"/>
  <c r="H197" i="4"/>
  <c r="G922" i="3"/>
  <c r="G866" i="3"/>
  <c r="G555" i="3"/>
  <c r="G520" i="3"/>
  <c r="G208" i="3"/>
  <c r="H312" i="4"/>
  <c r="G757" i="3"/>
  <c r="G262" i="3"/>
  <c r="H122" i="4"/>
  <c r="G312" i="3"/>
  <c r="G591" i="3"/>
  <c r="G752" i="3"/>
  <c r="G450" i="3"/>
  <c r="H907" i="4"/>
  <c r="H413" i="4"/>
  <c r="G845" i="3"/>
  <c r="G817" i="3"/>
  <c r="G850" i="3"/>
  <c r="G824" i="3"/>
  <c r="G673" i="3"/>
  <c r="G646" i="3"/>
  <c r="G623" i="3"/>
  <c r="G598" i="3"/>
  <c r="G540" i="3"/>
  <c r="G495" i="3"/>
  <c r="G489" i="3" s="1"/>
  <c r="G445" i="3"/>
  <c r="G388" i="3"/>
  <c r="G332" i="3"/>
  <c r="G973" i="3"/>
  <c r="G949" i="3"/>
  <c r="H565" i="5"/>
  <c r="H563" i="5"/>
  <c r="H562" i="5" s="1"/>
  <c r="G666" i="3"/>
  <c r="H998" i="4"/>
  <c r="G408" i="3"/>
  <c r="G203" i="3"/>
  <c r="G350" i="3"/>
  <c r="G684" i="3"/>
  <c r="G634" i="3"/>
  <c r="G368" i="3"/>
  <c r="G213" i="3"/>
  <c r="G652" i="3"/>
  <c r="G548" i="3"/>
  <c r="G832" i="3"/>
  <c r="G588" i="3"/>
  <c r="G174" i="3"/>
  <c r="H32" i="6"/>
  <c r="H20" i="6"/>
  <c r="G977" i="3"/>
  <c r="G929" i="3"/>
  <c r="G986" i="3"/>
  <c r="G962" i="3"/>
  <c r="G952" i="3" s="1"/>
  <c r="G942" i="3"/>
  <c r="G402" i="3"/>
  <c r="G182" i="3"/>
  <c r="H985" i="4"/>
  <c r="H800" i="4"/>
  <c r="H409" i="4"/>
  <c r="G992" i="3"/>
  <c r="G742" i="3"/>
  <c r="H420" i="5"/>
  <c r="H419" i="5" s="1"/>
  <c r="H422" i="5"/>
  <c r="G803" i="3"/>
  <c r="G626" i="3"/>
  <c r="G561" i="3"/>
  <c r="H174" i="5"/>
  <c r="H173" i="5" s="1"/>
  <c r="H176" i="5"/>
  <c r="H788" i="5"/>
  <c r="H786" i="5"/>
  <c r="H785" i="5" s="1"/>
  <c r="H1103" i="4"/>
  <c r="G329" i="3"/>
  <c r="H989" i="4"/>
  <c r="G713" i="3"/>
  <c r="G608" i="3"/>
  <c r="G537" i="3"/>
  <c r="G442" i="3"/>
  <c r="G244" i="3"/>
  <c r="G579" i="3"/>
  <c r="G412" i="3"/>
  <c r="G123" i="3"/>
  <c r="G224" i="3"/>
  <c r="H719" i="4"/>
  <c r="G813" i="3"/>
  <c r="G20" i="3"/>
  <c r="H525" i="4"/>
  <c r="G773" i="3"/>
  <c r="G772" i="3" s="1"/>
  <c r="G582" i="3"/>
  <c r="G552" i="3"/>
  <c r="G507" i="3"/>
  <c r="G415" i="3"/>
  <c r="G384" i="3"/>
  <c r="H396" i="5"/>
  <c r="H394" i="5"/>
  <c r="H393" i="5" s="1"/>
  <c r="G40" i="3"/>
  <c r="G680" i="3"/>
  <c r="G642" i="3"/>
  <c r="G604" i="3"/>
  <c r="G566" i="3"/>
  <c r="G527" i="3"/>
  <c r="G500" i="3"/>
  <c r="G309" i="3"/>
  <c r="G719" i="3"/>
  <c r="G576" i="3"/>
  <c r="G524" i="3"/>
  <c r="G100" i="3"/>
  <c r="G877" i="3"/>
  <c r="G820" i="3"/>
  <c r="H631" i="5"/>
  <c r="H630" i="5" s="1"/>
  <c r="H633" i="5"/>
  <c r="G789" i="3"/>
  <c r="G781" i="3" s="1"/>
  <c r="G739" i="3"/>
  <c r="G676" i="3"/>
  <c r="G601" i="3"/>
  <c r="G305" i="3"/>
  <c r="G35" i="3"/>
  <c r="G919" i="3"/>
  <c r="G828" i="3"/>
  <c r="G218" i="3"/>
  <c r="G188" i="3"/>
  <c r="G729" i="3"/>
  <c r="G696" i="3"/>
  <c r="G688" i="3" s="1"/>
  <c r="G670" i="3"/>
  <c r="G619" i="3"/>
  <c r="G595" i="3"/>
  <c r="G432" i="3"/>
  <c r="G326" i="3"/>
  <c r="G269" i="3"/>
  <c r="G194" i="3"/>
  <c r="G88" i="3"/>
  <c r="G455" i="3"/>
  <c r="G83" i="3"/>
  <c r="H361" i="4"/>
  <c r="H159" i="4"/>
  <c r="G639" i="3"/>
  <c r="G392" i="3"/>
  <c r="H571" i="5"/>
  <c r="H385" i="5"/>
  <c r="H412" i="5"/>
  <c r="H644" i="5"/>
  <c r="H478" i="5"/>
  <c r="H653" i="5"/>
  <c r="H330" i="5"/>
  <c r="H836" i="5"/>
  <c r="H87" i="5"/>
  <c r="H694" i="5"/>
  <c r="H219" i="5"/>
  <c r="H279" i="5"/>
  <c r="H885" i="5"/>
  <c r="H719" i="5"/>
  <c r="H504" i="5"/>
  <c r="H450" i="5"/>
  <c r="H763" i="5"/>
  <c r="H134" i="5"/>
  <c r="H924" i="5"/>
  <c r="H153" i="5"/>
  <c r="H517" i="5"/>
  <c r="H309" i="5"/>
  <c r="H461" i="5"/>
  <c r="H351" i="5"/>
  <c r="H274" i="5"/>
  <c r="H202" i="5"/>
  <c r="H316" i="5"/>
  <c r="H102" i="5"/>
  <c r="H57" i="5"/>
  <c r="H54" i="5" s="1"/>
  <c r="H302" i="5"/>
  <c r="H148" i="5"/>
  <c r="H916" i="5"/>
  <c r="H832" i="5"/>
  <c r="H778" i="5"/>
  <c r="H704" i="5"/>
  <c r="H489" i="5"/>
  <c r="H878" i="5"/>
  <c r="H813" i="5"/>
  <c r="H561" i="5"/>
  <c r="H14" i="5"/>
  <c r="H682" i="5"/>
  <c r="H629" i="5"/>
  <c r="H63" i="5"/>
  <c r="H623" i="5"/>
  <c r="H584" i="5"/>
  <c r="H434" i="5"/>
  <c r="H211" i="5"/>
  <c r="H392" i="5"/>
  <c r="H799" i="5"/>
  <c r="H821" i="5"/>
  <c r="H472" i="5"/>
  <c r="H442" i="5"/>
  <c r="H909" i="5"/>
  <c r="H741" i="5"/>
  <c r="H553" i="5"/>
  <c r="H21" i="5"/>
  <c r="H106" i="5"/>
  <c r="H591" i="5"/>
  <c r="H658" i="5"/>
  <c r="H190" i="5"/>
  <c r="H894" i="5"/>
  <c r="H890" i="5"/>
  <c r="H848" i="5"/>
  <c r="H595" i="5"/>
  <c r="H939" i="5"/>
  <c r="H858" i="5"/>
  <c r="H730" i="5"/>
  <c r="H840" i="5"/>
  <c r="H852" i="5"/>
  <c r="H609" i="5"/>
  <c r="H210" i="5"/>
  <c r="H177" i="5"/>
  <c r="H756" i="5"/>
  <c r="H669" i="5"/>
  <c r="H370" i="5"/>
  <c r="H322" i="5"/>
  <c r="H873" i="5"/>
  <c r="H578" i="5"/>
  <c r="H577" i="5" s="1"/>
  <c r="H446" i="5"/>
  <c r="H248" i="5"/>
  <c r="H234" i="5"/>
  <c r="H230" i="5"/>
  <c r="H806" i="5"/>
  <c r="H252" i="5"/>
  <c r="H158" i="5"/>
  <c r="H244" i="5"/>
  <c r="H124" i="5"/>
  <c r="H784" i="5"/>
  <c r="H363" i="5"/>
  <c r="H377" i="5"/>
  <c r="H73" i="5"/>
  <c r="H259" i="5"/>
  <c r="H186" i="5"/>
  <c r="H427" i="5"/>
  <c r="H905" i="5"/>
  <c r="H771" i="5"/>
  <c r="H536" i="5"/>
  <c r="H454" i="5"/>
  <c r="H520" i="5"/>
  <c r="H266" i="5"/>
  <c r="H240" i="5"/>
  <c r="H194" i="5"/>
  <c r="H356" i="5"/>
  <c r="H288" i="5"/>
  <c r="H226" i="5"/>
  <c r="H94" i="5"/>
  <c r="H47" i="5"/>
  <c r="H335" i="5"/>
  <c r="H270" i="5"/>
  <c r="H206" i="5"/>
  <c r="H114" i="5"/>
  <c r="H198" i="5"/>
  <c r="H140" i="5"/>
  <c r="H723" i="5"/>
  <c r="H898" i="5"/>
  <c r="H864" i="5"/>
  <c r="H931" i="5"/>
  <c r="H496" i="5"/>
  <c r="H599" i="5"/>
  <c r="H400" i="5"/>
  <c r="H748" i="5"/>
  <c r="H616" i="5"/>
  <c r="H344" i="5"/>
  <c r="H947" i="5"/>
  <c r="H712" i="5"/>
  <c r="H674" i="5"/>
  <c r="H663" i="5"/>
  <c r="H533" i="5"/>
  <c r="H169" i="5"/>
  <c r="H40" i="5"/>
  <c r="H637" i="5"/>
  <c r="H418" i="5"/>
  <c r="H162" i="5"/>
  <c r="H957" i="5"/>
  <c r="H295" i="5"/>
  <c r="H80" i="5"/>
  <c r="H911" i="4"/>
  <c r="H785" i="4"/>
  <c r="H1134" i="4"/>
  <c r="H1119" i="4"/>
  <c r="H1093" i="4"/>
  <c r="H1078" i="4"/>
  <c r="H1060" i="4"/>
  <c r="H1013" i="4"/>
  <c r="H1008" i="4" s="1"/>
  <c r="H922" i="4"/>
  <c r="H880" i="4"/>
  <c r="H879" i="4" s="1"/>
  <c r="H858" i="4"/>
  <c r="H849" i="4"/>
  <c r="H1177" i="4"/>
  <c r="H806" i="4"/>
  <c r="H779" i="4"/>
  <c r="H769" i="4"/>
  <c r="H768" i="4" s="1"/>
  <c r="H730" i="4"/>
  <c r="H676" i="4"/>
  <c r="H564" i="4"/>
  <c r="H547" i="4"/>
  <c r="H541" i="4"/>
  <c r="H531" i="4"/>
  <c r="H491" i="4"/>
  <c r="H473" i="4"/>
  <c r="H443" i="4"/>
  <c r="H428" i="4"/>
  <c r="H380" i="4"/>
  <c r="H369" i="4"/>
  <c r="H351" i="4"/>
  <c r="H333" i="4"/>
  <c r="H297" i="4"/>
  <c r="H235" i="4"/>
  <c r="H221" i="4"/>
  <c r="H208" i="4"/>
  <c r="H184" i="4"/>
  <c r="H175" i="4"/>
  <c r="H130" i="4"/>
  <c r="H95" i="4"/>
  <c r="H47" i="4"/>
  <c r="H15" i="4"/>
  <c r="H571" i="4"/>
  <c r="H68" i="4"/>
  <c r="H51" i="4" s="1"/>
  <c r="H938" i="4"/>
  <c r="G476" i="3"/>
  <c r="H265" i="5" l="1"/>
  <c r="G771" i="3"/>
  <c r="G454" i="3"/>
  <c r="G453" i="3"/>
  <c r="G827" i="3"/>
  <c r="G499" i="3"/>
  <c r="G565" i="3"/>
  <c r="H19" i="6"/>
  <c r="G831" i="3"/>
  <c r="G212" i="3"/>
  <c r="G202" i="3"/>
  <c r="H308" i="4"/>
  <c r="G703" i="3"/>
  <c r="G45" i="3"/>
  <c r="H556" i="4"/>
  <c r="G320" i="3"/>
  <c r="G900" i="3"/>
  <c r="G475" i="3"/>
  <c r="G391" i="3"/>
  <c r="G594" i="3"/>
  <c r="G728" i="3"/>
  <c r="G308" i="3"/>
  <c r="G551" i="3"/>
  <c r="G991" i="3"/>
  <c r="G651" i="3"/>
  <c r="G387" i="3"/>
  <c r="G622" i="3"/>
  <c r="G816" i="3"/>
  <c r="H121" i="4"/>
  <c r="G278" i="3"/>
  <c r="G510" i="3"/>
  <c r="G882" i="3"/>
  <c r="G894" i="3"/>
  <c r="G259" i="3"/>
  <c r="G73" i="3"/>
  <c r="G746" i="3"/>
  <c r="G249" i="3"/>
  <c r="G543" i="3"/>
  <c r="G980" i="3"/>
  <c r="G371" i="3"/>
  <c r="H90" i="4"/>
  <c r="H56" i="5"/>
  <c r="H441" i="5"/>
  <c r="H158" i="4"/>
  <c r="G268" i="3"/>
  <c r="G217" i="3"/>
  <c r="G918" i="3"/>
  <c r="G738" i="3"/>
  <c r="G523" i="3"/>
  <c r="G712" i="3"/>
  <c r="G679" i="3"/>
  <c r="G383" i="3"/>
  <c r="G506" i="3"/>
  <c r="G812" i="3"/>
  <c r="H1171" i="4"/>
  <c r="G976" i="3"/>
  <c r="H31" i="6"/>
  <c r="G407" i="3"/>
  <c r="G662" i="3"/>
  <c r="G948" i="3"/>
  <c r="G823" i="3"/>
  <c r="G844" i="3"/>
  <c r="G751" i="3"/>
  <c r="H196" i="4"/>
  <c r="H1194" i="4"/>
  <c r="G232" i="3"/>
  <c r="G886" i="3"/>
  <c r="G463" i="3"/>
  <c r="G198" i="3"/>
  <c r="G112" i="3"/>
  <c r="G1010" i="3"/>
  <c r="G839" i="3"/>
  <c r="G905" i="3"/>
  <c r="G998" i="3"/>
  <c r="G630" i="3"/>
  <c r="G708" i="3"/>
  <c r="G638" i="3"/>
  <c r="H968" i="4"/>
  <c r="H1102" i="4"/>
  <c r="G560" i="3"/>
  <c r="G181" i="3"/>
  <c r="G547" i="3"/>
  <c r="H997" i="4"/>
  <c r="G972" i="3"/>
  <c r="G449" i="3"/>
  <c r="G756" i="3"/>
  <c r="H408" i="5"/>
  <c r="H406" i="5"/>
  <c r="G29" i="3"/>
  <c r="H282" i="4"/>
  <c r="G116" i="3"/>
  <c r="G223" i="3"/>
  <c r="G238" i="3"/>
  <c r="G533" i="3"/>
  <c r="G669" i="3"/>
  <c r="G1020" i="3"/>
  <c r="G761" i="3"/>
  <c r="G458" i="3"/>
  <c r="H36" i="4"/>
  <c r="G92" i="3"/>
  <c r="G141" i="3"/>
  <c r="H513" i="4"/>
  <c r="H512" i="4" s="1"/>
  <c r="H906" i="4"/>
  <c r="H185" i="5"/>
  <c r="G87" i="3"/>
  <c r="G618" i="3"/>
  <c r="G304" i="3"/>
  <c r="G575" i="3"/>
  <c r="G19" i="3"/>
  <c r="G607" i="3"/>
  <c r="H799" i="4"/>
  <c r="G401" i="3"/>
  <c r="G941" i="3"/>
  <c r="G985" i="3"/>
  <c r="G928" i="3"/>
  <c r="G367" i="3"/>
  <c r="G683" i="3"/>
  <c r="G349" i="3"/>
  <c r="G849" i="3"/>
  <c r="G207" i="3"/>
  <c r="G206" i="3"/>
  <c r="G865" i="3"/>
  <c r="G935" i="3"/>
  <c r="G287" i="3"/>
  <c r="G22" i="3"/>
  <c r="G795" i="3"/>
  <c r="G869" i="3"/>
  <c r="G855" i="3"/>
  <c r="H405" i="4"/>
  <c r="G656" i="3"/>
  <c r="G379" i="3"/>
  <c r="H42" i="6"/>
  <c r="G177" i="3"/>
  <c r="G722" i="3"/>
  <c r="G411" i="3"/>
  <c r="G1031" i="3"/>
  <c r="H409" i="5"/>
  <c r="H411" i="5"/>
  <c r="G336" i="3"/>
  <c r="G135" i="3"/>
  <c r="G375" i="3"/>
  <c r="G127" i="3"/>
  <c r="G438" i="3"/>
  <c r="H576" i="5"/>
  <c r="H636" i="5"/>
  <c r="H634" i="5"/>
  <c r="H168" i="5"/>
  <c r="H167" i="5" s="1"/>
  <c r="H440" i="5"/>
  <c r="H294" i="5"/>
  <c r="H165" i="5"/>
  <c r="H662" i="5"/>
  <c r="H747" i="5"/>
  <c r="H225" i="5"/>
  <c r="H355" i="5"/>
  <c r="H519" i="5"/>
  <c r="H770" i="5"/>
  <c r="H258" i="5"/>
  <c r="H376" i="5"/>
  <c r="H123" i="5"/>
  <c r="H157" i="5"/>
  <c r="H805" i="5"/>
  <c r="H868" i="5"/>
  <c r="H604" i="5"/>
  <c r="H938" i="5"/>
  <c r="H740" i="5"/>
  <c r="H820" i="5"/>
  <c r="H391" i="5"/>
  <c r="H390" i="5"/>
  <c r="H622" i="5"/>
  <c r="H560" i="5"/>
  <c r="H877" i="5"/>
  <c r="H147" i="5"/>
  <c r="H101" i="5"/>
  <c r="H884" i="5"/>
  <c r="H570" i="5"/>
  <c r="H239" i="5"/>
  <c r="H673" i="5"/>
  <c r="H863" i="5"/>
  <c r="H139" i="5"/>
  <c r="H113" i="5"/>
  <c r="H535" i="5"/>
  <c r="H783" i="5"/>
  <c r="H729" i="5"/>
  <c r="H657" i="5"/>
  <c r="H471" i="5"/>
  <c r="H433" i="5"/>
  <c r="H681" i="5"/>
  <c r="H13" i="5"/>
  <c r="H11" i="5"/>
  <c r="H777" i="5"/>
  <c r="H915" i="5"/>
  <c r="H460" i="5"/>
  <c r="H762" i="5"/>
  <c r="H689" i="5"/>
  <c r="H86" i="5"/>
  <c r="H652" i="5"/>
  <c r="H643" i="5"/>
  <c r="H384" i="5"/>
  <c r="H615" i="5"/>
  <c r="H93" i="5"/>
  <c r="H287" i="5"/>
  <c r="H426" i="5"/>
  <c r="H189" i="5"/>
  <c r="H72" i="5"/>
  <c r="H755" i="5"/>
  <c r="H847" i="5"/>
  <c r="H590" i="5"/>
  <c r="H20" i="5"/>
  <c r="H549" i="5"/>
  <c r="H798" i="5"/>
  <c r="H583" i="5"/>
  <c r="H812" i="5"/>
  <c r="H315" i="5"/>
  <c r="H152" i="5"/>
  <c r="H923" i="5"/>
  <c r="H329" i="5"/>
  <c r="H55" i="5"/>
  <c r="H904" i="5"/>
  <c r="H956" i="5"/>
  <c r="H417" i="5"/>
  <c r="H946" i="5"/>
  <c r="H35" i="5"/>
  <c r="H343" i="5"/>
  <c r="H399" i="5"/>
  <c r="H403" i="5"/>
  <c r="H790" i="5"/>
  <c r="H495" i="5"/>
  <c r="H930" i="5"/>
  <c r="H897" i="5"/>
  <c r="H334" i="5"/>
  <c r="H46" i="5"/>
  <c r="H362" i="5"/>
  <c r="H321" i="5"/>
  <c r="H369" i="5"/>
  <c r="H672" i="5"/>
  <c r="H668" i="5"/>
  <c r="H889" i="5"/>
  <c r="H62" i="5"/>
  <c r="H628" i="5"/>
  <c r="H488" i="5"/>
  <c r="H301" i="5"/>
  <c r="H350" i="5"/>
  <c r="H308" i="5"/>
  <c r="H133" i="5"/>
  <c r="H503" i="5"/>
  <c r="H278" i="5"/>
  <c r="H477" i="5"/>
  <c r="H79" i="5"/>
  <c r="H729" i="4"/>
  <c r="H1133" i="4"/>
  <c r="H1118" i="4"/>
  <c r="H1077" i="4"/>
  <c r="H1055" i="4"/>
  <c r="H1193" i="4"/>
  <c r="H1002" i="4"/>
  <c r="H937" i="4"/>
  <c r="H921" i="4"/>
  <c r="H878" i="4"/>
  <c r="H857" i="4"/>
  <c r="H805" i="4"/>
  <c r="H1190" i="4"/>
  <c r="H778" i="4"/>
  <c r="H639" i="4"/>
  <c r="H570" i="4"/>
  <c r="H563" i="4"/>
  <c r="H546" i="4"/>
  <c r="H540" i="4"/>
  <c r="H530" i="4"/>
  <c r="H490" i="4"/>
  <c r="H467" i="4"/>
  <c r="H466" i="4" s="1"/>
  <c r="H438" i="4"/>
  <c r="H368" i="4"/>
  <c r="H343" i="4"/>
  <c r="H331" i="4"/>
  <c r="H296" i="4"/>
  <c r="H1196" i="4"/>
  <c r="H242" i="4"/>
  <c r="H234" i="4"/>
  <c r="H220" i="4"/>
  <c r="H207" i="4"/>
  <c r="H1162" i="4"/>
  <c r="H1197" i="4"/>
  <c r="H167" i="4"/>
  <c r="H129" i="4"/>
  <c r="H50" i="4"/>
  <c r="H46" i="4"/>
  <c r="H1155" i="4" s="1"/>
  <c r="H14" i="4"/>
  <c r="G947" i="3" l="1"/>
  <c r="G134" i="3"/>
  <c r="G173" i="3"/>
  <c r="G655" i="3"/>
  <c r="G248" i="3"/>
  <c r="G893" i="3"/>
  <c r="G864" i="3"/>
  <c r="G848" i="3"/>
  <c r="H798" i="4"/>
  <c r="G406" i="3"/>
  <c r="G400" i="3" s="1"/>
  <c r="E30" i="2" s="1"/>
  <c r="H1156" i="4"/>
  <c r="G881" i="3"/>
  <c r="G273" i="3"/>
  <c r="G990" i="3"/>
  <c r="G319" i="3"/>
  <c r="G699" i="3"/>
  <c r="G211" i="3"/>
  <c r="H18" i="6"/>
  <c r="G760" i="3"/>
  <c r="G794" i="3"/>
  <c r="G927" i="3"/>
  <c r="G940" i="3"/>
  <c r="G13" i="3"/>
  <c r="G222" i="3"/>
  <c r="G28" i="3"/>
  <c r="G180" i="3"/>
  <c r="G197" i="3"/>
  <c r="G661" i="3"/>
  <c r="G505" i="3"/>
  <c r="G745" i="3"/>
  <c r="G258" i="3"/>
  <c r="G727" i="3"/>
  <c r="H555" i="4"/>
  <c r="G498" i="3"/>
  <c r="G462" i="3" s="1"/>
  <c r="G854" i="3"/>
  <c r="G934" i="3"/>
  <c r="G984" i="3"/>
  <c r="H277" i="4"/>
  <c r="H1195" i="4"/>
  <c r="G231" i="3"/>
  <c r="G216" i="3"/>
  <c r="G61" i="3"/>
  <c r="H120" i="4"/>
  <c r="G564" i="3"/>
  <c r="G115" i="3"/>
  <c r="G559" i="3"/>
  <c r="G843" i="3"/>
  <c r="H264" i="5"/>
  <c r="G126" i="3"/>
  <c r="G366" i="3"/>
  <c r="G570" i="3"/>
  <c r="G295" i="3"/>
  <c r="G294" i="3" s="1"/>
  <c r="G286" i="3" s="1"/>
  <c r="E26" i="2" s="1"/>
  <c r="H1183" i="4"/>
  <c r="H905" i="4"/>
  <c r="G91" i="3"/>
  <c r="G1019" i="3"/>
  <c r="H405" i="5"/>
  <c r="H404" i="5" s="1"/>
  <c r="G755" i="3"/>
  <c r="G899" i="3"/>
  <c r="G106" i="3"/>
  <c r="H30" i="6"/>
  <c r="G267" i="3"/>
  <c r="G650" i="3"/>
  <c r="H166" i="5"/>
  <c r="H132" i="5"/>
  <c r="H627" i="5"/>
  <c r="H398" i="5"/>
  <c r="H416" i="5"/>
  <c r="H922" i="5"/>
  <c r="H811" i="5"/>
  <c r="H642" i="5"/>
  <c r="H12" i="5"/>
  <c r="H728" i="5"/>
  <c r="H857" i="5"/>
  <c r="H224" i="5"/>
  <c r="H439" i="5"/>
  <c r="H667" i="5"/>
  <c r="H368" i="5"/>
  <c r="H45" i="5"/>
  <c r="H797" i="5"/>
  <c r="H656" i="5"/>
  <c r="H112" i="5"/>
  <c r="H238" i="5"/>
  <c r="H621" i="5"/>
  <c r="H769" i="5"/>
  <c r="H640" i="5"/>
  <c r="H487" i="5"/>
  <c r="H61" i="5"/>
  <c r="H928" i="5"/>
  <c r="H929" i="5"/>
  <c r="H789" i="5"/>
  <c r="H944" i="5"/>
  <c r="H945" i="5"/>
  <c r="H955" i="5"/>
  <c r="H314" i="5"/>
  <c r="H754" i="5"/>
  <c r="H383" i="5"/>
  <c r="H761" i="5"/>
  <c r="H680" i="5"/>
  <c r="H470" i="5"/>
  <c r="H534" i="5"/>
  <c r="H883" i="5"/>
  <c r="H819" i="5"/>
  <c r="H257" i="5"/>
  <c r="H349" i="5"/>
  <c r="H746" i="5"/>
  <c r="H635" i="5"/>
  <c r="H502" i="5"/>
  <c r="H494" i="5"/>
  <c r="H34" i="5"/>
  <c r="H846" i="5"/>
  <c r="H425" i="5"/>
  <c r="H263" i="5"/>
  <c r="H85" i="5"/>
  <c r="H776" i="5"/>
  <c r="H432" i="5"/>
  <c r="H782" i="5"/>
  <c r="H739" i="5"/>
  <c r="H361" i="5"/>
  <c r="H19" i="5"/>
  <c r="H614" i="5"/>
  <c r="H651" i="5"/>
  <c r="H100" i="5"/>
  <c r="H603" i="5"/>
  <c r="H375" i="5"/>
  <c r="H293" i="5"/>
  <c r="H476" i="5"/>
  <c r="H307" i="5"/>
  <c r="H300" i="5"/>
  <c r="H326" i="5"/>
  <c r="H320" i="5"/>
  <c r="H896" i="5"/>
  <c r="H342" i="5"/>
  <c r="H903" i="5"/>
  <c r="H328" i="5"/>
  <c r="H582" i="5"/>
  <c r="H548" i="5"/>
  <c r="H589" i="5"/>
  <c r="H71" i="5"/>
  <c r="H92" i="5"/>
  <c r="H688" i="5"/>
  <c r="H459" i="5"/>
  <c r="H914" i="5"/>
  <c r="H138" i="5"/>
  <c r="H146" i="5"/>
  <c r="H937" i="5"/>
  <c r="H936" i="5"/>
  <c r="H804" i="5"/>
  <c r="H122" i="5"/>
  <c r="H518" i="5"/>
  <c r="H78" i="5"/>
  <c r="H1191" i="4"/>
  <c r="H1117" i="4"/>
  <c r="H1064" i="4"/>
  <c r="H1198" i="4"/>
  <c r="H920" i="4"/>
  <c r="H877" i="4"/>
  <c r="H848" i="4"/>
  <c r="H767" i="4"/>
  <c r="H1185" i="4"/>
  <c r="H638" i="4"/>
  <c r="H562" i="4"/>
  <c r="H545" i="4"/>
  <c r="H1199" i="4"/>
  <c r="H529" i="4"/>
  <c r="H1178" i="4"/>
  <c r="H465" i="4"/>
  <c r="H427" i="4"/>
  <c r="H367" i="4"/>
  <c r="H342" i="4"/>
  <c r="H1192" i="4"/>
  <c r="H295" i="4"/>
  <c r="H241" i="4"/>
  <c r="H1174" i="4"/>
  <c r="H233" i="4"/>
  <c r="H206" i="4"/>
  <c r="H166" i="4"/>
  <c r="H165" i="4" s="1"/>
  <c r="H1157" i="4" s="1"/>
  <c r="H1158" i="4" s="1"/>
  <c r="H128" i="4"/>
  <c r="H45" i="4"/>
  <c r="H13" i="4"/>
  <c r="G86" i="3" l="1"/>
  <c r="G335" i="3"/>
  <c r="E29" i="2" s="1"/>
  <c r="G221" i="3"/>
  <c r="G989" i="3"/>
  <c r="G880" i="3"/>
  <c r="G172" i="3"/>
  <c r="G230" i="3"/>
  <c r="G12" i="3"/>
  <c r="G687" i="3"/>
  <c r="G660" i="3" s="1"/>
  <c r="G247" i="3"/>
  <c r="G569" i="3"/>
  <c r="H276" i="4"/>
  <c r="G504" i="3"/>
  <c r="G27" i="3"/>
  <c r="E44" i="2"/>
  <c r="G272" i="3"/>
  <c r="E16" i="2"/>
  <c r="E15" i="2"/>
  <c r="G105" i="3"/>
  <c r="G898" i="3"/>
  <c r="G1018" i="3"/>
  <c r="H898" i="4"/>
  <c r="G853" i="3"/>
  <c r="G737" i="3"/>
  <c r="H48" i="6"/>
  <c r="E31" i="2"/>
  <c r="H797" i="4"/>
  <c r="G266" i="3"/>
  <c r="G44" i="3"/>
  <c r="G933" i="3"/>
  <c r="G257" i="3"/>
  <c r="G793" i="3"/>
  <c r="E37" i="2"/>
  <c r="G318" i="3"/>
  <c r="G892" i="3"/>
  <c r="G946" i="3"/>
  <c r="H145" i="5"/>
  <c r="H458" i="5"/>
  <c r="H588" i="5"/>
  <c r="H569" i="5"/>
  <c r="H299" i="5"/>
  <c r="H374" i="5"/>
  <c r="H18" i="5"/>
  <c r="H775" i="5"/>
  <c r="H845" i="5"/>
  <c r="H348" i="5"/>
  <c r="H760" i="5"/>
  <c r="H620" i="5"/>
  <c r="H44" i="5"/>
  <c r="H501" i="5"/>
  <c r="H803" i="5"/>
  <c r="H687" i="5"/>
  <c r="H70" i="5"/>
  <c r="H547" i="5"/>
  <c r="H327" i="5"/>
  <c r="H306" i="5"/>
  <c r="H292" i="5"/>
  <c r="H613" i="5"/>
  <c r="H360" i="5"/>
  <c r="H738" i="5"/>
  <c r="H84" i="5"/>
  <c r="H424" i="5"/>
  <c r="H423" i="5"/>
  <c r="H33" i="5"/>
  <c r="H32" i="5"/>
  <c r="H745" i="5"/>
  <c r="H256" i="5"/>
  <c r="H381" i="5"/>
  <c r="H382" i="5"/>
  <c r="H954" i="5"/>
  <c r="H935" i="5"/>
  <c r="H486" i="5"/>
  <c r="H367" i="5"/>
  <c r="H223" i="5"/>
  <c r="H921" i="5"/>
  <c r="H913" i="5" s="1"/>
  <c r="H397" i="5"/>
  <c r="H943" i="5"/>
  <c r="H493" i="5"/>
  <c r="H469" i="5"/>
  <c r="H313" i="5"/>
  <c r="H727" i="5"/>
  <c r="H641" i="5"/>
  <c r="H121" i="5"/>
  <c r="H131" i="5"/>
  <c r="H91" i="5"/>
  <c r="H902" i="5"/>
  <c r="H650" i="5"/>
  <c r="H818" i="5"/>
  <c r="H753" i="5"/>
  <c r="H111" i="5"/>
  <c r="H856" i="5"/>
  <c r="H341" i="5"/>
  <c r="H895" i="5"/>
  <c r="H99" i="5"/>
  <c r="H951" i="5"/>
  <c r="H68" i="5"/>
  <c r="H768" i="5"/>
  <c r="H796" i="5"/>
  <c r="H810" i="5"/>
  <c r="H77" i="5"/>
  <c r="H569" i="4"/>
  <c r="H1116" i="4"/>
  <c r="H919" i="4"/>
  <c r="H804" i="4"/>
  <c r="H511" i="4"/>
  <c r="H366" i="4"/>
  <c r="H341" i="4"/>
  <c r="H232" i="4"/>
  <c r="H195" i="4"/>
  <c r="H35" i="4"/>
  <c r="H1187" i="4"/>
  <c r="H12" i="4"/>
  <c r="H294" i="4" l="1"/>
  <c r="E47" i="2"/>
  <c r="G945" i="3"/>
  <c r="G256" i="3"/>
  <c r="G255" i="3" s="1"/>
  <c r="E43" i="2"/>
  <c r="G104" i="3"/>
  <c r="H275" i="4"/>
  <c r="H274" i="4" s="1"/>
  <c r="G229" i="3"/>
  <c r="E48" i="2"/>
  <c r="E35" i="2"/>
  <c r="E28" i="2"/>
  <c r="E27" i="2" s="1"/>
  <c r="G317" i="3"/>
  <c r="G43" i="3"/>
  <c r="E24" i="2"/>
  <c r="G736" i="3"/>
  <c r="G1017" i="3"/>
  <c r="E50" i="2"/>
  <c r="E49" i="2" s="1"/>
  <c r="E33" i="2"/>
  <c r="E34" i="2"/>
  <c r="G171" i="3"/>
  <c r="E42" i="2"/>
  <c r="E39" i="2"/>
  <c r="G792" i="3"/>
  <c r="E40" i="2"/>
  <c r="E25" i="2"/>
  <c r="E12" i="2"/>
  <c r="G11" i="3"/>
  <c r="H1184" i="4"/>
  <c r="H1203" i="4" s="1"/>
  <c r="H962" i="5" s="1"/>
  <c r="G932" i="3"/>
  <c r="G891" i="3" s="1"/>
  <c r="H431" i="5"/>
  <c r="H10" i="5"/>
  <c r="H767" i="5"/>
  <c r="H98" i="5"/>
  <c r="H817" i="5"/>
  <c r="H380" i="5"/>
  <c r="H347" i="5"/>
  <c r="H649" i="5"/>
  <c r="H373" i="5"/>
  <c r="H953" i="5"/>
  <c r="H546" i="5"/>
  <c r="H500" i="5" s="1"/>
  <c r="H679" i="5"/>
  <c r="H752" i="5"/>
  <c r="H144" i="5"/>
  <c r="H499" i="5"/>
  <c r="H110" i="5"/>
  <c r="H844" i="5"/>
  <c r="H389" i="5"/>
  <c r="H333" i="5"/>
  <c r="H920" i="5"/>
  <c r="H69" i="5"/>
  <c r="H561" i="4"/>
  <c r="H240" i="4"/>
  <c r="H1115" i="4"/>
  <c r="H1163" i="4"/>
  <c r="H876" i="4"/>
  <c r="H796" i="4"/>
  <c r="H1175" i="4"/>
  <c r="H1176" i="4" s="1"/>
  <c r="H510" i="4"/>
  <c r="H1169" i="4"/>
  <c r="H1170" i="4" s="1"/>
  <c r="H1166" i="4"/>
  <c r="H219" i="4"/>
  <c r="H1160" i="4"/>
  <c r="H1161" i="4" s="1"/>
  <c r="H34" i="4"/>
  <c r="H11" i="4"/>
  <c r="G140" i="3" l="1"/>
  <c r="G10" i="3" s="1"/>
  <c r="E46" i="2"/>
  <c r="E38" i="2"/>
  <c r="E13" i="2"/>
  <c r="G228" i="3"/>
  <c r="E21" i="2"/>
  <c r="E20" i="2" s="1"/>
  <c r="E11" i="2"/>
  <c r="E14" i="2"/>
  <c r="E23" i="2"/>
  <c r="E22" i="2" s="1"/>
  <c r="E45" i="2"/>
  <c r="E41" i="2" s="1"/>
  <c r="G735" i="3"/>
  <c r="H952" i="5"/>
  <c r="H648" i="5"/>
  <c r="H31" i="5"/>
  <c r="H1172" i="4"/>
  <c r="H1173" i="4" s="1"/>
  <c r="H33" i="4"/>
  <c r="E36" i="2" l="1"/>
  <c r="E32" i="2" s="1"/>
  <c r="G503" i="3"/>
  <c r="E17" i="2"/>
  <c r="G1036" i="3"/>
  <c r="E10" i="2"/>
  <c r="H960" i="5"/>
  <c r="H32" i="4"/>
  <c r="H1153" i="4"/>
  <c r="E51" i="2" l="1"/>
  <c r="H963" i="5"/>
  <c r="H1179" i="4"/>
  <c r="H1154" i="4"/>
  <c r="H1144" i="4"/>
  <c r="D21" i="7" s="1"/>
  <c r="E52" i="2" l="1"/>
  <c r="E53" i="2" s="1"/>
  <c r="G1037" i="3"/>
  <c r="G1038" i="3" s="1"/>
  <c r="E56" i="2"/>
  <c r="E57" i="2" s="1"/>
  <c r="D181" i="1" l="1"/>
  <c r="D176" i="1"/>
  <c r="D175" i="1" s="1"/>
  <c r="D173" i="1"/>
  <c r="D171" i="1"/>
  <c r="D168" i="1"/>
  <c r="D164" i="1"/>
  <c r="D157" i="1"/>
  <c r="D115" i="1"/>
  <c r="D112" i="1"/>
  <c r="D110" i="1"/>
  <c r="D108" i="1"/>
  <c r="D106" i="1"/>
  <c r="D104" i="1"/>
  <c r="D102" i="1"/>
  <c r="D100" i="1"/>
  <c r="D98" i="1"/>
  <c r="D96" i="1"/>
  <c r="D94" i="1"/>
  <c r="D91" i="1"/>
  <c r="D89" i="1"/>
  <c r="D75" i="1"/>
  <c r="D73" i="1"/>
  <c r="D71" i="1"/>
  <c r="D67" i="1"/>
  <c r="D65" i="1"/>
  <c r="D62" i="1"/>
  <c r="D61" i="1"/>
  <c r="D50" i="1"/>
  <c r="D48" i="1"/>
  <c r="D44" i="1"/>
  <c r="D41" i="1"/>
  <c r="D39" i="1"/>
  <c r="D36" i="1"/>
  <c r="D33" i="1"/>
  <c r="D31" i="1"/>
  <c r="D29" i="1"/>
  <c r="D27" i="1"/>
  <c r="D26" i="1" s="1"/>
  <c r="D70" i="1" l="1"/>
  <c r="D47" i="1"/>
  <c r="D64" i="1"/>
  <c r="D180" i="1"/>
  <c r="D43" i="1"/>
  <c r="D25" i="1"/>
  <c r="D19" i="1"/>
  <c r="D114" i="1"/>
  <c r="D88" i="1"/>
  <c r="D38" i="1"/>
  <c r="D170" i="1"/>
  <c r="D55" i="1"/>
  <c r="D144" i="1"/>
  <c r="D93" i="1"/>
  <c r="G18" i="4"/>
  <c r="I18" i="4" s="1"/>
  <c r="D69" i="1" l="1"/>
  <c r="D54" i="1"/>
  <c r="D46" i="1"/>
  <c r="D35" i="1"/>
  <c r="D12" i="1"/>
  <c r="D143" i="1"/>
  <c r="F158" i="3"/>
  <c r="G535" i="4"/>
  <c r="I535" i="4" s="1"/>
  <c r="C16" i="1"/>
  <c r="E16" i="1" s="1"/>
  <c r="F157" i="3" l="1"/>
  <c r="H157" i="3" s="1"/>
  <c r="H158" i="3"/>
  <c r="D11" i="1"/>
  <c r="D187" i="1" s="1"/>
  <c r="D142" i="1"/>
  <c r="D87" i="1" s="1"/>
  <c r="D86" i="1" s="1"/>
  <c r="F461" i="3"/>
  <c r="D186" i="1" l="1"/>
  <c r="F460" i="3"/>
  <c r="H461" i="3"/>
  <c r="G57" i="4"/>
  <c r="I57" i="4" s="1"/>
  <c r="F459" i="3" l="1"/>
  <c r="H460" i="3"/>
  <c r="G385" i="4"/>
  <c r="I385" i="4" s="1"/>
  <c r="G383" i="4"/>
  <c r="I383" i="4" s="1"/>
  <c r="G868" i="4"/>
  <c r="I868" i="4" s="1"/>
  <c r="G856" i="4"/>
  <c r="I856" i="4" s="1"/>
  <c r="F458" i="3" l="1"/>
  <c r="H458" i="3" s="1"/>
  <c r="H459" i="3"/>
  <c r="D188" i="1"/>
  <c r="E54" i="2"/>
  <c r="E55" i="2" s="1"/>
  <c r="H1150" i="4"/>
  <c r="D20" i="7"/>
  <c r="D22" i="7" s="1"/>
  <c r="D16" i="7" s="1"/>
  <c r="D17" i="7" s="1"/>
  <c r="G135" i="4"/>
  <c r="I135" i="4" s="1"/>
  <c r="D15" i="7" l="1"/>
  <c r="D12" i="7" s="1"/>
  <c r="D26" i="7"/>
  <c r="G374" i="4"/>
  <c r="I374" i="4" s="1"/>
  <c r="G888" i="4"/>
  <c r="I888" i="4" s="1"/>
  <c r="G1069" i="4"/>
  <c r="I1069" i="4" s="1"/>
  <c r="G942" i="4"/>
  <c r="I942" i="4" s="1"/>
  <c r="G432" i="4" l="1"/>
  <c r="I432" i="4" s="1"/>
  <c r="G500" i="4"/>
  <c r="I500" i="4" s="1"/>
  <c r="G496" i="4"/>
  <c r="I496" i="4" s="1"/>
  <c r="G948" i="4"/>
  <c r="I948" i="4" s="1"/>
  <c r="G498" i="4"/>
  <c r="I498" i="4" s="1"/>
  <c r="G519" i="4"/>
  <c r="I519" i="4" s="1"/>
  <c r="G20" i="4"/>
  <c r="I20" i="4" s="1"/>
  <c r="G853" i="4"/>
  <c r="I853" i="4" s="1"/>
  <c r="G534" i="4"/>
  <c r="I534" i="4" s="1"/>
  <c r="H892" i="23" l="1"/>
  <c r="H891" i="23" s="1"/>
  <c r="H890" i="23" s="1"/>
  <c r="H889" i="23" s="1"/>
  <c r="H888" i="23" s="1"/>
  <c r="H887" i="23" s="1"/>
  <c r="H886" i="23" s="1"/>
  <c r="H885" i="23" s="1"/>
  <c r="G892" i="23"/>
  <c r="G891" i="23" s="1"/>
  <c r="G890" i="23" s="1"/>
  <c r="G889" i="23" s="1"/>
  <c r="G888" i="23" s="1"/>
  <c r="G887" i="23" s="1"/>
  <c r="G886" i="23" s="1"/>
  <c r="G885" i="23" s="1"/>
  <c r="H883" i="23"/>
  <c r="H882" i="23" s="1"/>
  <c r="H881" i="23" s="1"/>
  <c r="H880" i="23" s="1"/>
  <c r="H879" i="23" s="1"/>
  <c r="G883" i="23"/>
  <c r="G882" i="23"/>
  <c r="G881" i="23" s="1"/>
  <c r="G880" i="23" s="1"/>
  <c r="G879" i="23" s="1"/>
  <c r="H875" i="23"/>
  <c r="H874" i="23" s="1"/>
  <c r="H873" i="23" s="1"/>
  <c r="H872" i="23" s="1"/>
  <c r="H871" i="23" s="1"/>
  <c r="G875" i="23"/>
  <c r="G874" i="23"/>
  <c r="G873" i="23" s="1"/>
  <c r="G872" i="23" s="1"/>
  <c r="G871" i="23" s="1"/>
  <c r="H867" i="23"/>
  <c r="H868" i="23" s="1"/>
  <c r="G867" i="23"/>
  <c r="G868" i="23" s="1"/>
  <c r="H844" i="23"/>
  <c r="H843" i="23" s="1"/>
  <c r="H842" i="23" s="1"/>
  <c r="H841" i="23" s="1"/>
  <c r="H840" i="23" s="1"/>
  <c r="H845" i="23" s="1"/>
  <c r="G844" i="23"/>
  <c r="G843" i="23" s="1"/>
  <c r="G842" i="23" s="1"/>
  <c r="G841" i="23" s="1"/>
  <c r="G840" i="23" s="1"/>
  <c r="G845" i="23" s="1"/>
  <c r="H838" i="23"/>
  <c r="H839" i="23" s="1"/>
  <c r="G838" i="23"/>
  <c r="G839" i="23" s="1"/>
  <c r="G837" i="23"/>
  <c r="G836" i="23" s="1"/>
  <c r="G835" i="23" s="1"/>
  <c r="G834" i="23" s="1"/>
  <c r="H832" i="23"/>
  <c r="G832" i="23"/>
  <c r="H826" i="23"/>
  <c r="H827" i="23" s="1"/>
  <c r="G826" i="23"/>
  <c r="G827" i="23" s="1"/>
  <c r="G825" i="23"/>
  <c r="G824" i="23" s="1"/>
  <c r="H823" i="23"/>
  <c r="G823" i="23"/>
  <c r="H822" i="23"/>
  <c r="H821" i="23" s="1"/>
  <c r="H820" i="23" s="1"/>
  <c r="G822" i="23"/>
  <c r="G821" i="23" s="1"/>
  <c r="G820" i="23" s="1"/>
  <c r="H817" i="23"/>
  <c r="H818" i="23" s="1"/>
  <c r="G817" i="23"/>
  <c r="G818" i="23" s="1"/>
  <c r="H812" i="23"/>
  <c r="G812" i="23"/>
  <c r="H801" i="23"/>
  <c r="H802" i="23" s="1"/>
  <c r="G801" i="23"/>
  <c r="G802" i="23" s="1"/>
  <c r="G793" i="23"/>
  <c r="G794" i="23" s="1"/>
  <c r="H785" i="23"/>
  <c r="H786" i="23" s="1"/>
  <c r="G785" i="23"/>
  <c r="G786" i="23" s="1"/>
  <c r="H781" i="23"/>
  <c r="H782" i="23" s="1"/>
  <c r="G781" i="23"/>
  <c r="G782" i="23" s="1"/>
  <c r="H778" i="23"/>
  <c r="G778" i="23"/>
  <c r="H776" i="23"/>
  <c r="H775" i="23" s="1"/>
  <c r="G776" i="23"/>
  <c r="G775" i="23" s="1"/>
  <c r="H773" i="23"/>
  <c r="G773" i="23"/>
  <c r="G772" i="23" s="1"/>
  <c r="H770" i="23"/>
  <c r="H771" i="23" s="1"/>
  <c r="G770" i="23"/>
  <c r="G771" i="23" s="1"/>
  <c r="H767" i="23"/>
  <c r="H717" i="23"/>
  <c r="G717" i="23"/>
  <c r="H709" i="23"/>
  <c r="H710" i="23" s="1"/>
  <c r="G709" i="23"/>
  <c r="H694" i="23"/>
  <c r="G694" i="23"/>
  <c r="H683" i="23"/>
  <c r="G683" i="23"/>
  <c r="H679" i="23"/>
  <c r="H680" i="23" s="1"/>
  <c r="H678" i="23"/>
  <c r="H677" i="23" s="1"/>
  <c r="H672" i="23"/>
  <c r="H668" i="23"/>
  <c r="G668" i="23"/>
  <c r="H664" i="23"/>
  <c r="G664" i="23"/>
  <c r="H654" i="23"/>
  <c r="G654" i="23"/>
  <c r="H650" i="23"/>
  <c r="G650" i="23"/>
  <c r="H642" i="23"/>
  <c r="G642" i="23"/>
  <c r="H636" i="23"/>
  <c r="H635" i="23" s="1"/>
  <c r="H634" i="23" s="1"/>
  <c r="G636" i="23"/>
  <c r="G635" i="23" s="1"/>
  <c r="G634" i="23" s="1"/>
  <c r="H631" i="23"/>
  <c r="H630" i="23" s="1"/>
  <c r="H629" i="23" s="1"/>
  <c r="H628" i="23" s="1"/>
  <c r="G631" i="23"/>
  <c r="H625" i="23"/>
  <c r="H624" i="23" s="1"/>
  <c r="H623" i="23" s="1"/>
  <c r="G625" i="23"/>
  <c r="H620" i="23"/>
  <c r="G620" i="23"/>
  <c r="G619" i="23" s="1"/>
  <c r="G618" i="23" s="1"/>
  <c r="G617" i="23" s="1"/>
  <c r="H615" i="23"/>
  <c r="H614" i="23" s="1"/>
  <c r="H613" i="23" s="1"/>
  <c r="H612" i="23" s="1"/>
  <c r="G615" i="23"/>
  <c r="H609" i="23"/>
  <c r="H608" i="23" s="1"/>
  <c r="H607" i="23" s="1"/>
  <c r="H606" i="23" s="1"/>
  <c r="H605" i="23" s="1"/>
  <c r="G609" i="23"/>
  <c r="H603" i="23"/>
  <c r="H602" i="23" s="1"/>
  <c r="H601" i="23" s="1"/>
  <c r="H600" i="23" s="1"/>
  <c r="H599" i="23" s="1"/>
  <c r="G603" i="23"/>
  <c r="H595" i="23"/>
  <c r="H596" i="23" s="1"/>
  <c r="G595" i="23"/>
  <c r="H588" i="23"/>
  <c r="H587" i="23" s="1"/>
  <c r="H586" i="23" s="1"/>
  <c r="H585" i="23" s="1"/>
  <c r="H584" i="23" s="1"/>
  <c r="H583" i="23" s="1"/>
  <c r="H589" i="23" s="1"/>
  <c r="G588" i="23"/>
  <c r="G587" i="23" s="1"/>
  <c r="G586" i="23" s="1"/>
  <c r="G585" i="23" s="1"/>
  <c r="G584" i="23" s="1"/>
  <c r="G583" i="23" s="1"/>
  <c r="G589" i="23" s="1"/>
  <c r="H574" i="23"/>
  <c r="G574" i="23"/>
  <c r="G567" i="23"/>
  <c r="G563" i="23"/>
  <c r="G553" i="23"/>
  <c r="G549" i="23"/>
  <c r="G542" i="23"/>
  <c r="G541" i="23" s="1"/>
  <c r="G540" i="23" s="1"/>
  <c r="G539" i="23" s="1"/>
  <c r="G538" i="23" s="1"/>
  <c r="G536" i="23"/>
  <c r="G535" i="23" s="1"/>
  <c r="G534" i="23" s="1"/>
  <c r="G533" i="23" s="1"/>
  <c r="G532" i="23" s="1"/>
  <c r="G530" i="23"/>
  <c r="G529" i="23" s="1"/>
  <c r="G528" i="23" s="1"/>
  <c r="G527" i="23" s="1"/>
  <c r="G526" i="23" s="1"/>
  <c r="H520" i="23"/>
  <c r="G520" i="23"/>
  <c r="G521" i="23" s="1"/>
  <c r="G500" i="23"/>
  <c r="G497" i="23"/>
  <c r="G494" i="23"/>
  <c r="G488" i="23"/>
  <c r="G485" i="23"/>
  <c r="G482" i="23"/>
  <c r="G483" i="23" s="1"/>
  <c r="G481" i="23"/>
  <c r="G473" i="23"/>
  <c r="G470" i="23"/>
  <c r="G471" i="23" s="1"/>
  <c r="G469" i="23"/>
  <c r="G462" i="23"/>
  <c r="G461" i="23" s="1"/>
  <c r="G460" i="23" s="1"/>
  <c r="G459" i="23" s="1"/>
  <c r="G458" i="23" s="1"/>
  <c r="G457" i="23" s="1"/>
  <c r="G463" i="23" s="1"/>
  <c r="H452" i="23"/>
  <c r="G452" i="23"/>
  <c r="G438" i="23"/>
  <c r="G423" i="23"/>
  <c r="G422" i="23" s="1"/>
  <c r="G421" i="23" s="1"/>
  <c r="G412" i="23"/>
  <c r="H385" i="23"/>
  <c r="G385" i="23"/>
  <c r="G386" i="23" s="1"/>
  <c r="H381" i="23"/>
  <c r="G381" i="23"/>
  <c r="G382" i="23" s="1"/>
  <c r="G369" i="23"/>
  <c r="G368" i="23" s="1"/>
  <c r="G367" i="23" s="1"/>
  <c r="G362" i="23"/>
  <c r="G361" i="23" s="1"/>
  <c r="G360" i="23" s="1"/>
  <c r="G359" i="23" s="1"/>
  <c r="H354" i="23"/>
  <c r="H353" i="23" s="1"/>
  <c r="H352" i="23" s="1"/>
  <c r="G354" i="23"/>
  <c r="G350" i="23"/>
  <c r="G351" i="23" s="1"/>
  <c r="G335" i="23"/>
  <c r="G334" i="23" s="1"/>
  <c r="G333" i="23" s="1"/>
  <c r="G332" i="23" s="1"/>
  <c r="G331" i="23" s="1"/>
  <c r="G330" i="23" s="1"/>
  <c r="G336" i="23" s="1"/>
  <c r="H321" i="23"/>
  <c r="H320" i="23" s="1"/>
  <c r="H319" i="23"/>
  <c r="H322" i="23" s="1"/>
  <c r="H317" i="23"/>
  <c r="H316" i="23" s="1"/>
  <c r="H315" i="23" s="1"/>
  <c r="G317" i="23"/>
  <c r="G316" i="23" s="1"/>
  <c r="G315" i="23" s="1"/>
  <c r="H310" i="23"/>
  <c r="H311" i="23" s="1"/>
  <c r="G310" i="23"/>
  <c r="G311" i="23" s="1"/>
  <c r="H303" i="23"/>
  <c r="G303" i="23"/>
  <c r="H296" i="23"/>
  <c r="H297" i="23" s="1"/>
  <c r="G296" i="23"/>
  <c r="H295" i="23"/>
  <c r="H294" i="23" s="1"/>
  <c r="H293" i="23" s="1"/>
  <c r="H292" i="23" s="1"/>
  <c r="H291" i="23" s="1"/>
  <c r="H282" i="23"/>
  <c r="H283" i="23" s="1"/>
  <c r="G282" i="23"/>
  <c r="G283" i="23" s="1"/>
  <c r="G277" i="23"/>
  <c r="G264" i="23"/>
  <c r="H253" i="23"/>
  <c r="G253" i="23"/>
  <c r="G209" i="23"/>
  <c r="G205" i="23"/>
  <c r="H200" i="23"/>
  <c r="G200" i="23"/>
  <c r="G201" i="23" s="1"/>
  <c r="G199" i="23"/>
  <c r="G198" i="23" s="1"/>
  <c r="G192" i="23"/>
  <c r="G191" i="23" s="1"/>
  <c r="G190" i="23" s="1"/>
  <c r="H188" i="23"/>
  <c r="H189" i="23" s="1"/>
  <c r="G188" i="23"/>
  <c r="G189" i="23" s="1"/>
  <c r="H187" i="23"/>
  <c r="H186" i="23" s="1"/>
  <c r="G187" i="23"/>
  <c r="G186" i="23" s="1"/>
  <c r="G184" i="23"/>
  <c r="G185" i="23" s="1"/>
  <c r="H180" i="23"/>
  <c r="H179" i="23" s="1"/>
  <c r="H178" i="23" s="1"/>
  <c r="H181" i="23" s="1"/>
  <c r="G180" i="23"/>
  <c r="G179" i="23" s="1"/>
  <c r="G178" i="23" s="1"/>
  <c r="G181" i="23" s="1"/>
  <c r="H175" i="23"/>
  <c r="G175" i="23"/>
  <c r="G167" i="23"/>
  <c r="G163" i="23"/>
  <c r="G156" i="23"/>
  <c r="G157" i="23" s="1"/>
  <c r="G155" i="23"/>
  <c r="G154" i="23" s="1"/>
  <c r="G153" i="23" s="1"/>
  <c r="G151" i="23"/>
  <c r="G146" i="23"/>
  <c r="G147" i="23" s="1"/>
  <c r="H138" i="23"/>
  <c r="H139" i="23" s="1"/>
  <c r="G138" i="23"/>
  <c r="H137" i="23"/>
  <c r="H136" i="23" s="1"/>
  <c r="H135" i="23" s="1"/>
  <c r="H134" i="23" s="1"/>
  <c r="H132" i="23"/>
  <c r="H133" i="23" s="1"/>
  <c r="H131" i="23"/>
  <c r="H130" i="23" s="1"/>
  <c r="H129" i="23" s="1"/>
  <c r="H128" i="23" s="1"/>
  <c r="G125" i="23"/>
  <c r="G126" i="23" s="1"/>
  <c r="G122" i="23"/>
  <c r="G123" i="23" s="1"/>
  <c r="G115" i="23"/>
  <c r="G116" i="23" s="1"/>
  <c r="G114" i="23"/>
  <c r="G113" i="23" s="1"/>
  <c r="G112" i="23" s="1"/>
  <c r="G111" i="23" s="1"/>
  <c r="G110" i="23" s="1"/>
  <c r="H107" i="23"/>
  <c r="H106" i="23" s="1"/>
  <c r="H105" i="23" s="1"/>
  <c r="G107" i="23"/>
  <c r="H103" i="23"/>
  <c r="G103" i="23"/>
  <c r="G104" i="23" s="1"/>
  <c r="G102" i="23"/>
  <c r="G101" i="23" s="1"/>
  <c r="G100" i="23" s="1"/>
  <c r="G99" i="23" s="1"/>
  <c r="G98" i="23" s="1"/>
  <c r="G97" i="23" s="1"/>
  <c r="H95" i="23"/>
  <c r="G95" i="23"/>
  <c r="H51" i="23"/>
  <c r="H52" i="23" s="1"/>
  <c r="H50" i="23"/>
  <c r="G22" i="23"/>
  <c r="H15" i="23"/>
  <c r="H16" i="23" s="1"/>
  <c r="G15" i="23"/>
  <c r="H14" i="23"/>
  <c r="H13" i="23" s="1"/>
  <c r="H1126" i="22"/>
  <c r="G1126" i="22"/>
  <c r="AG1097" i="22"/>
  <c r="AD1097" i="22"/>
  <c r="AC1097" i="22"/>
  <c r="AA1097" i="22"/>
  <c r="AA1096" i="22" s="1"/>
  <c r="W1097" i="22"/>
  <c r="S1097" i="22"/>
  <c r="Q1097" i="22"/>
  <c r="Q1096" i="22"/>
  <c r="P1096" i="22"/>
  <c r="H1093" i="22"/>
  <c r="H1092" i="22" s="1"/>
  <c r="H1091" i="22" s="1"/>
  <c r="G1092" i="22"/>
  <c r="G1091" i="22"/>
  <c r="G1090" i="22"/>
  <c r="H1088" i="22"/>
  <c r="H1087" i="22" s="1"/>
  <c r="G1087" i="22"/>
  <c r="G1082" i="22"/>
  <c r="H1082" i="22" s="1"/>
  <c r="G1081" i="22"/>
  <c r="H1081" i="22" s="1"/>
  <c r="G1080" i="22"/>
  <c r="H1080" i="22" s="1"/>
  <c r="H1079" i="22"/>
  <c r="G1078" i="22"/>
  <c r="H1077" i="22"/>
  <c r="H1076" i="22" s="1"/>
  <c r="G1076" i="22"/>
  <c r="H1074" i="22"/>
  <c r="H1073" i="22" s="1"/>
  <c r="G1073" i="22"/>
  <c r="H1072" i="22"/>
  <c r="H1071" i="22" s="1"/>
  <c r="G1071" i="22"/>
  <c r="H1065" i="22"/>
  <c r="H1064" i="22" s="1"/>
  <c r="G1065" i="22"/>
  <c r="G1064" i="22" s="1"/>
  <c r="H1062" i="22"/>
  <c r="H1061" i="22" s="1"/>
  <c r="G1062" i="22"/>
  <c r="G1061" i="22" s="1"/>
  <c r="H1057" i="22"/>
  <c r="H1056" i="22" s="1"/>
  <c r="G1057" i="22"/>
  <c r="G1056" i="22"/>
  <c r="H1054" i="22"/>
  <c r="G1054" i="22"/>
  <c r="H1052" i="22"/>
  <c r="G1052" i="22"/>
  <c r="H1051" i="22"/>
  <c r="G1045" i="22"/>
  <c r="H1045" i="22" s="1"/>
  <c r="H1044" i="22" s="1"/>
  <c r="H1043" i="22" s="1"/>
  <c r="H1042" i="22" s="1"/>
  <c r="H1041" i="22" s="1"/>
  <c r="H1040" i="22" s="1"/>
  <c r="H1039" i="22" s="1"/>
  <c r="H1038" i="22" s="1"/>
  <c r="H1036" i="22"/>
  <c r="H1035" i="22" s="1"/>
  <c r="H1034" i="22" s="1"/>
  <c r="H1033" i="22" s="1"/>
  <c r="G1036" i="22"/>
  <c r="G1035" i="22" s="1"/>
  <c r="G1034" i="22" s="1"/>
  <c r="G1033" i="22" s="1"/>
  <c r="H1032" i="22"/>
  <c r="H1031" i="22" s="1"/>
  <c r="H1030" i="22" s="1"/>
  <c r="G1031" i="22"/>
  <c r="G1030" i="22" s="1"/>
  <c r="H1029" i="22"/>
  <c r="H1028" i="22" s="1"/>
  <c r="G1028" i="22"/>
  <c r="H1027" i="22"/>
  <c r="H1026" i="22" s="1"/>
  <c r="G1026" i="22"/>
  <c r="G1023" i="22"/>
  <c r="H1023" i="22" s="1"/>
  <c r="G1022" i="22"/>
  <c r="H1022" i="22" s="1"/>
  <c r="G1021" i="22"/>
  <c r="H1021" i="22" s="1"/>
  <c r="H1020" i="22"/>
  <c r="H1019" i="22" s="1"/>
  <c r="H1018" i="22" s="1"/>
  <c r="G1019" i="22"/>
  <c r="G1018" i="22" s="1"/>
  <c r="H1015" i="22"/>
  <c r="H1014" i="22"/>
  <c r="H1013" i="22" s="1"/>
  <c r="G1014" i="22"/>
  <c r="G1013" i="22" s="1"/>
  <c r="G1012" i="22"/>
  <c r="G1010" i="22"/>
  <c r="G1009" i="22" s="1"/>
  <c r="H1008" i="22"/>
  <c r="G448" i="21" s="1"/>
  <c r="G447" i="21" s="1"/>
  <c r="G1007" i="22"/>
  <c r="G1002" i="22"/>
  <c r="H996" i="22"/>
  <c r="H995" i="22" s="1"/>
  <c r="G996" i="22"/>
  <c r="G995" i="22" s="1"/>
  <c r="G994" i="22"/>
  <c r="G993" i="22"/>
  <c r="H993" i="22" s="1"/>
  <c r="G992" i="22"/>
  <c r="H992" i="22" s="1"/>
  <c r="H991" i="22" s="1"/>
  <c r="H989" i="22"/>
  <c r="H988" i="22" s="1"/>
  <c r="G989" i="22"/>
  <c r="G988" i="22" s="1"/>
  <c r="G987" i="22"/>
  <c r="G679" i="23" s="1"/>
  <c r="H986" i="22"/>
  <c r="H985" i="22" s="1"/>
  <c r="G986" i="22"/>
  <c r="G985" i="22"/>
  <c r="G984" i="22"/>
  <c r="H984" i="22" s="1"/>
  <c r="G982" i="22"/>
  <c r="F422" i="21" s="1"/>
  <c r="F421" i="21" s="1"/>
  <c r="H981" i="22"/>
  <c r="H978" i="22"/>
  <c r="H977" i="22" s="1"/>
  <c r="G978" i="22"/>
  <c r="G977" i="22" s="1"/>
  <c r="H975" i="22"/>
  <c r="H974" i="22" s="1"/>
  <c r="G975" i="22"/>
  <c r="G974" i="22" s="1"/>
  <c r="G973" i="22"/>
  <c r="G972" i="22"/>
  <c r="G971" i="22"/>
  <c r="H971" i="22" s="1"/>
  <c r="H969" i="22"/>
  <c r="H968" i="22" s="1"/>
  <c r="G969" i="22"/>
  <c r="G968" i="22" s="1"/>
  <c r="H966" i="22"/>
  <c r="H965" i="22" s="1"/>
  <c r="G966" i="22"/>
  <c r="G965" i="22"/>
  <c r="H962" i="22"/>
  <c r="H961" i="22" s="1"/>
  <c r="H960" i="22" s="1"/>
  <c r="G962" i="22"/>
  <c r="G961" i="22" s="1"/>
  <c r="G960" i="22" s="1"/>
  <c r="G958" i="22"/>
  <c r="H951" i="22"/>
  <c r="H950" i="22" s="1"/>
  <c r="H949" i="22" s="1"/>
  <c r="H948" i="22" s="1"/>
  <c r="H1150" i="22" s="1"/>
  <c r="G951" i="22"/>
  <c r="G950" i="22" s="1"/>
  <c r="G949" i="22" s="1"/>
  <c r="G948" i="22" s="1"/>
  <c r="G1150" i="22" s="1"/>
  <c r="G947" i="22"/>
  <c r="G946" i="22"/>
  <c r="H946" i="22" s="1"/>
  <c r="G945" i="22"/>
  <c r="G943" i="22"/>
  <c r="G752" i="23" s="1"/>
  <c r="G942" i="22"/>
  <c r="H942" i="22" s="1"/>
  <c r="G941" i="22"/>
  <c r="G940" i="22" s="1"/>
  <c r="G939" i="22"/>
  <c r="G745" i="23" s="1"/>
  <c r="G938" i="22"/>
  <c r="H938" i="22" s="1"/>
  <c r="G937" i="22"/>
  <c r="G936" i="22" s="1"/>
  <c r="G935" i="22"/>
  <c r="G934" i="22"/>
  <c r="H934" i="22" s="1"/>
  <c r="G933" i="22"/>
  <c r="G932" i="22" s="1"/>
  <c r="G931" i="22"/>
  <c r="G731" i="23" s="1"/>
  <c r="G930" i="22"/>
  <c r="H930" i="22" s="1"/>
  <c r="G929" i="22"/>
  <c r="G927" i="22"/>
  <c r="G724" i="23" s="1"/>
  <c r="G926" i="22"/>
  <c r="H926" i="22" s="1"/>
  <c r="G925" i="22"/>
  <c r="G924" i="22" s="1"/>
  <c r="H922" i="22"/>
  <c r="H921" i="22" s="1"/>
  <c r="H920" i="22" s="1"/>
  <c r="G922" i="22"/>
  <c r="G921" i="22" s="1"/>
  <c r="G920" i="22" s="1"/>
  <c r="G918" i="22"/>
  <c r="H918" i="22" s="1"/>
  <c r="G917" i="22"/>
  <c r="H917" i="22" s="1"/>
  <c r="G916" i="22"/>
  <c r="H916" i="22" s="1"/>
  <c r="G915" i="22"/>
  <c r="H915" i="22" s="1"/>
  <c r="G914" i="22"/>
  <c r="H914" i="22" s="1"/>
  <c r="G913" i="22"/>
  <c r="H913" i="22" s="1"/>
  <c r="G912" i="22"/>
  <c r="H912" i="22" s="1"/>
  <c r="G911" i="22"/>
  <c r="H911" i="22" s="1"/>
  <c r="G910" i="22"/>
  <c r="H910" i="22" s="1"/>
  <c r="G909" i="22"/>
  <c r="H909" i="22" s="1"/>
  <c r="G908" i="22"/>
  <c r="H908" i="22" s="1"/>
  <c r="G907" i="22"/>
  <c r="H907" i="22" s="1"/>
  <c r="G906" i="22"/>
  <c r="H906" i="22" s="1"/>
  <c r="G905" i="22"/>
  <c r="H905" i="22" s="1"/>
  <c r="G904" i="22"/>
  <c r="H904" i="22" s="1"/>
  <c r="G903" i="22"/>
  <c r="H903" i="22" s="1"/>
  <c r="G901" i="22"/>
  <c r="H901" i="22" s="1"/>
  <c r="G900" i="22"/>
  <c r="H900" i="22" s="1"/>
  <c r="H899" i="22"/>
  <c r="H898" i="22" s="1"/>
  <c r="H897" i="22" s="1"/>
  <c r="G899" i="22"/>
  <c r="G898" i="22" s="1"/>
  <c r="G897" i="22" s="1"/>
  <c r="G896" i="22"/>
  <c r="H894" i="22"/>
  <c r="G893" i="22"/>
  <c r="H893" i="22" s="1"/>
  <c r="G888" i="22"/>
  <c r="G887" i="22" s="1"/>
  <c r="G886" i="22" s="1"/>
  <c r="H885" i="22"/>
  <c r="H884" i="22" s="1"/>
  <c r="H883" i="22" s="1"/>
  <c r="G884" i="22"/>
  <c r="G883" i="22"/>
  <c r="G882" i="22"/>
  <c r="H882" i="22" s="1"/>
  <c r="G881" i="22"/>
  <c r="H881" i="22" s="1"/>
  <c r="G880" i="22"/>
  <c r="H880" i="22" s="1"/>
  <c r="G879" i="22"/>
  <c r="H879" i="22" s="1"/>
  <c r="G878" i="22"/>
  <c r="H878" i="22" s="1"/>
  <c r="G873" i="22"/>
  <c r="G28" i="23" s="1"/>
  <c r="G872" i="22"/>
  <c r="H872" i="22" s="1"/>
  <c r="G871" i="22"/>
  <c r="H869" i="22"/>
  <c r="H868" i="22" s="1"/>
  <c r="G868" i="22"/>
  <c r="H864" i="22"/>
  <c r="G864" i="22"/>
  <c r="G863" i="22" s="1"/>
  <c r="G862" i="22" s="1"/>
  <c r="H863" i="22"/>
  <c r="H862" i="22" s="1"/>
  <c r="H859" i="22"/>
  <c r="H858" i="22" s="1"/>
  <c r="H857" i="22" s="1"/>
  <c r="H856" i="22" s="1"/>
  <c r="H855" i="22" s="1"/>
  <c r="H854" i="22" s="1"/>
  <c r="G858" i="22"/>
  <c r="G857" i="22"/>
  <c r="G856" i="22" s="1"/>
  <c r="G855" i="22" s="1"/>
  <c r="G854" i="22" s="1"/>
  <c r="G852" i="22"/>
  <c r="G845" i="22"/>
  <c r="F148" i="21" s="1"/>
  <c r="F147" i="21" s="1"/>
  <c r="H843" i="22"/>
  <c r="G842" i="22"/>
  <c r="H841" i="22"/>
  <c r="H840" i="22"/>
  <c r="G840" i="22"/>
  <c r="H838" i="22"/>
  <c r="H837" i="22" s="1"/>
  <c r="H836" i="22" s="1"/>
  <c r="G837" i="22"/>
  <c r="G836" i="22"/>
  <c r="G830" i="22"/>
  <c r="H827" i="22"/>
  <c r="G827" i="22"/>
  <c r="H823" i="22"/>
  <c r="G943" i="21" s="1"/>
  <c r="G942" i="21" s="1"/>
  <c r="G941" i="21" s="1"/>
  <c r="G822" i="22"/>
  <c r="G821" i="22" s="1"/>
  <c r="G820" i="22"/>
  <c r="H818" i="22"/>
  <c r="H817" i="22" s="1"/>
  <c r="G817" i="22"/>
  <c r="H816" i="22"/>
  <c r="H815" i="22"/>
  <c r="G815" i="22"/>
  <c r="H811" i="22"/>
  <c r="H810" i="22" s="1"/>
  <c r="H809" i="22" s="1"/>
  <c r="G810" i="22"/>
  <c r="G809" i="22"/>
  <c r="H808" i="22"/>
  <c r="H807" i="22" s="1"/>
  <c r="H806" i="22" s="1"/>
  <c r="G807" i="22"/>
  <c r="G806" i="22" s="1"/>
  <c r="H801" i="22"/>
  <c r="H800" i="22" s="1"/>
  <c r="H799" i="22" s="1"/>
  <c r="H798" i="22" s="1"/>
  <c r="G801" i="22"/>
  <c r="G800" i="22" s="1"/>
  <c r="G799" i="22" s="1"/>
  <c r="G798" i="22" s="1"/>
  <c r="H796" i="22"/>
  <c r="H795" i="22" s="1"/>
  <c r="H794" i="22" s="1"/>
  <c r="H793" i="22" s="1"/>
  <c r="G796" i="22"/>
  <c r="G795" i="22" s="1"/>
  <c r="G794" i="22" s="1"/>
  <c r="G793" i="22" s="1"/>
  <c r="I792" i="22"/>
  <c r="G792" i="22"/>
  <c r="G445" i="23" s="1"/>
  <c r="H788" i="22"/>
  <c r="G787" i="22"/>
  <c r="G786" i="22" s="1"/>
  <c r="G785" i="22"/>
  <c r="G434" i="23" s="1"/>
  <c r="G784" i="22"/>
  <c r="H784" i="22" s="1"/>
  <c r="G783" i="22"/>
  <c r="H783" i="22" s="1"/>
  <c r="G781" i="22"/>
  <c r="G427" i="23" s="1"/>
  <c r="H777" i="22"/>
  <c r="H423" i="23" s="1"/>
  <c r="G776" i="22"/>
  <c r="G775" i="22" s="1"/>
  <c r="G774" i="22"/>
  <c r="G773" i="22"/>
  <c r="H773" i="22" s="1"/>
  <c r="G772" i="22"/>
  <c r="H770" i="22"/>
  <c r="H412" i="23" s="1"/>
  <c r="G769" i="22"/>
  <c r="G768" i="22" s="1"/>
  <c r="G767" i="22" s="1"/>
  <c r="H762" i="22"/>
  <c r="H761" i="22" s="1"/>
  <c r="H760" i="22" s="1"/>
  <c r="H759" i="22" s="1"/>
  <c r="H758" i="22" s="1"/>
  <c r="H757" i="22" s="1"/>
  <c r="G762" i="22"/>
  <c r="G761" i="22" s="1"/>
  <c r="G760" i="22" s="1"/>
  <c r="G759" i="22" s="1"/>
  <c r="G758" i="22" s="1"/>
  <c r="G757" i="22" s="1"/>
  <c r="H754" i="22"/>
  <c r="G754" i="22"/>
  <c r="G753" i="22" s="1"/>
  <c r="H753" i="22"/>
  <c r="G752" i="22"/>
  <c r="H752" i="22" s="1"/>
  <c r="G737" i="21" s="1"/>
  <c r="G736" i="21" s="1"/>
  <c r="G750" i="22"/>
  <c r="H750" i="22" s="1"/>
  <c r="G735" i="21" s="1"/>
  <c r="G734" i="21" s="1"/>
  <c r="G749" i="22"/>
  <c r="H749" i="22" s="1"/>
  <c r="H748" i="22"/>
  <c r="G733" i="21" s="1"/>
  <c r="G732" i="21" s="1"/>
  <c r="G747" i="22"/>
  <c r="H744" i="22"/>
  <c r="H743" i="22" s="1"/>
  <c r="G743" i="22"/>
  <c r="G742" i="22" s="1"/>
  <c r="G741" i="22" s="1"/>
  <c r="H742" i="22"/>
  <c r="H741" i="22" s="1"/>
  <c r="G739" i="22"/>
  <c r="H739" i="22" s="1"/>
  <c r="H738" i="22" s="1"/>
  <c r="H737" i="22" s="1"/>
  <c r="G736" i="22"/>
  <c r="G735" i="22" s="1"/>
  <c r="H734" i="22"/>
  <c r="H733" i="22" s="1"/>
  <c r="G733" i="22"/>
  <c r="H727" i="22"/>
  <c r="H726" i="22" s="1"/>
  <c r="G727" i="22"/>
  <c r="G726" i="22" s="1"/>
  <c r="H724" i="22"/>
  <c r="H723" i="22" s="1"/>
  <c r="G724" i="22"/>
  <c r="G723" i="22" s="1"/>
  <c r="H718" i="22"/>
  <c r="H717" i="22" s="1"/>
  <c r="H715" i="22" s="1"/>
  <c r="G718" i="22"/>
  <c r="G717" i="22" s="1"/>
  <c r="H713" i="22"/>
  <c r="H712" i="22" s="1"/>
  <c r="G713" i="22"/>
  <c r="G712" i="22" s="1"/>
  <c r="G711" i="22" s="1"/>
  <c r="H711" i="22"/>
  <c r="G710" i="22"/>
  <c r="H710" i="22" s="1"/>
  <c r="G709" i="22"/>
  <c r="H709" i="22" s="1"/>
  <c r="G708" i="22"/>
  <c r="G706" i="22"/>
  <c r="F635" i="21" s="1"/>
  <c r="F634" i="21" s="1"/>
  <c r="F633" i="21" s="1"/>
  <c r="H703" i="22"/>
  <c r="G702" i="22"/>
  <c r="G701" i="22" s="1"/>
  <c r="H700" i="22"/>
  <c r="H205" i="23" s="1"/>
  <c r="G699" i="22"/>
  <c r="G698" i="22" s="1"/>
  <c r="H696" i="22"/>
  <c r="G695" i="22"/>
  <c r="G694" i="22"/>
  <c r="G693" i="22" s="1"/>
  <c r="H689" i="22"/>
  <c r="H688" i="22" s="1"/>
  <c r="H687" i="22" s="1"/>
  <c r="H686" i="22" s="1"/>
  <c r="G689" i="22"/>
  <c r="G688" i="22" s="1"/>
  <c r="G687" i="22" s="1"/>
  <c r="G686" i="22" s="1"/>
  <c r="H684" i="22"/>
  <c r="H683" i="22" s="1"/>
  <c r="G684" i="22"/>
  <c r="G683" i="22" s="1"/>
  <c r="G682" i="22" s="1"/>
  <c r="G681" i="22" s="1"/>
  <c r="H682" i="22"/>
  <c r="H681" i="22" s="1"/>
  <c r="H680" i="22"/>
  <c r="G680" i="22"/>
  <c r="H676" i="22"/>
  <c r="H675" i="22" s="1"/>
  <c r="G675" i="22"/>
  <c r="G674" i="22" s="1"/>
  <c r="G673" i="22" s="1"/>
  <c r="H672" i="22"/>
  <c r="F97" i="19" s="1"/>
  <c r="G672" i="22"/>
  <c r="F605" i="21" s="1"/>
  <c r="F604" i="21" s="1"/>
  <c r="F603" i="21" s="1"/>
  <c r="F602" i="21" s="1"/>
  <c r="H667" i="22"/>
  <c r="H666" i="22" s="1"/>
  <c r="G667" i="22"/>
  <c r="G666" i="22" s="1"/>
  <c r="H664" i="22"/>
  <c r="H663" i="22" s="1"/>
  <c r="H662" i="22" s="1"/>
  <c r="G664" i="22"/>
  <c r="G663" i="22" s="1"/>
  <c r="G662" i="22" s="1"/>
  <c r="H660" i="22"/>
  <c r="H659" i="22" s="1"/>
  <c r="H658" i="22" s="1"/>
  <c r="G660" i="22"/>
  <c r="G659" i="22"/>
  <c r="G658" i="22" s="1"/>
  <c r="H656" i="22"/>
  <c r="H655" i="22" s="1"/>
  <c r="H654" i="22" s="1"/>
  <c r="G656" i="22"/>
  <c r="G655" i="22" s="1"/>
  <c r="G654" i="22" s="1"/>
  <c r="H653" i="22"/>
  <c r="G652" i="22"/>
  <c r="G651" i="22" s="1"/>
  <c r="G650" i="22"/>
  <c r="G273" i="23" s="1"/>
  <c r="G649" i="22"/>
  <c r="H649" i="22" s="1"/>
  <c r="G648" i="22"/>
  <c r="H648" i="22" s="1"/>
  <c r="G646" i="22"/>
  <c r="G645" i="22"/>
  <c r="G644" i="22" s="1"/>
  <c r="G643" i="22"/>
  <c r="G242" i="23" s="1"/>
  <c r="G642" i="22"/>
  <c r="H642" i="22" s="1"/>
  <c r="G641" i="22"/>
  <c r="H641" i="22" s="1"/>
  <c r="G640" i="22"/>
  <c r="G639" i="22"/>
  <c r="H639" i="22" s="1"/>
  <c r="G638" i="22"/>
  <c r="H638" i="22" s="1"/>
  <c r="G637" i="22"/>
  <c r="G234" i="23" s="1"/>
  <c r="G636" i="22"/>
  <c r="H636" i="22" s="1"/>
  <c r="G635" i="22"/>
  <c r="H635" i="22" s="1"/>
  <c r="H632" i="22"/>
  <c r="H631" i="22" s="1"/>
  <c r="G632" i="22"/>
  <c r="G631" i="22" s="1"/>
  <c r="G630" i="22"/>
  <c r="G196" i="23" s="1"/>
  <c r="H627" i="22"/>
  <c r="H192" i="23" s="1"/>
  <c r="G626" i="22"/>
  <c r="G625" i="22" s="1"/>
  <c r="H623" i="22"/>
  <c r="H622" i="22" s="1"/>
  <c r="G623" i="22"/>
  <c r="G622" i="22" s="1"/>
  <c r="H621" i="22"/>
  <c r="H184" i="23" s="1"/>
  <c r="G620" i="22"/>
  <c r="G619" i="22" s="1"/>
  <c r="H617" i="22"/>
  <c r="H616" i="22" s="1"/>
  <c r="G617" i="22"/>
  <c r="G616" i="22" s="1"/>
  <c r="H614" i="22"/>
  <c r="H151" i="23" s="1"/>
  <c r="G613" i="22"/>
  <c r="G612" i="22"/>
  <c r="G611" i="22" s="1"/>
  <c r="H607" i="22"/>
  <c r="H606" i="22" s="1"/>
  <c r="G607" i="22"/>
  <c r="G606" i="22" s="1"/>
  <c r="H602" i="22"/>
  <c r="H601" i="22" s="1"/>
  <c r="H600" i="22" s="1"/>
  <c r="H599" i="22" s="1"/>
  <c r="G602" i="22"/>
  <c r="G601" i="22" s="1"/>
  <c r="G600" i="22" s="1"/>
  <c r="G599" i="22" s="1"/>
  <c r="G598" i="22"/>
  <c r="H597" i="22"/>
  <c r="H596" i="22" s="1"/>
  <c r="H594" i="22"/>
  <c r="H593" i="22" s="1"/>
  <c r="G594" i="22"/>
  <c r="G593" i="22" s="1"/>
  <c r="G591" i="22"/>
  <c r="G289" i="23" s="1"/>
  <c r="G587" i="22"/>
  <c r="G268" i="23" s="1"/>
  <c r="H584" i="22"/>
  <c r="H264" i="23" s="1"/>
  <c r="G583" i="22"/>
  <c r="G582" i="22" s="1"/>
  <c r="G581" i="22"/>
  <c r="G260" i="23" s="1"/>
  <c r="G580" i="22"/>
  <c r="H580" i="22" s="1"/>
  <c r="G579" i="22"/>
  <c r="H579" i="22" s="1"/>
  <c r="G577" i="22"/>
  <c r="H577" i="22" s="1"/>
  <c r="G574" i="22"/>
  <c r="G224" i="23" s="1"/>
  <c r="G573" i="22"/>
  <c r="H573" i="22" s="1"/>
  <c r="G572" i="22"/>
  <c r="H572" i="22" s="1"/>
  <c r="G571" i="22"/>
  <c r="G220" i="23" s="1"/>
  <c r="G570" i="22"/>
  <c r="H570" i="22" s="1"/>
  <c r="G569" i="22"/>
  <c r="H569" i="22" s="1"/>
  <c r="H566" i="22"/>
  <c r="H565" i="22" s="1"/>
  <c r="G566" i="22"/>
  <c r="G565" i="22" s="1"/>
  <c r="G564" i="22"/>
  <c r="H561" i="22"/>
  <c r="H167" i="23" s="1"/>
  <c r="G560" i="22"/>
  <c r="G559" i="22" s="1"/>
  <c r="H558" i="22"/>
  <c r="H163" i="23" s="1"/>
  <c r="G557" i="22"/>
  <c r="G556" i="22" s="1"/>
  <c r="H554" i="22"/>
  <c r="H146" i="23" s="1"/>
  <c r="G553" i="22"/>
  <c r="G552" i="22"/>
  <c r="G551" i="22" s="1"/>
  <c r="G547" i="22"/>
  <c r="H547" i="22" s="1"/>
  <c r="G546" i="22"/>
  <c r="H546" i="22" s="1"/>
  <c r="G545" i="22"/>
  <c r="H545" i="22" s="1"/>
  <c r="H543" i="22"/>
  <c r="G543" i="22"/>
  <c r="G542" i="22" s="1"/>
  <c r="G541" i="22" s="1"/>
  <c r="G540" i="22" s="1"/>
  <c r="G539" i="22" s="1"/>
  <c r="G538" i="22" s="1"/>
  <c r="H542" i="22"/>
  <c r="H541" i="22" s="1"/>
  <c r="H540" i="22" s="1"/>
  <c r="H539" i="22" s="1"/>
  <c r="H538" i="22" s="1"/>
  <c r="H535" i="22"/>
  <c r="H534" i="22" s="1"/>
  <c r="H533" i="22" s="1"/>
  <c r="H532" i="22" s="1"/>
  <c r="H531" i="22" s="1"/>
  <c r="G535" i="22"/>
  <c r="G534" i="22"/>
  <c r="G533" i="22" s="1"/>
  <c r="G532" i="22" s="1"/>
  <c r="G531" i="22" s="1"/>
  <c r="H529" i="22"/>
  <c r="H528" i="22" s="1"/>
  <c r="G529" i="22"/>
  <c r="G528" i="22" s="1"/>
  <c r="G527" i="22"/>
  <c r="G526" i="22" s="1"/>
  <c r="G525" i="22" s="1"/>
  <c r="H519" i="22"/>
  <c r="H518" i="22" s="1"/>
  <c r="H517" i="22" s="1"/>
  <c r="H516" i="22" s="1"/>
  <c r="H1147" i="22" s="1"/>
  <c r="G519" i="22"/>
  <c r="G518" i="22" s="1"/>
  <c r="G517" i="22" s="1"/>
  <c r="G515" i="22"/>
  <c r="H515" i="22" s="1"/>
  <c r="G514" i="22"/>
  <c r="H514" i="22" s="1"/>
  <c r="G513" i="22"/>
  <c r="H513" i="22" s="1"/>
  <c r="H512" i="22"/>
  <c r="G511" i="22"/>
  <c r="G510" i="22" s="1"/>
  <c r="H505" i="22"/>
  <c r="G505" i="22"/>
  <c r="G504" i="22" s="1"/>
  <c r="G503" i="22" s="1"/>
  <c r="H504" i="22"/>
  <c r="H503" i="22" s="1"/>
  <c r="H502" i="22"/>
  <c r="H501" i="22" s="1"/>
  <c r="H500" i="22" s="1"/>
  <c r="G501" i="22"/>
  <c r="G500" i="22"/>
  <c r="G499" i="22"/>
  <c r="H499" i="22" s="1"/>
  <c r="H498" i="22" s="1"/>
  <c r="G497" i="22"/>
  <c r="H497" i="22" s="1"/>
  <c r="H495" i="22"/>
  <c r="H494" i="22" s="1"/>
  <c r="G494" i="22"/>
  <c r="H486" i="22"/>
  <c r="H485" i="22" s="1"/>
  <c r="G486" i="22"/>
  <c r="G485" i="22" s="1"/>
  <c r="H482" i="22"/>
  <c r="H542" i="23" s="1"/>
  <c r="G481" i="22"/>
  <c r="G480" i="22" s="1"/>
  <c r="G479" i="22" s="1"/>
  <c r="H478" i="22"/>
  <c r="G477" i="22"/>
  <c r="H476" i="22"/>
  <c r="H497" i="23" s="1"/>
  <c r="G475" i="22"/>
  <c r="H474" i="22"/>
  <c r="G473" i="22"/>
  <c r="H466" i="22"/>
  <c r="G466" i="22"/>
  <c r="H465" i="22"/>
  <c r="H464" i="22" s="1"/>
  <c r="G465" i="22"/>
  <c r="G464" i="22" s="1"/>
  <c r="H463" i="22"/>
  <c r="H125" i="23" s="1"/>
  <c r="G462" i="22"/>
  <c r="H461" i="22"/>
  <c r="H122" i="23" s="1"/>
  <c r="G460" i="22"/>
  <c r="G459" i="22" s="1"/>
  <c r="H457" i="22"/>
  <c r="H115" i="23" s="1"/>
  <c r="G456" i="22"/>
  <c r="G455" i="22" s="1"/>
  <c r="H452" i="22"/>
  <c r="H66" i="23" s="1"/>
  <c r="G452" i="22"/>
  <c r="G66" i="23" s="1"/>
  <c r="H443" i="22"/>
  <c r="H442" i="22" s="1"/>
  <c r="H441" i="22" s="1"/>
  <c r="H440" i="22" s="1"/>
  <c r="G443" i="22"/>
  <c r="G442" i="22" s="1"/>
  <c r="G440" i="22" s="1"/>
  <c r="G441" i="22"/>
  <c r="G439" i="22"/>
  <c r="H438" i="22"/>
  <c r="H437" i="22" s="1"/>
  <c r="H436" i="22" s="1"/>
  <c r="H435" i="22" s="1"/>
  <c r="H434" i="22" s="1"/>
  <c r="G433" i="22"/>
  <c r="H433" i="22" s="1"/>
  <c r="G817" i="21" s="1"/>
  <c r="G816" i="21" s="1"/>
  <c r="G815" i="21" s="1"/>
  <c r="G430" i="22"/>
  <c r="G428" i="22"/>
  <c r="G427" i="22" s="1"/>
  <c r="H426" i="22"/>
  <c r="H425" i="22" s="1"/>
  <c r="G425" i="22"/>
  <c r="H421" i="22"/>
  <c r="H420" i="22" s="1"/>
  <c r="H419" i="22" s="1"/>
  <c r="G420" i="22"/>
  <c r="G419" i="22" s="1"/>
  <c r="G418" i="22"/>
  <c r="H418" i="22" s="1"/>
  <c r="G417" i="22"/>
  <c r="H417" i="22" s="1"/>
  <c r="H416" i="22"/>
  <c r="H415" i="22" s="1"/>
  <c r="H414" i="22" s="1"/>
  <c r="H413" i="22" s="1"/>
  <c r="H412" i="22" s="1"/>
  <c r="G415" i="22"/>
  <c r="G414" i="22" s="1"/>
  <c r="H409" i="22"/>
  <c r="H408" i="22" s="1"/>
  <c r="H407" i="22" s="1"/>
  <c r="H406" i="22" s="1"/>
  <c r="G409" i="22"/>
  <c r="G408" i="22" s="1"/>
  <c r="G407" i="22" s="1"/>
  <c r="G406" i="22" s="1"/>
  <c r="H404" i="22"/>
  <c r="H403" i="22" s="1"/>
  <c r="H401" i="22" s="1"/>
  <c r="G404" i="22"/>
  <c r="G403" i="22"/>
  <c r="G401" i="22" s="1"/>
  <c r="H402" i="22"/>
  <c r="G402" i="22"/>
  <c r="H399" i="22"/>
  <c r="H398" i="22" s="1"/>
  <c r="H397" i="22" s="1"/>
  <c r="G399" i="22"/>
  <c r="G398" i="22" s="1"/>
  <c r="G397" i="22" s="1"/>
  <c r="H395" i="22"/>
  <c r="H394" i="22" s="1"/>
  <c r="H393" i="22" s="1"/>
  <c r="G395" i="22"/>
  <c r="G394" i="22" s="1"/>
  <c r="G393" i="22" s="1"/>
  <c r="G392" i="22"/>
  <c r="G581" i="23" s="1"/>
  <c r="G391" i="22"/>
  <c r="G390" i="22" s="1"/>
  <c r="G389" i="22" s="1"/>
  <c r="H387" i="22"/>
  <c r="H386" i="22" s="1"/>
  <c r="H385" i="22" s="1"/>
  <c r="G387" i="22"/>
  <c r="G386" i="22" s="1"/>
  <c r="G385" i="22" s="1"/>
  <c r="H384" i="22"/>
  <c r="G383" i="22"/>
  <c r="G382" i="22" s="1"/>
  <c r="H381" i="22"/>
  <c r="H563" i="23" s="1"/>
  <c r="G380" i="22"/>
  <c r="G379" i="22" s="1"/>
  <c r="H377" i="22"/>
  <c r="G376" i="22"/>
  <c r="G375" i="22" s="1"/>
  <c r="G374" i="22" s="1"/>
  <c r="G373" i="22"/>
  <c r="H373" i="22" s="1"/>
  <c r="G372" i="22"/>
  <c r="H370" i="22"/>
  <c r="G370" i="22"/>
  <c r="H367" i="22"/>
  <c r="H488" i="23" s="1"/>
  <c r="G366" i="22"/>
  <c r="H365" i="22"/>
  <c r="H485" i="23" s="1"/>
  <c r="G364" i="22"/>
  <c r="H363" i="22"/>
  <c r="H482" i="23" s="1"/>
  <c r="G362" i="22"/>
  <c r="G356" i="22"/>
  <c r="G58" i="23" s="1"/>
  <c r="G352" i="22"/>
  <c r="H351" i="22"/>
  <c r="H350" i="22"/>
  <c r="H349" i="22" s="1"/>
  <c r="H348" i="22" s="1"/>
  <c r="H347" i="22" s="1"/>
  <c r="G350" i="22"/>
  <c r="G346" i="22"/>
  <c r="G345" i="22"/>
  <c r="H345" i="22" s="1"/>
  <c r="G344" i="22"/>
  <c r="H344" i="22" s="1"/>
  <c r="G343" i="22"/>
  <c r="G37" i="23" s="1"/>
  <c r="H335" i="22"/>
  <c r="H334" i="22" s="1"/>
  <c r="H333" i="22" s="1"/>
  <c r="G335" i="22"/>
  <c r="G334" i="22" s="1"/>
  <c r="H330" i="22"/>
  <c r="H329" i="22" s="1"/>
  <c r="H327" i="22" s="1"/>
  <c r="G330" i="22"/>
  <c r="G329" i="22" s="1"/>
  <c r="G327" i="22" s="1"/>
  <c r="H328" i="22"/>
  <c r="G328" i="22"/>
  <c r="G326" i="22"/>
  <c r="G557" i="23" s="1"/>
  <c r="H323" i="22"/>
  <c r="G322" i="22"/>
  <c r="G321" i="22" s="1"/>
  <c r="H320" i="22"/>
  <c r="H549" i="23" s="1"/>
  <c r="G319" i="22"/>
  <c r="G318" i="22" s="1"/>
  <c r="H316" i="22"/>
  <c r="H530" i="23" s="1"/>
  <c r="G315" i="22"/>
  <c r="G314" i="22" s="1"/>
  <c r="G313" i="22" s="1"/>
  <c r="G312" i="22"/>
  <c r="G514" i="23" s="1"/>
  <c r="G311" i="22"/>
  <c r="H311" i="22" s="1"/>
  <c r="G310" i="22"/>
  <c r="G511" i="23" s="1"/>
  <c r="G307" i="22"/>
  <c r="G303" i="22"/>
  <c r="G476" i="23" s="1"/>
  <c r="H301" i="22"/>
  <c r="H473" i="23" s="1"/>
  <c r="G300" i="22"/>
  <c r="H299" i="22"/>
  <c r="H470" i="23" s="1"/>
  <c r="G298" i="22"/>
  <c r="H291" i="22"/>
  <c r="H290" i="22" s="1"/>
  <c r="H289" i="22" s="1"/>
  <c r="G291" i="22"/>
  <c r="G290" i="22"/>
  <c r="G289" i="22" s="1"/>
  <c r="G288" i="22"/>
  <c r="G88" i="23" s="1"/>
  <c r="G287" i="22"/>
  <c r="H287" i="22" s="1"/>
  <c r="G286" i="22"/>
  <c r="G285" i="22" s="1"/>
  <c r="G284" i="22"/>
  <c r="G81" i="23" s="1"/>
  <c r="G280" i="22"/>
  <c r="G74" i="23" s="1"/>
  <c r="G279" i="22"/>
  <c r="H279" i="22" s="1"/>
  <c r="G278" i="22"/>
  <c r="G277" i="22" s="1"/>
  <c r="G272" i="22"/>
  <c r="G805" i="23" s="1"/>
  <c r="H267" i="22"/>
  <c r="H793" i="23" s="1"/>
  <c r="G266" i="22"/>
  <c r="G265" i="22" s="1"/>
  <c r="H263" i="22"/>
  <c r="H262" i="22" s="1"/>
  <c r="G263" i="22"/>
  <c r="G262" i="22" s="1"/>
  <c r="G261" i="22"/>
  <c r="G789" i="23" s="1"/>
  <c r="G260" i="22"/>
  <c r="H260" i="22" s="1"/>
  <c r="G259" i="22"/>
  <c r="H259" i="22" s="1"/>
  <c r="H257" i="22"/>
  <c r="H256" i="22" s="1"/>
  <c r="G257" i="22"/>
  <c r="G256" i="22" s="1"/>
  <c r="G255" i="22"/>
  <c r="G767" i="23" s="1"/>
  <c r="H254" i="22"/>
  <c r="H253" i="22" s="1"/>
  <c r="G254" i="22"/>
  <c r="G253" i="22"/>
  <c r="H249" i="22"/>
  <c r="H248" i="22" s="1"/>
  <c r="H247" i="22" s="1"/>
  <c r="H246" i="22" s="1"/>
  <c r="H245" i="22" s="1"/>
  <c r="G249" i="22"/>
  <c r="G248" i="22" s="1"/>
  <c r="G247" i="22" s="1"/>
  <c r="G246" i="22" s="1"/>
  <c r="G245" i="22" s="1"/>
  <c r="H241" i="22"/>
  <c r="H240" i="22" s="1"/>
  <c r="G240" i="22"/>
  <c r="H238" i="22"/>
  <c r="G238" i="22"/>
  <c r="H232" i="22"/>
  <c r="H231" i="22" s="1"/>
  <c r="G232" i="22"/>
  <c r="G231" i="22" s="1"/>
  <c r="G230" i="22"/>
  <c r="G404" i="23" s="1"/>
  <c r="H224" i="22"/>
  <c r="H223" i="22" s="1"/>
  <c r="H222" i="22" s="1"/>
  <c r="H221" i="22" s="1"/>
  <c r="H220" i="22" s="1"/>
  <c r="H219" i="22" s="1"/>
  <c r="G223" i="22"/>
  <c r="G222" i="22" s="1"/>
  <c r="G221" i="22" s="1"/>
  <c r="G220" i="22" s="1"/>
  <c r="G219" i="22" s="1"/>
  <c r="H217" i="22"/>
  <c r="H350" i="23" s="1"/>
  <c r="G216" i="22"/>
  <c r="G215" i="22" s="1"/>
  <c r="G214" i="22" s="1"/>
  <c r="G213" i="22" s="1"/>
  <c r="G1134" i="22" s="1"/>
  <c r="G212" i="22"/>
  <c r="G211" i="22" s="1"/>
  <c r="H211" i="22"/>
  <c r="G210" i="22"/>
  <c r="G209" i="22" s="1"/>
  <c r="H203" i="22"/>
  <c r="H202" i="22" s="1"/>
  <c r="H201" i="22" s="1"/>
  <c r="G203" i="22"/>
  <c r="G202" i="22" s="1"/>
  <c r="G201" i="22" s="1"/>
  <c r="H199" i="22"/>
  <c r="H198" i="22" s="1"/>
  <c r="G199" i="22"/>
  <c r="G198" i="22" s="1"/>
  <c r="H197" i="22"/>
  <c r="G197" i="22"/>
  <c r="G702" i="23" s="1"/>
  <c r="G196" i="22"/>
  <c r="G195" i="22" s="1"/>
  <c r="G190" i="22"/>
  <c r="G189" i="22" s="1"/>
  <c r="G188" i="22" s="1"/>
  <c r="G187" i="22"/>
  <c r="H185" i="22"/>
  <c r="G243" i="21" s="1"/>
  <c r="G242" i="21" s="1"/>
  <c r="G184" i="22"/>
  <c r="H184" i="22" s="1"/>
  <c r="G181" i="22"/>
  <c r="G180" i="22" s="1"/>
  <c r="G179" i="22" s="1"/>
  <c r="G178" i="22"/>
  <c r="H178" i="22" s="1"/>
  <c r="G171" i="22"/>
  <c r="H171" i="22" s="1"/>
  <c r="G170" i="22"/>
  <c r="H170" i="22" s="1"/>
  <c r="G169" i="22"/>
  <c r="H163" i="22"/>
  <c r="H162" i="22" s="1"/>
  <c r="H161" i="22" s="1"/>
  <c r="G163" i="22"/>
  <c r="G162" i="22" s="1"/>
  <c r="H160" i="22"/>
  <c r="H1149" i="22" s="1"/>
  <c r="H158" i="22"/>
  <c r="G158" i="22"/>
  <c r="H157" i="22"/>
  <c r="H156" i="22" s="1"/>
  <c r="H155" i="22" s="1"/>
  <c r="H1148" i="22" s="1"/>
  <c r="G157" i="22"/>
  <c r="G156" i="22" s="1"/>
  <c r="G155" i="22" s="1"/>
  <c r="G1148" i="22" s="1"/>
  <c r="G154" i="22"/>
  <c r="G153" i="22" s="1"/>
  <c r="G152" i="22" s="1"/>
  <c r="G151" i="22" s="1"/>
  <c r="H149" i="22"/>
  <c r="H148" i="22" s="1"/>
  <c r="H147" i="22" s="1"/>
  <c r="G149" i="22"/>
  <c r="G148" i="22" s="1"/>
  <c r="G147" i="22" s="1"/>
  <c r="H144" i="22"/>
  <c r="G144" i="22"/>
  <c r="G143" i="22" s="1"/>
  <c r="G141" i="22" s="1"/>
  <c r="H143" i="22"/>
  <c r="H141" i="22" s="1"/>
  <c r="H142" i="22"/>
  <c r="G142" i="22"/>
  <c r="H140" i="22"/>
  <c r="H139" i="22" s="1"/>
  <c r="H138" i="22" s="1"/>
  <c r="G139" i="22"/>
  <c r="G138" i="22" s="1"/>
  <c r="H137" i="22"/>
  <c r="H136" i="22" s="1"/>
  <c r="G136" i="22"/>
  <c r="H135" i="22"/>
  <c r="H134" i="22" s="1"/>
  <c r="G134" i="22"/>
  <c r="H128" i="22"/>
  <c r="G128" i="22"/>
  <c r="H126" i="22"/>
  <c r="G126" i="22"/>
  <c r="H121" i="22"/>
  <c r="H120" i="22" s="1"/>
  <c r="H119" i="22" s="1"/>
  <c r="G120" i="22"/>
  <c r="G119" i="22" s="1"/>
  <c r="H118" i="22"/>
  <c r="H117" i="22" s="1"/>
  <c r="H116" i="22" s="1"/>
  <c r="G117" i="22"/>
  <c r="G116" i="22" s="1"/>
  <c r="G112" i="22"/>
  <c r="G396" i="23" s="1"/>
  <c r="G111" i="22"/>
  <c r="H111" i="22" s="1"/>
  <c r="G110" i="22"/>
  <c r="H110" i="22" s="1"/>
  <c r="G109" i="22"/>
  <c r="G392" i="23" s="1"/>
  <c r="H104" i="22"/>
  <c r="H103" i="22" s="1"/>
  <c r="G104" i="22"/>
  <c r="G103" i="22" s="1"/>
  <c r="H101" i="22"/>
  <c r="G101" i="22"/>
  <c r="G100" i="22" s="1"/>
  <c r="H100" i="22"/>
  <c r="G99" i="22"/>
  <c r="G97" i="22"/>
  <c r="G374" i="23" s="1"/>
  <c r="H93" i="22"/>
  <c r="G92" i="22"/>
  <c r="G91" i="22" s="1"/>
  <c r="G90" i="22" s="1"/>
  <c r="H88" i="22"/>
  <c r="H87" i="22" s="1"/>
  <c r="G87" i="22"/>
  <c r="H86" i="22"/>
  <c r="H85" i="22"/>
  <c r="H84" i="22" s="1"/>
  <c r="F129" i="19" s="1"/>
  <c r="G85" i="22"/>
  <c r="G83" i="22"/>
  <c r="G82" i="22" s="1"/>
  <c r="G81" i="22"/>
  <c r="G80" i="22" s="1"/>
  <c r="H77" i="22"/>
  <c r="G77" i="22"/>
  <c r="H75" i="22"/>
  <c r="H74" i="22" s="1"/>
  <c r="F140" i="19" s="1"/>
  <c r="G75" i="22"/>
  <c r="H72" i="22"/>
  <c r="H71" i="22" s="1"/>
  <c r="G72" i="22"/>
  <c r="G71" i="22" s="1"/>
  <c r="H69" i="22"/>
  <c r="H68" i="22" s="1"/>
  <c r="H67" i="22" s="1"/>
  <c r="G68" i="22"/>
  <c r="G67" i="22" s="1"/>
  <c r="H66" i="22"/>
  <c r="H65" i="22" s="1"/>
  <c r="G65" i="22"/>
  <c r="G64" i="22" s="1"/>
  <c r="H64" i="22" s="1"/>
  <c r="H63" i="22"/>
  <c r="H62" i="22" s="1"/>
  <c r="G62" i="22"/>
  <c r="H61" i="22"/>
  <c r="H60" i="22"/>
  <c r="G60" i="22"/>
  <c r="H59" i="22"/>
  <c r="H58" i="22" s="1"/>
  <c r="G58" i="22"/>
  <c r="H57" i="22"/>
  <c r="H56" i="22" s="1"/>
  <c r="G57" i="22"/>
  <c r="G56" i="22" s="1"/>
  <c r="G55" i="22" s="1"/>
  <c r="G54" i="22" s="1"/>
  <c r="H50" i="22"/>
  <c r="H49" i="22" s="1"/>
  <c r="G50" i="22"/>
  <c r="G49" i="22" s="1"/>
  <c r="G48" i="22"/>
  <c r="H48" i="22" s="1"/>
  <c r="G43" i="22"/>
  <c r="G42" i="22" s="1"/>
  <c r="H40" i="22"/>
  <c r="H39" i="22"/>
  <c r="G39" i="22"/>
  <c r="H38" i="22"/>
  <c r="H37" i="22" s="1"/>
  <c r="G37" i="22"/>
  <c r="H29" i="22"/>
  <c r="H28" i="22" s="1"/>
  <c r="H27" i="22" s="1"/>
  <c r="H26" i="22" s="1"/>
  <c r="H25" i="22" s="1"/>
  <c r="G29" i="22"/>
  <c r="G28" i="22" s="1"/>
  <c r="G27" i="22" s="1"/>
  <c r="G26" i="22" s="1"/>
  <c r="G25" i="22" s="1"/>
  <c r="H23" i="22"/>
  <c r="H22" i="22" s="1"/>
  <c r="G23" i="22"/>
  <c r="G22" i="22"/>
  <c r="H20" i="22"/>
  <c r="G20" i="22"/>
  <c r="H19" i="22"/>
  <c r="H18" i="22"/>
  <c r="G18" i="22"/>
  <c r="H17" i="22"/>
  <c r="H16" i="22" s="1"/>
  <c r="G16" i="22"/>
  <c r="G969" i="21"/>
  <c r="G968" i="21" s="1"/>
  <c r="G967" i="21" s="1"/>
  <c r="G966" i="21" s="1"/>
  <c r="G965" i="21" s="1"/>
  <c r="F969" i="21"/>
  <c r="F968" i="21" s="1"/>
  <c r="F967" i="21"/>
  <c r="F966" i="21" s="1"/>
  <c r="F965" i="21" s="1"/>
  <c r="G964" i="21"/>
  <c r="G963" i="21" s="1"/>
  <c r="G962" i="21" s="1"/>
  <c r="F964" i="21"/>
  <c r="F963" i="21" s="1"/>
  <c r="F962" i="21" s="1"/>
  <c r="F961" i="21"/>
  <c r="F960" i="21" s="1"/>
  <c r="G959" i="21"/>
  <c r="G958" i="21" s="1"/>
  <c r="F959" i="21"/>
  <c r="F958" i="21" s="1"/>
  <c r="F957" i="21"/>
  <c r="F956" i="21" s="1"/>
  <c r="G948" i="21"/>
  <c r="G947" i="21" s="1"/>
  <c r="F948" i="21"/>
  <c r="F947" i="21" s="1"/>
  <c r="F943" i="21"/>
  <c r="F942" i="21" s="1"/>
  <c r="F941" i="21" s="1"/>
  <c r="F940" i="21"/>
  <c r="F939" i="21" s="1"/>
  <c r="G938" i="21"/>
  <c r="G937" i="21" s="1"/>
  <c r="F938" i="21"/>
  <c r="F937" i="21" s="1"/>
  <c r="G936" i="21"/>
  <c r="G935" i="21" s="1"/>
  <c r="F936" i="21"/>
  <c r="F935" i="21" s="1"/>
  <c r="G931" i="21"/>
  <c r="F931" i="21"/>
  <c r="G930" i="21"/>
  <c r="G929" i="21" s="1"/>
  <c r="F930" i="21"/>
  <c r="F929" i="21" s="1"/>
  <c r="F928" i="21"/>
  <c r="F927" i="21" s="1"/>
  <c r="F926" i="21" s="1"/>
  <c r="G922" i="21"/>
  <c r="G921" i="21" s="1"/>
  <c r="G920" i="21" s="1"/>
  <c r="G919" i="21" s="1"/>
  <c r="G918" i="21" s="1"/>
  <c r="F922" i="21"/>
  <c r="F921" i="21" s="1"/>
  <c r="F920" i="21" s="1"/>
  <c r="F919" i="21" s="1"/>
  <c r="F918" i="21" s="1"/>
  <c r="G917" i="21"/>
  <c r="G916" i="21" s="1"/>
  <c r="G915" i="21" s="1"/>
  <c r="G914" i="21" s="1"/>
  <c r="G913" i="21" s="1"/>
  <c r="F917" i="21"/>
  <c r="F916" i="21" s="1"/>
  <c r="F915" i="21" s="1"/>
  <c r="F914" i="21" s="1"/>
  <c r="F913" i="21" s="1"/>
  <c r="F912" i="21"/>
  <c r="F911" i="21" s="1"/>
  <c r="F910" i="21" s="1"/>
  <c r="F909" i="21" s="1"/>
  <c r="F908" i="21"/>
  <c r="F907" i="21"/>
  <c r="F906" i="21" s="1"/>
  <c r="G905" i="21"/>
  <c r="F905" i="21"/>
  <c r="G904" i="21"/>
  <c r="F904" i="21"/>
  <c r="G903" i="21"/>
  <c r="F903" i="21"/>
  <c r="F901" i="21"/>
  <c r="F900" i="21" s="1"/>
  <c r="F899" i="21" s="1"/>
  <c r="G898" i="21"/>
  <c r="G897" i="21" s="1"/>
  <c r="G896" i="21" s="1"/>
  <c r="F898" i="21"/>
  <c r="F897" i="21"/>
  <c r="F896" i="21" s="1"/>
  <c r="G895" i="21"/>
  <c r="F895" i="21"/>
  <c r="G894" i="21"/>
  <c r="F894" i="21"/>
  <c r="G893" i="21"/>
  <c r="F893" i="21"/>
  <c r="G891" i="21"/>
  <c r="G890" i="21" s="1"/>
  <c r="G889" i="21" s="1"/>
  <c r="G888" i="21" s="1"/>
  <c r="F891" i="21"/>
  <c r="F890" i="21" s="1"/>
  <c r="F889" i="21" s="1"/>
  <c r="F888" i="21" s="1"/>
  <c r="F884" i="21"/>
  <c r="F883" i="21" s="1"/>
  <c r="F882" i="21" s="1"/>
  <c r="F881" i="21" s="1"/>
  <c r="F880" i="21" s="1"/>
  <c r="F879" i="21"/>
  <c r="F878" i="21" s="1"/>
  <c r="G877" i="21"/>
  <c r="G876" i="21" s="1"/>
  <c r="F877" i="21"/>
  <c r="F876" i="21" s="1"/>
  <c r="G871" i="21"/>
  <c r="G870" i="21" s="1"/>
  <c r="G869" i="21" s="1"/>
  <c r="G868" i="21" s="1"/>
  <c r="G867" i="21" s="1"/>
  <c r="G866" i="21" s="1"/>
  <c r="F871" i="21"/>
  <c r="F870" i="21" s="1"/>
  <c r="F869" i="21" s="1"/>
  <c r="F868" i="21" s="1"/>
  <c r="F867" i="21" s="1"/>
  <c r="F866" i="21" s="1"/>
  <c r="G865" i="21"/>
  <c r="G864" i="21" s="1"/>
  <c r="G863" i="21" s="1"/>
  <c r="F865" i="21"/>
  <c r="F864" i="21" s="1"/>
  <c r="F863" i="21" s="1"/>
  <c r="G857" i="21"/>
  <c r="G856" i="21" s="1"/>
  <c r="G855" i="21" s="1"/>
  <c r="G854" i="21" s="1"/>
  <c r="F857" i="21"/>
  <c r="F856" i="21" s="1"/>
  <c r="F855" i="21" s="1"/>
  <c r="F854" i="21" s="1"/>
  <c r="G853" i="21"/>
  <c r="G852" i="21" s="1"/>
  <c r="F853" i="21"/>
  <c r="F852" i="21" s="1"/>
  <c r="F851" i="21"/>
  <c r="F850" i="21" s="1"/>
  <c r="F849" i="21" s="1"/>
  <c r="G847" i="21"/>
  <c r="G846" i="21" s="1"/>
  <c r="G845" i="21" s="1"/>
  <c r="F847" i="21"/>
  <c r="F846" i="21" s="1"/>
  <c r="F845" i="21" s="1"/>
  <c r="F842" i="21"/>
  <c r="F841" i="21"/>
  <c r="F840" i="21" s="1"/>
  <c r="F839" i="21" s="1"/>
  <c r="F838" i="21" s="1"/>
  <c r="G835" i="21"/>
  <c r="G834" i="21" s="1"/>
  <c r="G833" i="21" s="1"/>
  <c r="G832" i="21" s="1"/>
  <c r="G831" i="21" s="1"/>
  <c r="G830" i="21" s="1"/>
  <c r="E42" i="20" s="1"/>
  <c r="F835" i="21"/>
  <c r="F834" i="21" s="1"/>
  <c r="F833" i="21" s="1"/>
  <c r="F832" i="21" s="1"/>
  <c r="F831" i="21" s="1"/>
  <c r="F830" i="21" s="1"/>
  <c r="G828" i="21"/>
  <c r="G827" i="21" s="1"/>
  <c r="G826" i="21" s="1"/>
  <c r="G825" i="21" s="1"/>
  <c r="G824" i="21" s="1"/>
  <c r="F828" i="21"/>
  <c r="F827" i="21" s="1"/>
  <c r="F826" i="21" s="1"/>
  <c r="F824" i="21" s="1"/>
  <c r="G823" i="21"/>
  <c r="G822" i="21" s="1"/>
  <c r="G821" i="21" s="1"/>
  <c r="G820" i="21" s="1"/>
  <c r="G819" i="21" s="1"/>
  <c r="G818" i="21" s="1"/>
  <c r="F812" i="21"/>
  <c r="F811" i="21" s="1"/>
  <c r="G810" i="21"/>
  <c r="G809" i="21" s="1"/>
  <c r="F810" i="21"/>
  <c r="F809" i="21" s="1"/>
  <c r="G805" i="21"/>
  <c r="F805" i="21"/>
  <c r="F804" i="21" s="1"/>
  <c r="F803" i="21" s="1"/>
  <c r="G804" i="21"/>
  <c r="G803" i="21" s="1"/>
  <c r="G802" i="21"/>
  <c r="F802" i="21"/>
  <c r="G801" i="21"/>
  <c r="F801" i="21"/>
  <c r="F800" i="21"/>
  <c r="F799" i="21" s="1"/>
  <c r="F798" i="21" s="1"/>
  <c r="G794" i="21"/>
  <c r="G793" i="21" s="1"/>
  <c r="G792" i="21" s="1"/>
  <c r="G791" i="21" s="1"/>
  <c r="G790" i="21" s="1"/>
  <c r="F794" i="21"/>
  <c r="F793" i="21" s="1"/>
  <c r="F792" i="21" s="1"/>
  <c r="F791" i="21" s="1"/>
  <c r="F790" i="21" s="1"/>
  <c r="G789" i="21"/>
  <c r="F789" i="21"/>
  <c r="F788" i="21" s="1"/>
  <c r="F787" i="21" s="1"/>
  <c r="F786" i="21" s="1"/>
  <c r="F785" i="21" s="1"/>
  <c r="G788" i="21"/>
  <c r="G787" i="21" s="1"/>
  <c r="G786" i="21" s="1"/>
  <c r="G785" i="21" s="1"/>
  <c r="G784" i="21"/>
  <c r="G783" i="21" s="1"/>
  <c r="G782" i="21" s="1"/>
  <c r="G781" i="21" s="1"/>
  <c r="F784" i="21"/>
  <c r="F783" i="21" s="1"/>
  <c r="F782" i="21" s="1"/>
  <c r="F781" i="21" s="1"/>
  <c r="G780" i="21"/>
  <c r="G779" i="21" s="1"/>
  <c r="G778" i="21" s="1"/>
  <c r="G777" i="21" s="1"/>
  <c r="F780" i="21"/>
  <c r="F779" i="21" s="1"/>
  <c r="F778" i="21" s="1"/>
  <c r="F777" i="21" s="1"/>
  <c r="G772" i="21"/>
  <c r="G771" i="21" s="1"/>
  <c r="G770" i="21" s="1"/>
  <c r="G769" i="21" s="1"/>
  <c r="F772" i="21"/>
  <c r="F771" i="21" s="1"/>
  <c r="F770" i="21" s="1"/>
  <c r="F769" i="21" s="1"/>
  <c r="F768" i="21"/>
  <c r="F767" i="21" s="1"/>
  <c r="F766" i="21" s="1"/>
  <c r="G765" i="21"/>
  <c r="F765" i="21"/>
  <c r="G764" i="21"/>
  <c r="G763" i="21" s="1"/>
  <c r="F764" i="21"/>
  <c r="F763" i="21" s="1"/>
  <c r="F762" i="21" s="1"/>
  <c r="F761" i="21"/>
  <c r="F760" i="21"/>
  <c r="F759" i="21" s="1"/>
  <c r="F758" i="21" s="1"/>
  <c r="G755" i="21"/>
  <c r="F755" i="21"/>
  <c r="G754" i="21"/>
  <c r="F754" i="21"/>
  <c r="G751" i="21"/>
  <c r="G750" i="21" s="1"/>
  <c r="F751" i="21"/>
  <c r="F750" i="21" s="1"/>
  <c r="F749" i="21"/>
  <c r="F748" i="21" s="1"/>
  <c r="G747" i="21"/>
  <c r="G746" i="21" s="1"/>
  <c r="F747" i="21"/>
  <c r="F746" i="21" s="1"/>
  <c r="G740" i="21"/>
  <c r="G739" i="21" s="1"/>
  <c r="G738" i="21" s="1"/>
  <c r="F740" i="21"/>
  <c r="F739" i="21" s="1"/>
  <c r="F738" i="21" s="1"/>
  <c r="F737" i="21"/>
  <c r="F736" i="21" s="1"/>
  <c r="F735" i="21"/>
  <c r="F734" i="21" s="1"/>
  <c r="F733" i="21"/>
  <c r="F732" i="21" s="1"/>
  <c r="F729" i="21"/>
  <c r="F728" i="21" s="1"/>
  <c r="F727" i="21" s="1"/>
  <c r="F726" i="21" s="1"/>
  <c r="G724" i="21"/>
  <c r="G723" i="21" s="1"/>
  <c r="G722" i="21" s="1"/>
  <c r="F724" i="21"/>
  <c r="F723" i="21" s="1"/>
  <c r="F722" i="21" s="1"/>
  <c r="F721" i="21"/>
  <c r="F720" i="21" s="1"/>
  <c r="G719" i="21"/>
  <c r="G718" i="21" s="1"/>
  <c r="F719" i="21"/>
  <c r="F718" i="21" s="1"/>
  <c r="G713" i="21"/>
  <c r="G712" i="21" s="1"/>
  <c r="G711" i="21" s="1"/>
  <c r="G710" i="21" s="1"/>
  <c r="G709" i="21" s="1"/>
  <c r="F713" i="21"/>
  <c r="F712" i="21" s="1"/>
  <c r="F711" i="21" s="1"/>
  <c r="F710" i="21" s="1"/>
  <c r="F709" i="21" s="1"/>
  <c r="F708" i="21"/>
  <c r="F707" i="21" s="1"/>
  <c r="F706" i="21" s="1"/>
  <c r="F705" i="21" s="1"/>
  <c r="G704" i="21"/>
  <c r="G703" i="21" s="1"/>
  <c r="F698" i="21"/>
  <c r="G698" i="21" s="1"/>
  <c r="F697" i="21"/>
  <c r="G697" i="21" s="1"/>
  <c r="F696" i="21"/>
  <c r="G696" i="21" s="1"/>
  <c r="G688" i="21"/>
  <c r="G687" i="21" s="1"/>
  <c r="G686" i="21" s="1"/>
  <c r="F688" i="21"/>
  <c r="F687" i="21"/>
  <c r="F686" i="21" s="1"/>
  <c r="G685" i="21"/>
  <c r="G684" i="21" s="1"/>
  <c r="G683" i="21" s="1"/>
  <c r="F685" i="21"/>
  <c r="F684" i="21" s="1"/>
  <c r="F683" i="21" s="1"/>
  <c r="G680" i="21"/>
  <c r="F680" i="21"/>
  <c r="G679" i="21"/>
  <c r="G678" i="21" s="1"/>
  <c r="G676" i="21" s="1"/>
  <c r="F679" i="21"/>
  <c r="F678" i="21" s="1"/>
  <c r="F676" i="21" s="1"/>
  <c r="G677" i="21"/>
  <c r="F677" i="21"/>
  <c r="F672" i="21"/>
  <c r="F671" i="21" s="1"/>
  <c r="F670" i="21" s="1"/>
  <c r="G669" i="21"/>
  <c r="G668" i="21" s="1"/>
  <c r="G667" i="21" s="1"/>
  <c r="F669" i="21"/>
  <c r="F668" i="21" s="1"/>
  <c r="F667" i="21" s="1"/>
  <c r="G665" i="21"/>
  <c r="G664" i="21" s="1"/>
  <c r="G663" i="21" s="1"/>
  <c r="G662" i="21" s="1"/>
  <c r="F665" i="21"/>
  <c r="F664" i="21" s="1"/>
  <c r="F663" i="21" s="1"/>
  <c r="F662" i="21" s="1"/>
  <c r="F661" i="21"/>
  <c r="G661" i="21" s="1"/>
  <c r="F660" i="21"/>
  <c r="G660" i="21" s="1"/>
  <c r="F659" i="21"/>
  <c r="F658" i="21" s="1"/>
  <c r="F657" i="21" s="1"/>
  <c r="G650" i="21"/>
  <c r="G649" i="21" s="1"/>
  <c r="F650" i="21"/>
  <c r="F649" i="21" s="1"/>
  <c r="F648" i="21"/>
  <c r="F647" i="21"/>
  <c r="G643" i="21"/>
  <c r="G642" i="21" s="1"/>
  <c r="G641" i="21" s="1"/>
  <c r="G640" i="21" s="1"/>
  <c r="F643" i="21"/>
  <c r="F642" i="21" s="1"/>
  <c r="F641" i="21" s="1"/>
  <c r="F640" i="21" s="1"/>
  <c r="F639" i="21"/>
  <c r="G639" i="21" s="1"/>
  <c r="F638" i="21"/>
  <c r="G638" i="21" s="1"/>
  <c r="F637" i="21"/>
  <c r="G637" i="21" s="1"/>
  <c r="G636" i="21" s="1"/>
  <c r="G632" i="21"/>
  <c r="G631" i="21" s="1"/>
  <c r="G630" i="21" s="1"/>
  <c r="F632" i="21"/>
  <c r="F631" i="21" s="1"/>
  <c r="F630" i="21" s="1"/>
  <c r="F629" i="21"/>
  <c r="F628" i="21" s="1"/>
  <c r="F627" i="21" s="1"/>
  <c r="G625" i="21"/>
  <c r="G624" i="21" s="1"/>
  <c r="G623" i="21" s="1"/>
  <c r="G622" i="21" s="1"/>
  <c r="F625" i="21"/>
  <c r="F624" i="21" s="1"/>
  <c r="F623" i="21" s="1"/>
  <c r="F622" i="21" s="1"/>
  <c r="G619" i="21"/>
  <c r="G618" i="21" s="1"/>
  <c r="G617" i="21" s="1"/>
  <c r="G616" i="21" s="1"/>
  <c r="G615" i="21" s="1"/>
  <c r="F619" i="21"/>
  <c r="F618" i="21" s="1"/>
  <c r="F617" i="21" s="1"/>
  <c r="F616" i="21" s="1"/>
  <c r="F615" i="21" s="1"/>
  <c r="G609" i="21"/>
  <c r="G608" i="21" s="1"/>
  <c r="G607" i="21" s="1"/>
  <c r="G606" i="21" s="1"/>
  <c r="F609" i="21"/>
  <c r="F608" i="21" s="1"/>
  <c r="F607" i="21" s="1"/>
  <c r="F606" i="21" s="1"/>
  <c r="G605" i="21"/>
  <c r="G604" i="21" s="1"/>
  <c r="G603" i="21" s="1"/>
  <c r="G602" i="21" s="1"/>
  <c r="G600" i="21"/>
  <c r="G599" i="21" s="1"/>
  <c r="F600" i="21"/>
  <c r="F599" i="21" s="1"/>
  <c r="G598" i="21"/>
  <c r="G597" i="21" s="1"/>
  <c r="G596" i="21" s="1"/>
  <c r="F598" i="21"/>
  <c r="F597" i="21" s="1"/>
  <c r="F596" i="21" s="1"/>
  <c r="F595" i="21" s="1"/>
  <c r="G594" i="21"/>
  <c r="G593" i="21" s="1"/>
  <c r="G592" i="21" s="1"/>
  <c r="G591" i="21" s="1"/>
  <c r="F594" i="21"/>
  <c r="F593" i="21" s="1"/>
  <c r="F592" i="21" s="1"/>
  <c r="F591" i="21" s="1"/>
  <c r="G590" i="21"/>
  <c r="G589" i="21" s="1"/>
  <c r="G588" i="21" s="1"/>
  <c r="G587" i="21" s="1"/>
  <c r="F590" i="21"/>
  <c r="F589" i="21" s="1"/>
  <c r="F588" i="21" s="1"/>
  <c r="F587" i="21" s="1"/>
  <c r="G586" i="21"/>
  <c r="G585" i="21" s="1"/>
  <c r="G584" i="21" s="1"/>
  <c r="F586" i="21"/>
  <c r="F585" i="21" s="1"/>
  <c r="F584" i="21" s="1"/>
  <c r="F583" i="21"/>
  <c r="F582" i="21"/>
  <c r="F581" i="21" s="1"/>
  <c r="F580" i="21" s="1"/>
  <c r="F579" i="21"/>
  <c r="F578" i="21" s="1"/>
  <c r="F577" i="21" s="1"/>
  <c r="F573" i="21"/>
  <c r="F572" i="21" s="1"/>
  <c r="F571" i="21" s="1"/>
  <c r="F570" i="21"/>
  <c r="F569" i="21" s="1"/>
  <c r="F568" i="21" s="1"/>
  <c r="G566" i="21"/>
  <c r="G565" i="21" s="1"/>
  <c r="G564" i="21" s="1"/>
  <c r="F566" i="21"/>
  <c r="F565" i="21" s="1"/>
  <c r="F564" i="21" s="1"/>
  <c r="F563" i="21"/>
  <c r="F562" i="21" s="1"/>
  <c r="F561" i="21" s="1"/>
  <c r="F560" i="21"/>
  <c r="F559" i="21" s="1"/>
  <c r="F558" i="21" s="1"/>
  <c r="G557" i="21"/>
  <c r="G556" i="21" s="1"/>
  <c r="G555" i="21" s="1"/>
  <c r="F557" i="21"/>
  <c r="F556" i="21" s="1"/>
  <c r="F555" i="21" s="1"/>
  <c r="F554" i="21"/>
  <c r="F553" i="21" s="1"/>
  <c r="F552" i="21" s="1"/>
  <c r="G551" i="21"/>
  <c r="G550" i="21" s="1"/>
  <c r="G549" i="21" s="1"/>
  <c r="F551" i="21"/>
  <c r="F550" i="21"/>
  <c r="F549" i="21" s="1"/>
  <c r="G547" i="21"/>
  <c r="G546" i="21" s="1"/>
  <c r="G545" i="21" s="1"/>
  <c r="G544" i="21" s="1"/>
  <c r="F547" i="21"/>
  <c r="F546" i="21" s="1"/>
  <c r="F545" i="21" s="1"/>
  <c r="F544" i="21" s="1"/>
  <c r="G541" i="21"/>
  <c r="G540" i="21" s="1"/>
  <c r="G539" i="21" s="1"/>
  <c r="G538" i="21" s="1"/>
  <c r="G537" i="21" s="1"/>
  <c r="F541" i="21"/>
  <c r="F540" i="21"/>
  <c r="F539" i="21" s="1"/>
  <c r="F538" i="21" s="1"/>
  <c r="F537" i="21" s="1"/>
  <c r="G536" i="21"/>
  <c r="G535" i="21" s="1"/>
  <c r="G534" i="21" s="1"/>
  <c r="G533" i="21" s="1"/>
  <c r="G532" i="21" s="1"/>
  <c r="F536" i="21"/>
  <c r="F535" i="21" s="1"/>
  <c r="F534" i="21" s="1"/>
  <c r="F533" i="21" s="1"/>
  <c r="F532" i="21" s="1"/>
  <c r="G531" i="21"/>
  <c r="G530" i="21"/>
  <c r="G529" i="21" s="1"/>
  <c r="G528" i="21"/>
  <c r="G527" i="21" s="1"/>
  <c r="G526" i="21" s="1"/>
  <c r="F528" i="21"/>
  <c r="F527" i="21" s="1"/>
  <c r="F526" i="21" s="1"/>
  <c r="G524" i="21"/>
  <c r="G523" i="21" s="1"/>
  <c r="G522" i="21" s="1"/>
  <c r="F524" i="21"/>
  <c r="F523" i="21" s="1"/>
  <c r="F522" i="21" s="1"/>
  <c r="F514" i="21"/>
  <c r="F513" i="21" s="1"/>
  <c r="F512" i="21" s="1"/>
  <c r="F507" i="21"/>
  <c r="F506" i="21" s="1"/>
  <c r="F505" i="21" s="1"/>
  <c r="F498" i="21" s="1"/>
  <c r="G497" i="21"/>
  <c r="G496" i="21" s="1"/>
  <c r="G495" i="21" s="1"/>
  <c r="F497" i="21"/>
  <c r="F496" i="21" s="1"/>
  <c r="F495" i="21" s="1"/>
  <c r="G491" i="21"/>
  <c r="F491" i="21"/>
  <c r="F490" i="21" s="1"/>
  <c r="F489" i="21" s="1"/>
  <c r="G490" i="21"/>
  <c r="G489" i="21" s="1"/>
  <c r="F488" i="21"/>
  <c r="F487" i="21" s="1"/>
  <c r="F486" i="21" s="1"/>
  <c r="G484" i="21"/>
  <c r="G483" i="21" s="1"/>
  <c r="G482" i="21" s="1"/>
  <c r="G481" i="21" s="1"/>
  <c r="F484" i="21"/>
  <c r="F483" i="21" s="1"/>
  <c r="F482" i="21" s="1"/>
  <c r="F481" i="21" s="1"/>
  <c r="G477" i="21"/>
  <c r="F477" i="21"/>
  <c r="F476" i="21" s="1"/>
  <c r="F475" i="21" s="1"/>
  <c r="F474" i="21" s="1"/>
  <c r="F473" i="21" s="1"/>
  <c r="G476" i="21"/>
  <c r="G475" i="21" s="1"/>
  <c r="G474" i="21" s="1"/>
  <c r="G473" i="21" s="1"/>
  <c r="F472" i="21"/>
  <c r="F471" i="21" s="1"/>
  <c r="F470" i="21" s="1"/>
  <c r="G469" i="21"/>
  <c r="G468" i="21" s="1"/>
  <c r="F469" i="21"/>
  <c r="F468" i="21" s="1"/>
  <c r="F467" i="21"/>
  <c r="F466" i="21" s="1"/>
  <c r="F465" i="21" s="1"/>
  <c r="F464" i="21" s="1"/>
  <c r="F463" i="21"/>
  <c r="G463" i="21" s="1"/>
  <c r="F462" i="21"/>
  <c r="G462" i="21" s="1"/>
  <c r="F461" i="21"/>
  <c r="G461" i="21" s="1"/>
  <c r="G460" i="21"/>
  <c r="G459" i="21" s="1"/>
  <c r="G458" i="21" s="1"/>
  <c r="F460" i="21"/>
  <c r="F459" i="21" s="1"/>
  <c r="F458" i="21" s="1"/>
  <c r="G455" i="21"/>
  <c r="G454" i="21" s="1"/>
  <c r="G453" i="21" s="1"/>
  <c r="F455" i="21"/>
  <c r="F454" i="21" s="1"/>
  <c r="F453" i="21" s="1"/>
  <c r="F450" i="21"/>
  <c r="F449" i="21" s="1"/>
  <c r="F448" i="21"/>
  <c r="F447" i="21" s="1"/>
  <c r="F442" i="21"/>
  <c r="F441" i="21" s="1"/>
  <c r="F440" i="21" s="1"/>
  <c r="G437" i="21"/>
  <c r="G436" i="21" s="1"/>
  <c r="G435" i="21" s="1"/>
  <c r="F437" i="21"/>
  <c r="F436" i="21"/>
  <c r="F435" i="21" s="1"/>
  <c r="F434" i="21"/>
  <c r="G430" i="21"/>
  <c r="G429" i="21" s="1"/>
  <c r="G428" i="21" s="1"/>
  <c r="F430" i="21"/>
  <c r="F429" i="21" s="1"/>
  <c r="F428" i="21" s="1"/>
  <c r="G427" i="21"/>
  <c r="G426" i="21" s="1"/>
  <c r="G425" i="21" s="1"/>
  <c r="F427" i="21"/>
  <c r="F426" i="21" s="1"/>
  <c r="F425" i="21" s="1"/>
  <c r="G424" i="21"/>
  <c r="G423" i="21" s="1"/>
  <c r="F424" i="21"/>
  <c r="F423" i="21" s="1"/>
  <c r="G422" i="21"/>
  <c r="G421" i="21" s="1"/>
  <c r="G419" i="21"/>
  <c r="G418" i="21" s="1"/>
  <c r="G417" i="21" s="1"/>
  <c r="F419" i="21"/>
  <c r="F418" i="21" s="1"/>
  <c r="F417" i="21" s="1"/>
  <c r="G416" i="21"/>
  <c r="G415" i="21" s="1"/>
  <c r="G414" i="21" s="1"/>
  <c r="F416" i="21"/>
  <c r="F415" i="21" s="1"/>
  <c r="F414" i="21" s="1"/>
  <c r="G413" i="21"/>
  <c r="F413" i="21"/>
  <c r="G412" i="21"/>
  <c r="F412" i="21"/>
  <c r="G411" i="21"/>
  <c r="F411" i="21"/>
  <c r="G410" i="21"/>
  <c r="G409" i="21" s="1"/>
  <c r="G408" i="21" s="1"/>
  <c r="F410" i="21"/>
  <c r="F409" i="21" s="1"/>
  <c r="F408" i="21" s="1"/>
  <c r="G407" i="21"/>
  <c r="F407" i="21"/>
  <c r="F406" i="21" s="1"/>
  <c r="F405" i="21" s="1"/>
  <c r="G406" i="21"/>
  <c r="G405" i="21" s="1"/>
  <c r="G403" i="21"/>
  <c r="F403" i="21"/>
  <c r="F402" i="21" s="1"/>
  <c r="F401" i="21" s="1"/>
  <c r="F400" i="21" s="1"/>
  <c r="G402" i="21"/>
  <c r="G401" i="21" s="1"/>
  <c r="G400" i="21" s="1"/>
  <c r="G392" i="21"/>
  <c r="G391" i="21" s="1"/>
  <c r="G390" i="21" s="1"/>
  <c r="G389" i="21" s="1"/>
  <c r="G388" i="21" s="1"/>
  <c r="F392" i="21"/>
  <c r="F391" i="21" s="1"/>
  <c r="F390" i="21" s="1"/>
  <c r="F389" i="21" s="1"/>
  <c r="F388" i="21" s="1"/>
  <c r="F387" i="21"/>
  <c r="G387" i="21" s="1"/>
  <c r="F386" i="21"/>
  <c r="G386" i="21" s="1"/>
  <c r="F385" i="21"/>
  <c r="F383" i="21"/>
  <c r="G383" i="21" s="1"/>
  <c r="F382" i="21"/>
  <c r="G382" i="21" s="1"/>
  <c r="F381" i="21"/>
  <c r="F379" i="21"/>
  <c r="G379" i="21" s="1"/>
  <c r="F378" i="21"/>
  <c r="G378" i="21" s="1"/>
  <c r="F377" i="21"/>
  <c r="F375" i="21"/>
  <c r="G375" i="21" s="1"/>
  <c r="F374" i="21"/>
  <c r="G374" i="21" s="1"/>
  <c r="F373" i="21"/>
  <c r="F371" i="21"/>
  <c r="G371" i="21" s="1"/>
  <c r="F370" i="21"/>
  <c r="G370" i="21" s="1"/>
  <c r="F369" i="21"/>
  <c r="F367" i="21"/>
  <c r="G367" i="21" s="1"/>
  <c r="F366" i="21"/>
  <c r="G366" i="21" s="1"/>
  <c r="F365" i="21"/>
  <c r="G365" i="21" s="1"/>
  <c r="G364" i="21" s="1"/>
  <c r="G363" i="21"/>
  <c r="G362" i="21" s="1"/>
  <c r="G361" i="21" s="1"/>
  <c r="G360" i="21" s="1"/>
  <c r="F363" i="21"/>
  <c r="F362" i="21" s="1"/>
  <c r="F361" i="21" s="1"/>
  <c r="F360" i="21" s="1"/>
  <c r="F358" i="21"/>
  <c r="G358" i="21" s="1"/>
  <c r="F357" i="21"/>
  <c r="G357" i="21" s="1"/>
  <c r="F356" i="21"/>
  <c r="G356" i="21" s="1"/>
  <c r="F355" i="21"/>
  <c r="G355" i="21" s="1"/>
  <c r="F354" i="21"/>
  <c r="G354" i="21" s="1"/>
  <c r="F353" i="21"/>
  <c r="G353" i="21" s="1"/>
  <c r="F352" i="21"/>
  <c r="G352" i="21" s="1"/>
  <c r="F351" i="21"/>
  <c r="G351" i="21" s="1"/>
  <c r="F350" i="21"/>
  <c r="G350" i="21" s="1"/>
  <c r="F349" i="21"/>
  <c r="G349" i="21" s="1"/>
  <c r="F348" i="21"/>
  <c r="G348" i="21" s="1"/>
  <c r="F347" i="21"/>
  <c r="G347" i="21" s="1"/>
  <c r="F346" i="21"/>
  <c r="G346" i="21" s="1"/>
  <c r="F345" i="21"/>
  <c r="G345" i="21" s="1"/>
  <c r="F344" i="21"/>
  <c r="G344" i="21" s="1"/>
  <c r="F343" i="21"/>
  <c r="G343" i="21" s="1"/>
  <c r="F341" i="21"/>
  <c r="G341" i="21" s="1"/>
  <c r="F340" i="21"/>
  <c r="G340" i="21" s="1"/>
  <c r="G339" i="21"/>
  <c r="G338" i="21" s="1"/>
  <c r="G337" i="21" s="1"/>
  <c r="F339" i="21"/>
  <c r="F338" i="21" s="1"/>
  <c r="F337" i="21" s="1"/>
  <c r="F336" i="21"/>
  <c r="F335" i="21" s="1"/>
  <c r="G335" i="21" s="1"/>
  <c r="F334" i="21"/>
  <c r="F328" i="21"/>
  <c r="F327" i="21" s="1"/>
  <c r="F326" i="21" s="1"/>
  <c r="F325" i="21"/>
  <c r="F324" i="21" s="1"/>
  <c r="F323" i="21" s="1"/>
  <c r="F322" i="21"/>
  <c r="G322" i="21" s="1"/>
  <c r="F321" i="21"/>
  <c r="G321" i="21" s="1"/>
  <c r="F320" i="21"/>
  <c r="G320" i="21" s="1"/>
  <c r="F319" i="21"/>
  <c r="G319" i="21" s="1"/>
  <c r="F318" i="21"/>
  <c r="G318" i="21" s="1"/>
  <c r="G313" i="21"/>
  <c r="G312" i="21" s="1"/>
  <c r="G311" i="21" s="1"/>
  <c r="G310" i="21" s="1"/>
  <c r="G309" i="21" s="1"/>
  <c r="F313" i="21"/>
  <c r="F312" i="21" s="1"/>
  <c r="F311" i="21" s="1"/>
  <c r="F310" i="21" s="1"/>
  <c r="F309" i="21" s="1"/>
  <c r="G308" i="21"/>
  <c r="G307" i="21" s="1"/>
  <c r="G306" i="21" s="1"/>
  <c r="G305" i="21" s="1"/>
  <c r="F308" i="21"/>
  <c r="F307" i="21" s="1"/>
  <c r="F306" i="21" s="1"/>
  <c r="F305" i="21" s="1"/>
  <c r="F304" i="21"/>
  <c r="G304" i="21" s="1"/>
  <c r="F303" i="21"/>
  <c r="G303" i="21" s="1"/>
  <c r="F302" i="21"/>
  <c r="G302" i="21" s="1"/>
  <c r="G301" i="21" s="1"/>
  <c r="F296" i="21"/>
  <c r="G296" i="21" s="1"/>
  <c r="F295" i="21"/>
  <c r="G295" i="21" s="1"/>
  <c r="F294" i="21"/>
  <c r="G294" i="21" s="1"/>
  <c r="G293" i="21" s="1"/>
  <c r="F293" i="21"/>
  <c r="G290" i="21"/>
  <c r="G289" i="21" s="1"/>
  <c r="F288" i="21"/>
  <c r="F287" i="21" s="1"/>
  <c r="F282" i="21"/>
  <c r="G282" i="21" s="1"/>
  <c r="F281" i="21"/>
  <c r="G281" i="21" s="1"/>
  <c r="F280" i="21"/>
  <c r="F279" i="21" s="1"/>
  <c r="G278" i="21"/>
  <c r="G277" i="21" s="1"/>
  <c r="F278" i="21"/>
  <c r="F277" i="21" s="1"/>
  <c r="G274" i="21"/>
  <c r="G273" i="21" s="1"/>
  <c r="G272" i="21" s="1"/>
  <c r="G271" i="21" s="1"/>
  <c r="F274" i="21"/>
  <c r="F273" i="21" s="1"/>
  <c r="F272" i="21" s="1"/>
  <c r="F271" i="21" s="1"/>
  <c r="G268" i="21"/>
  <c r="G267" i="21" s="1"/>
  <c r="G266" i="21" s="1"/>
  <c r="G265" i="21" s="1"/>
  <c r="G264" i="21" s="1"/>
  <c r="G263" i="21" s="1"/>
  <c r="F268" i="21"/>
  <c r="F267" i="21"/>
  <c r="F266" i="21" s="1"/>
  <c r="F265" i="21" s="1"/>
  <c r="F264" i="21" s="1"/>
  <c r="F263" i="21" s="1"/>
  <c r="G262" i="21"/>
  <c r="G261" i="21" s="1"/>
  <c r="G260" i="21" s="1"/>
  <c r="G259" i="21" s="1"/>
  <c r="F262" i="21"/>
  <c r="F261" i="21" s="1"/>
  <c r="F260" i="21" s="1"/>
  <c r="F259" i="21" s="1"/>
  <c r="G258" i="21"/>
  <c r="G257" i="21" s="1"/>
  <c r="G256" i="21" s="1"/>
  <c r="F258" i="21"/>
  <c r="F257" i="21" s="1"/>
  <c r="F256" i="21" s="1"/>
  <c r="F255" i="21"/>
  <c r="F254" i="21" s="1"/>
  <c r="F253" i="21" s="1"/>
  <c r="F243" i="21"/>
  <c r="F242" i="21" s="1"/>
  <c r="F236" i="21"/>
  <c r="F235" i="21" s="1"/>
  <c r="F234" i="21" s="1"/>
  <c r="F229" i="21"/>
  <c r="G229" i="21" s="1"/>
  <c r="F228" i="21"/>
  <c r="G228" i="21" s="1"/>
  <c r="F227" i="21"/>
  <c r="G227" i="21" s="1"/>
  <c r="G226" i="21" s="1"/>
  <c r="G225" i="21" s="1"/>
  <c r="G224" i="21" s="1"/>
  <c r="G223" i="21" s="1"/>
  <c r="G222" i="21"/>
  <c r="G221" i="21" s="1"/>
  <c r="G220" i="21" s="1"/>
  <c r="G219" i="21" s="1"/>
  <c r="G218" i="21" s="1"/>
  <c r="F222" i="21"/>
  <c r="F221" i="21"/>
  <c r="F220" i="21" s="1"/>
  <c r="F219" i="21" s="1"/>
  <c r="F218" i="21" s="1"/>
  <c r="G217" i="21"/>
  <c r="G216" i="21" s="1"/>
  <c r="G215" i="21" s="1"/>
  <c r="G214" i="21" s="1"/>
  <c r="G213" i="21" s="1"/>
  <c r="F217" i="21"/>
  <c r="F216" i="21" s="1"/>
  <c r="F215" i="21" s="1"/>
  <c r="F214" i="21" s="1"/>
  <c r="F213" i="21" s="1"/>
  <c r="G212" i="21"/>
  <c r="G211" i="21" s="1"/>
  <c r="G210" i="21" s="1"/>
  <c r="F212" i="21"/>
  <c r="F211" i="21" s="1"/>
  <c r="F210" i="21" s="1"/>
  <c r="F207" i="21"/>
  <c r="F206" i="21" s="1"/>
  <c r="F205" i="21" s="1"/>
  <c r="F204" i="21" s="1"/>
  <c r="F198" i="21"/>
  <c r="F197" i="21" s="1"/>
  <c r="F196" i="21" s="1"/>
  <c r="G192" i="21"/>
  <c r="G191" i="21" s="1"/>
  <c r="G190" i="21" s="1"/>
  <c r="F192" i="21"/>
  <c r="F191" i="21" s="1"/>
  <c r="F190" i="21" s="1"/>
  <c r="G189" i="21"/>
  <c r="G188" i="21" s="1"/>
  <c r="G187" i="21" s="1"/>
  <c r="F189" i="21"/>
  <c r="F188" i="21" s="1"/>
  <c r="F187" i="21" s="1"/>
  <c r="G186" i="21"/>
  <c r="G185" i="21" s="1"/>
  <c r="G184" i="21" s="1"/>
  <c r="G181" i="21"/>
  <c r="G178" i="21" s="1"/>
  <c r="F181" i="21"/>
  <c r="F180" i="21" s="1"/>
  <c r="F179" i="21" s="1"/>
  <c r="F177" i="21" s="1"/>
  <c r="F176" i="21"/>
  <c r="G176" i="21" s="1"/>
  <c r="F175" i="21"/>
  <c r="G175" i="21" s="1"/>
  <c r="F174" i="21"/>
  <c r="G174" i="21" s="1"/>
  <c r="G173" i="21"/>
  <c r="G172" i="21" s="1"/>
  <c r="G171" i="21" s="1"/>
  <c r="G170" i="21" s="1"/>
  <c r="G169" i="21" s="1"/>
  <c r="G168" i="21" s="1"/>
  <c r="F173" i="21"/>
  <c r="F172" i="21" s="1"/>
  <c r="F171" i="21" s="1"/>
  <c r="F170" i="21" s="1"/>
  <c r="F169" i="21" s="1"/>
  <c r="F168" i="21" s="1"/>
  <c r="G167" i="21"/>
  <c r="G166" i="21" s="1"/>
  <c r="G165" i="21" s="1"/>
  <c r="F167" i="21"/>
  <c r="F166" i="21" s="1"/>
  <c r="F165" i="21" s="1"/>
  <c r="G164" i="21"/>
  <c r="G163" i="21" s="1"/>
  <c r="F164" i="21"/>
  <c r="F163" i="21" s="1"/>
  <c r="F162" i="21"/>
  <c r="F161" i="21" s="1"/>
  <c r="G158" i="21"/>
  <c r="G157" i="21" s="1"/>
  <c r="G156" i="21" s="1"/>
  <c r="F158" i="21"/>
  <c r="F157" i="21" s="1"/>
  <c r="F156" i="21" s="1"/>
  <c r="F155" i="21"/>
  <c r="G155" i="21" s="1"/>
  <c r="F154" i="21"/>
  <c r="G154" i="21" s="1"/>
  <c r="F153" i="21"/>
  <c r="G153" i="21" s="1"/>
  <c r="F152" i="21"/>
  <c r="F151" i="21" s="1"/>
  <c r="F150" i="21" s="1"/>
  <c r="F146" i="21"/>
  <c r="F145" i="21" s="1"/>
  <c r="G144" i="21"/>
  <c r="G143" i="21" s="1"/>
  <c r="F144" i="21"/>
  <c r="F143" i="21" s="1"/>
  <c r="G141" i="21"/>
  <c r="G140" i="21" s="1"/>
  <c r="G139" i="21" s="1"/>
  <c r="F141" i="21"/>
  <c r="F140" i="21" s="1"/>
  <c r="F139" i="21" s="1"/>
  <c r="G135" i="21"/>
  <c r="G134" i="21" s="1"/>
  <c r="F135" i="21"/>
  <c r="F134" i="21" s="1"/>
  <c r="G133" i="21"/>
  <c r="G132" i="21" s="1"/>
  <c r="F133" i="21"/>
  <c r="F132" i="21"/>
  <c r="G127" i="21"/>
  <c r="G126" i="21" s="1"/>
  <c r="G125" i="21" s="1"/>
  <c r="F127" i="21"/>
  <c r="F126" i="21" s="1"/>
  <c r="F125" i="21" s="1"/>
  <c r="G124" i="21"/>
  <c r="F124" i="21"/>
  <c r="F123" i="21" s="1"/>
  <c r="G123" i="21"/>
  <c r="G122" i="21"/>
  <c r="G121" i="21" s="1"/>
  <c r="F122" i="21"/>
  <c r="F121" i="21" s="1"/>
  <c r="G120" i="21"/>
  <c r="G119" i="21" s="1"/>
  <c r="F120" i="21"/>
  <c r="F119" i="21" s="1"/>
  <c r="G116" i="21"/>
  <c r="G115" i="21" s="1"/>
  <c r="G114" i="21" s="1"/>
  <c r="F116" i="21"/>
  <c r="F115" i="21" s="1"/>
  <c r="F114" i="21" s="1"/>
  <c r="F111" i="21"/>
  <c r="F110" i="21" s="1"/>
  <c r="G101" i="21"/>
  <c r="G100" i="21" s="1"/>
  <c r="G99" i="21" s="1"/>
  <c r="F101" i="21"/>
  <c r="F100" i="21" s="1"/>
  <c r="F99" i="21" s="1"/>
  <c r="G98" i="21"/>
  <c r="G97" i="21" s="1"/>
  <c r="G96" i="21" s="1"/>
  <c r="F98" i="21"/>
  <c r="F97" i="21" s="1"/>
  <c r="F96" i="21" s="1"/>
  <c r="G89" i="21"/>
  <c r="G88" i="21" s="1"/>
  <c r="G87" i="21" s="1"/>
  <c r="G86" i="21" s="1"/>
  <c r="F89" i="21"/>
  <c r="F88" i="21" s="1"/>
  <c r="F87" i="21" s="1"/>
  <c r="F86" i="21" s="1"/>
  <c r="G84" i="21"/>
  <c r="G83" i="21" s="1"/>
  <c r="G82" i="21" s="1"/>
  <c r="F84" i="21"/>
  <c r="F83" i="21" s="1"/>
  <c r="F82" i="21" s="1"/>
  <c r="G81" i="21"/>
  <c r="G80" i="21" s="1"/>
  <c r="F81" i="21"/>
  <c r="F80" i="21" s="1"/>
  <c r="G79" i="21"/>
  <c r="G78" i="21" s="1"/>
  <c r="F79" i="21"/>
  <c r="F78" i="21" s="1"/>
  <c r="F74" i="21"/>
  <c r="F73" i="21" s="1"/>
  <c r="G71" i="21"/>
  <c r="F71" i="21"/>
  <c r="G70" i="21"/>
  <c r="F70" i="21"/>
  <c r="G69" i="21"/>
  <c r="F69" i="21"/>
  <c r="G68" i="21"/>
  <c r="G67" i="21" s="1"/>
  <c r="F68" i="21"/>
  <c r="F67" i="21" s="1"/>
  <c r="G66" i="21"/>
  <c r="G65" i="21" s="1"/>
  <c r="G64" i="21" s="1"/>
  <c r="F66" i="21"/>
  <c r="F65" i="21" s="1"/>
  <c r="F64" i="21" s="1"/>
  <c r="H62" i="21"/>
  <c r="F62" i="21"/>
  <c r="F61" i="21" s="1"/>
  <c r="F60" i="21" s="1"/>
  <c r="F59" i="21"/>
  <c r="F58" i="21" s="1"/>
  <c r="F57" i="21" s="1"/>
  <c r="F56" i="21"/>
  <c r="F55" i="21" s="1"/>
  <c r="G54" i="21"/>
  <c r="F54" i="21"/>
  <c r="F53" i="21" s="1"/>
  <c r="G53" i="21"/>
  <c r="H46" i="21"/>
  <c r="F44" i="21"/>
  <c r="G44" i="21" s="1"/>
  <c r="F43" i="21"/>
  <c r="G43" i="21" s="1"/>
  <c r="F42" i="21"/>
  <c r="G42" i="21" s="1"/>
  <c r="F41" i="21"/>
  <c r="F40" i="21" s="1"/>
  <c r="G39" i="21"/>
  <c r="G38" i="21" s="1"/>
  <c r="F39" i="21"/>
  <c r="F38" i="21"/>
  <c r="G36" i="21"/>
  <c r="G35" i="21" s="1"/>
  <c r="F36" i="21"/>
  <c r="F35" i="21" s="1"/>
  <c r="G34" i="21"/>
  <c r="F34" i="21"/>
  <c r="F33" i="21" s="1"/>
  <c r="F32" i="21" s="1"/>
  <c r="G33" i="21"/>
  <c r="G32" i="21" s="1"/>
  <c r="G28" i="21"/>
  <c r="G27" i="21" s="1"/>
  <c r="G26" i="21" s="1"/>
  <c r="F28" i="21"/>
  <c r="F27" i="21"/>
  <c r="F26" i="21" s="1"/>
  <c r="G25" i="21"/>
  <c r="G24" i="21" s="1"/>
  <c r="G23" i="21" s="1"/>
  <c r="F20" i="21"/>
  <c r="F19" i="21" s="1"/>
  <c r="F18" i="21" s="1"/>
  <c r="G18" i="21" s="1"/>
  <c r="G17" i="21"/>
  <c r="G16" i="21" s="1"/>
  <c r="F17" i="21"/>
  <c r="F16" i="21" s="1"/>
  <c r="G15" i="21"/>
  <c r="F15" i="21"/>
  <c r="F14" i="21" s="1"/>
  <c r="G14" i="21"/>
  <c r="G13" i="21" s="1"/>
  <c r="G8" i="21"/>
  <c r="D44" i="20"/>
  <c r="D42" i="20"/>
  <c r="E19" i="20"/>
  <c r="D19" i="20"/>
  <c r="E18" i="20"/>
  <c r="D18" i="20"/>
  <c r="D151" i="19"/>
  <c r="D150" i="19" s="1"/>
  <c r="D149" i="19" s="1"/>
  <c r="C151" i="19"/>
  <c r="C150" i="19" s="1"/>
  <c r="C149" i="19" s="1"/>
  <c r="C148" i="19"/>
  <c r="D148" i="19" s="1"/>
  <c r="C147" i="19"/>
  <c r="D147" i="19" s="1"/>
  <c r="C146" i="19"/>
  <c r="F143" i="19"/>
  <c r="E143" i="19"/>
  <c r="D142" i="19"/>
  <c r="D141" i="19" s="1"/>
  <c r="C142" i="19"/>
  <c r="C141" i="19" s="1"/>
  <c r="D139" i="19"/>
  <c r="C139" i="19"/>
  <c r="F138" i="19"/>
  <c r="E138" i="19"/>
  <c r="D137" i="19"/>
  <c r="C137" i="19"/>
  <c r="D136" i="19"/>
  <c r="F135" i="19"/>
  <c r="E135" i="19"/>
  <c r="D135" i="19"/>
  <c r="E134" i="19"/>
  <c r="D134" i="19"/>
  <c r="C133" i="19"/>
  <c r="F132" i="19"/>
  <c r="E132" i="19"/>
  <c r="F131" i="19"/>
  <c r="E131" i="19"/>
  <c r="F130" i="19"/>
  <c r="E130" i="19"/>
  <c r="C129" i="19"/>
  <c r="D129" i="19" s="1"/>
  <c r="F128" i="19"/>
  <c r="E128" i="19"/>
  <c r="F127" i="19"/>
  <c r="E127" i="19"/>
  <c r="C127" i="19"/>
  <c r="D127" i="19" s="1"/>
  <c r="C125" i="19"/>
  <c r="C124" i="19" s="1"/>
  <c r="D124" i="19"/>
  <c r="E121" i="19"/>
  <c r="C121" i="19"/>
  <c r="D121" i="19" s="1"/>
  <c r="D120" i="19"/>
  <c r="F119" i="19"/>
  <c r="E119" i="19"/>
  <c r="F118" i="19"/>
  <c r="E118" i="19"/>
  <c r="F113" i="19"/>
  <c r="E113" i="19"/>
  <c r="F112" i="19"/>
  <c r="E112" i="19"/>
  <c r="F110" i="19"/>
  <c r="E110" i="19"/>
  <c r="F109" i="19"/>
  <c r="E109" i="19"/>
  <c r="F108" i="19"/>
  <c r="E108" i="19"/>
  <c r="F107" i="19"/>
  <c r="E107" i="19"/>
  <c r="F104" i="19"/>
  <c r="E104" i="19"/>
  <c r="D103" i="19"/>
  <c r="D99" i="19" s="1"/>
  <c r="D98" i="19" s="1"/>
  <c r="F102" i="19"/>
  <c r="E102" i="19"/>
  <c r="F101" i="19"/>
  <c r="E101" i="19"/>
  <c r="F100" i="19"/>
  <c r="E100" i="19"/>
  <c r="C99" i="19"/>
  <c r="C98" i="19" s="1"/>
  <c r="D96" i="19"/>
  <c r="C96" i="19"/>
  <c r="D94" i="19"/>
  <c r="C94" i="19"/>
  <c r="D92" i="19"/>
  <c r="C92" i="19"/>
  <c r="E91" i="19"/>
  <c r="D90" i="19"/>
  <c r="C90" i="19"/>
  <c r="E89" i="19"/>
  <c r="D88" i="19"/>
  <c r="C88" i="19"/>
  <c r="D86" i="19"/>
  <c r="C86" i="19"/>
  <c r="F85" i="19"/>
  <c r="E85" i="19"/>
  <c r="D84" i="19"/>
  <c r="C84" i="19"/>
  <c r="D82" i="19"/>
  <c r="C82" i="19"/>
  <c r="D79" i="19"/>
  <c r="C79" i="19"/>
  <c r="D77" i="19"/>
  <c r="C77" i="19"/>
  <c r="D76" i="19"/>
  <c r="D72" i="19"/>
  <c r="D71" i="19" s="1"/>
  <c r="C72" i="19"/>
  <c r="C71" i="19" s="1"/>
  <c r="D69" i="19"/>
  <c r="C69" i="19"/>
  <c r="D67" i="19"/>
  <c r="C67" i="19"/>
  <c r="D65" i="19"/>
  <c r="D64" i="19" s="1"/>
  <c r="D63" i="19" s="1"/>
  <c r="C65" i="19"/>
  <c r="C64" i="19" s="1"/>
  <c r="C63" i="19" s="1"/>
  <c r="D61" i="19"/>
  <c r="C61" i="19"/>
  <c r="D59" i="19"/>
  <c r="D58" i="19" s="1"/>
  <c r="C59" i="19"/>
  <c r="D56" i="19"/>
  <c r="C56" i="19"/>
  <c r="D55" i="19"/>
  <c r="C55" i="19"/>
  <c r="D53" i="19"/>
  <c r="D52" i="19" s="1"/>
  <c r="D49" i="19" s="1"/>
  <c r="D48" i="19" s="1"/>
  <c r="K48" i="19" s="1"/>
  <c r="C53" i="19"/>
  <c r="C52" i="19"/>
  <c r="C49" i="19" s="1"/>
  <c r="C48" i="19" s="1"/>
  <c r="I48" i="19" s="1"/>
  <c r="D46" i="19"/>
  <c r="C46" i="19"/>
  <c r="D44" i="19"/>
  <c r="D43" i="19" s="1"/>
  <c r="D42" i="19" s="1"/>
  <c r="K42" i="19" s="1"/>
  <c r="C44" i="19"/>
  <c r="C43" i="19" s="1"/>
  <c r="C42" i="19" s="1"/>
  <c r="I42" i="19" s="1"/>
  <c r="D40" i="19"/>
  <c r="D39" i="19" s="1"/>
  <c r="C40" i="19"/>
  <c r="C39" i="19" s="1"/>
  <c r="D37" i="19"/>
  <c r="C37" i="19"/>
  <c r="D35" i="19"/>
  <c r="C35" i="19"/>
  <c r="D32" i="19"/>
  <c r="C32" i="19"/>
  <c r="D29" i="19"/>
  <c r="C29" i="19"/>
  <c r="D27" i="19"/>
  <c r="C27" i="19"/>
  <c r="D26" i="19"/>
  <c r="D25" i="19" s="1"/>
  <c r="C26" i="19"/>
  <c r="C25" i="19" s="1"/>
  <c r="D23" i="19"/>
  <c r="C23" i="19"/>
  <c r="C22" i="19" s="1"/>
  <c r="D20" i="19"/>
  <c r="C20" i="19"/>
  <c r="D18" i="19"/>
  <c r="D17" i="19" s="1"/>
  <c r="D16" i="19" s="1"/>
  <c r="K16" i="19" s="1"/>
  <c r="C18" i="19"/>
  <c r="C17" i="19" s="1"/>
  <c r="C16" i="19" s="1"/>
  <c r="I16" i="19" s="1"/>
  <c r="D11" i="19"/>
  <c r="D10" i="19" s="1"/>
  <c r="C11" i="19"/>
  <c r="C10" i="19" s="1"/>
  <c r="G297" i="22" l="1"/>
  <c r="G296" i="22" s="1"/>
  <c r="G302" i="22"/>
  <c r="H460" i="22"/>
  <c r="H459" i="22" s="1"/>
  <c r="G496" i="22"/>
  <c r="G1025" i="22"/>
  <c r="G1024" i="22" s="1"/>
  <c r="G183" i="23"/>
  <c r="G182" i="23" s="1"/>
  <c r="G349" i="23"/>
  <c r="G348" i="23" s="1"/>
  <c r="G347" i="23" s="1"/>
  <c r="G346" i="23" s="1"/>
  <c r="G519" i="23"/>
  <c r="G621" i="23"/>
  <c r="F614" i="21" s="1"/>
  <c r="F613" i="21" s="1"/>
  <c r="F612" i="21" s="1"/>
  <c r="F611" i="21" s="1"/>
  <c r="F610" i="21" s="1"/>
  <c r="G774" i="23"/>
  <c r="G866" i="23"/>
  <c r="G865" i="23" s="1"/>
  <c r="G864" i="23" s="1"/>
  <c r="G863" i="23" s="1"/>
  <c r="D34" i="19"/>
  <c r="K34" i="19" s="1"/>
  <c r="H81" i="22"/>
  <c r="H80" i="22" s="1"/>
  <c r="G146" i="22"/>
  <c r="G738" i="22"/>
  <c r="G737" i="22" s="1"/>
  <c r="G780" i="22"/>
  <c r="G779" i="22" s="1"/>
  <c r="G778" i="22" s="1"/>
  <c r="H805" i="22"/>
  <c r="H804" i="22" s="1"/>
  <c r="H943" i="22"/>
  <c r="H752" i="23" s="1"/>
  <c r="G991" i="22"/>
  <c r="H1007" i="22"/>
  <c r="G124" i="23"/>
  <c r="G145" i="23"/>
  <c r="G144" i="23" s="1"/>
  <c r="G143" i="23" s="1"/>
  <c r="G77" i="21"/>
  <c r="H496" i="22"/>
  <c r="H493" i="22" s="1"/>
  <c r="H492" i="22" s="1"/>
  <c r="H491" i="22" s="1"/>
  <c r="H490" i="22" s="1"/>
  <c r="G52" i="21"/>
  <c r="G51" i="21" s="1"/>
  <c r="F745" i="21"/>
  <c r="F744" i="21" s="1"/>
  <c r="F626" i="21"/>
  <c r="F121" i="19"/>
  <c r="F50" i="21"/>
  <c r="F49" i="21" s="1"/>
  <c r="G56" i="21"/>
  <c r="G55" i="21" s="1"/>
  <c r="G74" i="21"/>
  <c r="G73" i="21" s="1"/>
  <c r="G111" i="21"/>
  <c r="G110" i="21" s="1"/>
  <c r="F186" i="21"/>
  <c r="F185" i="21" s="1"/>
  <c r="F184" i="21" s="1"/>
  <c r="G198" i="21"/>
  <c r="G197" i="21" s="1"/>
  <c r="G196" i="21" s="1"/>
  <c r="F239" i="21"/>
  <c r="F238" i="21" s="1"/>
  <c r="F237" i="21" s="1"/>
  <c r="F233" i="21" s="1"/>
  <c r="F232" i="21" s="1"/>
  <c r="F231" i="21" s="1"/>
  <c r="G514" i="21"/>
  <c r="G513" i="21" s="1"/>
  <c r="G512" i="21" s="1"/>
  <c r="G560" i="21"/>
  <c r="G559" i="21" s="1"/>
  <c r="G558" i="21" s="1"/>
  <c r="F675" i="21"/>
  <c r="F674" i="21" s="1"/>
  <c r="F673" i="21" s="1"/>
  <c r="F695" i="21"/>
  <c r="F694" i="21" s="1"/>
  <c r="F693" i="21" s="1"/>
  <c r="G749" i="21"/>
  <c r="G748" i="21" s="1"/>
  <c r="G745" i="21" s="1"/>
  <c r="G744" i="21" s="1"/>
  <c r="F862" i="21"/>
  <c r="F861" i="21" s="1"/>
  <c r="F860" i="21" s="1"/>
  <c r="F859" i="21" s="1"/>
  <c r="F858" i="21" s="1"/>
  <c r="G884" i="21"/>
  <c r="G883" i="21" s="1"/>
  <c r="G882" i="21" s="1"/>
  <c r="G881" i="21" s="1"/>
  <c r="G880" i="21" s="1"/>
  <c r="H181" i="22"/>
  <c r="H180" i="22" s="1"/>
  <c r="H179" i="22" s="1"/>
  <c r="H230" i="22"/>
  <c r="G252" i="22"/>
  <c r="G251" i="22" s="1"/>
  <c r="G1144" i="22" s="1"/>
  <c r="H326" i="22"/>
  <c r="H325" i="22" s="1"/>
  <c r="H343" i="22"/>
  <c r="H37" i="23" s="1"/>
  <c r="H574" i="22"/>
  <c r="H224" i="23" s="1"/>
  <c r="H223" i="23" s="1"/>
  <c r="H222" i="23" s="1"/>
  <c r="H736" i="22"/>
  <c r="H792" i="22"/>
  <c r="G1060" i="22"/>
  <c r="G1059" i="22" s="1"/>
  <c r="H108" i="23"/>
  <c r="G363" i="23"/>
  <c r="G424" i="23"/>
  <c r="G543" i="23"/>
  <c r="H604" i="23"/>
  <c r="H610" i="23"/>
  <c r="H616" i="23"/>
  <c r="E97" i="19"/>
  <c r="E136" i="19"/>
  <c r="C145" i="19"/>
  <c r="C144" i="19" s="1"/>
  <c r="F52" i="21"/>
  <c r="F51" i="21" s="1"/>
  <c r="F76" i="21"/>
  <c r="F75" i="21" s="1"/>
  <c r="F72" i="21" s="1"/>
  <c r="G118" i="21"/>
  <c r="G117" i="21" s="1"/>
  <c r="F131" i="21"/>
  <c r="F130" i="21" s="1"/>
  <c r="F129" i="21" s="1"/>
  <c r="F128" i="21" s="1"/>
  <c r="D16" i="20" s="1"/>
  <c r="F203" i="21"/>
  <c r="F202" i="21" s="1"/>
  <c r="F276" i="21"/>
  <c r="F275" i="21" s="1"/>
  <c r="F270" i="21" s="1"/>
  <c r="F269" i="21" s="1"/>
  <c r="D25" i="20" s="1"/>
  <c r="F290" i="21"/>
  <c r="F289" i="21" s="1"/>
  <c r="F286" i="21" s="1"/>
  <c r="F285" i="21" s="1"/>
  <c r="F284" i="21" s="1"/>
  <c r="F300" i="21"/>
  <c r="F299" i="21" s="1"/>
  <c r="F298" i="21" s="1"/>
  <c r="F297" i="21" s="1"/>
  <c r="G336" i="21"/>
  <c r="G467" i="21"/>
  <c r="G466" i="21" s="1"/>
  <c r="G472" i="21"/>
  <c r="G471" i="21" s="1"/>
  <c r="G470" i="21" s="1"/>
  <c r="G488" i="21"/>
  <c r="G487" i="21" s="1"/>
  <c r="G486" i="21" s="1"/>
  <c r="F501" i="21"/>
  <c r="F500" i="21" s="1"/>
  <c r="F499" i="21" s="1"/>
  <c r="F517" i="21"/>
  <c r="F516" i="21" s="1"/>
  <c r="F515" i="21" s="1"/>
  <c r="F576" i="21"/>
  <c r="F575" i="21" s="1"/>
  <c r="F574" i="21" s="1"/>
  <c r="G648" i="21"/>
  <c r="G647" i="21" s="1"/>
  <c r="F717" i="21"/>
  <c r="F716" i="21" s="1"/>
  <c r="F715" i="21" s="1"/>
  <c r="G879" i="21"/>
  <c r="G878" i="21" s="1"/>
  <c r="F934" i="21"/>
  <c r="H83" i="22"/>
  <c r="G125" i="22"/>
  <c r="G124" i="22" s="1"/>
  <c r="G123" i="22" s="1"/>
  <c r="G122" i="22" s="1"/>
  <c r="G133" i="22"/>
  <c r="G194" i="22"/>
  <c r="G193" i="22" s="1"/>
  <c r="G1142" i="22" s="1"/>
  <c r="G208" i="22"/>
  <c r="H216" i="22"/>
  <c r="H215" i="22" s="1"/>
  <c r="H214" i="22" s="1"/>
  <c r="H213" i="22" s="1"/>
  <c r="H1134" i="22" s="1"/>
  <c r="G229" i="22"/>
  <c r="G228" i="22" s="1"/>
  <c r="G227" i="22" s="1"/>
  <c r="G226" i="22" s="1"/>
  <c r="G225" i="22" s="1"/>
  <c r="G237" i="22"/>
  <c r="H303" i="22"/>
  <c r="H476" i="23" s="1"/>
  <c r="G325" i="22"/>
  <c r="G324" i="22" s="1"/>
  <c r="H324" i="22" s="1"/>
  <c r="G378" i="22"/>
  <c r="H392" i="22"/>
  <c r="H428" i="22"/>
  <c r="H630" i="22"/>
  <c r="G563" i="21" s="1"/>
  <c r="G562" i="21" s="1"/>
  <c r="G561" i="21" s="1"/>
  <c r="H927" i="22"/>
  <c r="H724" i="23" s="1"/>
  <c r="H723" i="23" s="1"/>
  <c r="H722" i="23" s="1"/>
  <c r="H721" i="23" s="1"/>
  <c r="H720" i="23" s="1"/>
  <c r="H719" i="23" s="1"/>
  <c r="H931" i="22"/>
  <c r="H731" i="23" s="1"/>
  <c r="H730" i="23" s="1"/>
  <c r="H729" i="23" s="1"/>
  <c r="H728" i="23" s="1"/>
  <c r="H727" i="23" s="1"/>
  <c r="H726" i="23" s="1"/>
  <c r="G1051" i="22"/>
  <c r="G1050" i="22" s="1"/>
  <c r="G1049" i="22" s="1"/>
  <c r="G1075" i="22"/>
  <c r="G281" i="23"/>
  <c r="G280" i="23" s="1"/>
  <c r="G279" i="23" s="1"/>
  <c r="G309" i="23"/>
  <c r="G308" i="23" s="1"/>
  <c r="G307" i="23" s="1"/>
  <c r="G306" i="23" s="1"/>
  <c r="G305" i="23" s="1"/>
  <c r="H355" i="23"/>
  <c r="G537" i="23"/>
  <c r="H594" i="23"/>
  <c r="H593" i="23" s="1"/>
  <c r="H592" i="23" s="1"/>
  <c r="H591" i="23" s="1"/>
  <c r="H590" i="23" s="1"/>
  <c r="H632" i="23"/>
  <c r="H708" i="23"/>
  <c r="H707" i="23" s="1"/>
  <c r="H706" i="23" s="1"/>
  <c r="H705" i="23" s="1"/>
  <c r="H704" i="23" s="1"/>
  <c r="H825" i="23"/>
  <c r="H824" i="23" s="1"/>
  <c r="H837" i="23"/>
  <c r="H836" i="23" s="1"/>
  <c r="H835" i="23" s="1"/>
  <c r="H834" i="23" s="1"/>
  <c r="C58" i="19"/>
  <c r="F91" i="19"/>
  <c r="F25" i="21"/>
  <c r="F24" i="21" s="1"/>
  <c r="F23" i="21" s="1"/>
  <c r="G59" i="21"/>
  <c r="G58" i="21" s="1"/>
  <c r="G57" i="21" s="1"/>
  <c r="F93" i="21"/>
  <c r="F92" i="21" s="1"/>
  <c r="F105" i="21"/>
  <c r="F104" i="21" s="1"/>
  <c r="F103" i="21" s="1"/>
  <c r="F102" i="21" s="1"/>
  <c r="F149" i="21"/>
  <c r="F195" i="21"/>
  <c r="F194" i="21" s="1"/>
  <c r="F193" i="21" s="1"/>
  <c r="F248" i="21"/>
  <c r="F247" i="21" s="1"/>
  <c r="F246" i="21" s="1"/>
  <c r="F301" i="21"/>
  <c r="F364" i="21"/>
  <c r="F504" i="21"/>
  <c r="F503" i="21" s="1"/>
  <c r="F502" i="21" s="1"/>
  <c r="F511" i="21"/>
  <c r="F510" i="21" s="1"/>
  <c r="F509" i="21" s="1"/>
  <c r="F521" i="21"/>
  <c r="F520" i="21" s="1"/>
  <c r="F519" i="21" s="1"/>
  <c r="F518" i="21" s="1"/>
  <c r="G629" i="21"/>
  <c r="G628" i="21" s="1"/>
  <c r="G627" i="21" s="1"/>
  <c r="F652" i="21"/>
  <c r="F651" i="21" s="1"/>
  <c r="F646" i="21" s="1"/>
  <c r="F645" i="21" s="1"/>
  <c r="G729" i="21"/>
  <c r="G728" i="21" s="1"/>
  <c r="G727" i="21" s="1"/>
  <c r="G726" i="21" s="1"/>
  <c r="F776" i="21"/>
  <c r="F775" i="21" s="1"/>
  <c r="F774" i="21" s="1"/>
  <c r="F773" i="21" s="1"/>
  <c r="G800" i="21"/>
  <c r="G799" i="21" s="1"/>
  <c r="G798" i="21" s="1"/>
  <c r="G797" i="21" s="1"/>
  <c r="G796" i="21" s="1"/>
  <c r="G842" i="21"/>
  <c r="G841" i="21" s="1"/>
  <c r="G840" i="21" s="1"/>
  <c r="G839" i="21" s="1"/>
  <c r="G838" i="21" s="1"/>
  <c r="G851" i="21"/>
  <c r="G850" i="21" s="1"/>
  <c r="G849" i="21" s="1"/>
  <c r="F875" i="21"/>
  <c r="F874" i="21" s="1"/>
  <c r="F873" i="21" s="1"/>
  <c r="F872" i="21" s="1"/>
  <c r="D45" i="20" s="1"/>
  <c r="G36" i="22"/>
  <c r="G47" i="22"/>
  <c r="G46" i="22" s="1"/>
  <c r="G45" i="22" s="1"/>
  <c r="G44" i="22" s="1"/>
  <c r="H115" i="22"/>
  <c r="H114" i="22" s="1"/>
  <c r="H113" i="22" s="1"/>
  <c r="H125" i="22"/>
  <c r="H124" i="22" s="1"/>
  <c r="H123" i="22" s="1"/>
  <c r="H122" i="22" s="1"/>
  <c r="H133" i="22"/>
  <c r="H132" i="22" s="1"/>
  <c r="H131" i="22" s="1"/>
  <c r="H364" i="22"/>
  <c r="G369" i="22"/>
  <c r="G368" i="22" s="1"/>
  <c r="G413" i="22"/>
  <c r="G412" i="22" s="1"/>
  <c r="G498" i="22"/>
  <c r="G493" i="22" s="1"/>
  <c r="H626" i="22"/>
  <c r="H625" i="22" s="1"/>
  <c r="G751" i="22"/>
  <c r="H751" i="22" s="1"/>
  <c r="G805" i="22"/>
  <c r="G804" i="22" s="1"/>
  <c r="H822" i="22"/>
  <c r="H821" i="22" s="1"/>
  <c r="G1044" i="22"/>
  <c r="G1043" i="22" s="1"/>
  <c r="G1042" i="22" s="1"/>
  <c r="G1041" i="22" s="1"/>
  <c r="G1040" i="22" s="1"/>
  <c r="G1039" i="22" s="1"/>
  <c r="G1038" i="22" s="1"/>
  <c r="G193" i="23"/>
  <c r="H281" i="23"/>
  <c r="H280" i="23" s="1"/>
  <c r="H279" i="23" s="1"/>
  <c r="H309" i="23"/>
  <c r="H308" i="23" s="1"/>
  <c r="H307" i="23" s="1"/>
  <c r="H306" i="23" s="1"/>
  <c r="H305" i="23" s="1"/>
  <c r="G634" i="22"/>
  <c r="G647" i="22"/>
  <c r="G877" i="22"/>
  <c r="G876" i="22" s="1"/>
  <c r="G875" i="22" s="1"/>
  <c r="H925" i="22"/>
  <c r="H924" i="22" s="1"/>
  <c r="H939" i="22"/>
  <c r="H745" i="23" s="1"/>
  <c r="H261" i="22"/>
  <c r="H933" i="22"/>
  <c r="H932" i="22" s="1"/>
  <c r="H937" i="22"/>
  <c r="H936" i="22" s="1"/>
  <c r="F77" i="21"/>
  <c r="D22" i="19"/>
  <c r="D21" i="19" s="1"/>
  <c r="F317" i="21"/>
  <c r="F316" i="21" s="1"/>
  <c r="F315" i="21" s="1"/>
  <c r="G381" i="21"/>
  <c r="G380" i="21" s="1"/>
  <c r="F380" i="21"/>
  <c r="F420" i="21"/>
  <c r="F457" i="21"/>
  <c r="F456" i="21" s="1"/>
  <c r="G875" i="21"/>
  <c r="G874" i="21" s="1"/>
  <c r="G873" i="21" s="1"/>
  <c r="G872" i="21" s="1"/>
  <c r="E45" i="20" s="1"/>
  <c r="F902" i="21"/>
  <c r="F925" i="21"/>
  <c r="F924" i="21" s="1"/>
  <c r="H15" i="22"/>
  <c r="H14" i="22" s="1"/>
  <c r="H13" i="22" s="1"/>
  <c r="H12" i="22" s="1"/>
  <c r="H82" i="22"/>
  <c r="H79" i="22" s="1"/>
  <c r="G76" i="21"/>
  <c r="G75" i="21" s="1"/>
  <c r="H332" i="22"/>
  <c r="G41" i="23"/>
  <c r="G40" i="23" s="1"/>
  <c r="G39" i="23" s="1"/>
  <c r="H346" i="22"/>
  <c r="H41" i="23" s="1"/>
  <c r="H42" i="23" s="1"/>
  <c r="H536" i="23"/>
  <c r="H376" i="22"/>
  <c r="H375" i="22" s="1"/>
  <c r="H374" i="22" s="1"/>
  <c r="G761" i="21"/>
  <c r="G760" i="21" s="1"/>
  <c r="G759" i="21" s="1"/>
  <c r="G758" i="21" s="1"/>
  <c r="H567" i="23"/>
  <c r="H568" i="23" s="1"/>
  <c r="G768" i="21"/>
  <c r="G767" i="21" s="1"/>
  <c r="G766" i="21" s="1"/>
  <c r="H383" i="22"/>
  <c r="H382" i="22" s="1"/>
  <c r="G171" i="23"/>
  <c r="G170" i="23" s="1"/>
  <c r="G169" i="23" s="1"/>
  <c r="G563" i="22"/>
  <c r="G562" i="22" s="1"/>
  <c r="G555" i="22" s="1"/>
  <c r="F494" i="21"/>
  <c r="F493" i="21" s="1"/>
  <c r="F492" i="21" s="1"/>
  <c r="H564" i="22"/>
  <c r="H228" i="23"/>
  <c r="H229" i="23" s="1"/>
  <c r="H576" i="22"/>
  <c r="H575" i="22" s="1"/>
  <c r="H568" i="22" s="1"/>
  <c r="G321" i="23"/>
  <c r="G320" i="23" s="1"/>
  <c r="G319" i="23" s="1"/>
  <c r="G322" i="23" s="1"/>
  <c r="F531" i="21"/>
  <c r="F530" i="21" s="1"/>
  <c r="F529" i="21" s="1"/>
  <c r="H438" i="23"/>
  <c r="H439" i="23" s="1"/>
  <c r="G908" i="21"/>
  <c r="G907" i="21" s="1"/>
  <c r="G906" i="21" s="1"/>
  <c r="G455" i="23"/>
  <c r="F950" i="21"/>
  <c r="F949" i="21" s="1"/>
  <c r="F946" i="21" s="1"/>
  <c r="F945" i="21" s="1"/>
  <c r="F944" i="21" s="1"/>
  <c r="H842" i="22"/>
  <c r="G146" i="21"/>
  <c r="G145" i="21" s="1"/>
  <c r="G928" i="22"/>
  <c r="H929" i="22"/>
  <c r="H928" i="22" s="1"/>
  <c r="G690" i="23"/>
  <c r="G689" i="23" s="1"/>
  <c r="G688" i="23" s="1"/>
  <c r="H994" i="22"/>
  <c r="H690" i="23" s="1"/>
  <c r="H691" i="23" s="1"/>
  <c r="G1011" i="22"/>
  <c r="G1006" i="22" s="1"/>
  <c r="G1005" i="22" s="1"/>
  <c r="G1004" i="22" s="1"/>
  <c r="F452" i="21"/>
  <c r="F451" i="21" s="1"/>
  <c r="F446" i="21" s="1"/>
  <c r="F445" i="21" s="1"/>
  <c r="F444" i="21" s="1"/>
  <c r="G718" i="23"/>
  <c r="G716" i="23"/>
  <c r="G715" i="23" s="1"/>
  <c r="G714" i="23" s="1"/>
  <c r="G713" i="23" s="1"/>
  <c r="G712" i="23" s="1"/>
  <c r="C117" i="19"/>
  <c r="C116" i="19" s="1"/>
  <c r="C115" i="19" s="1"/>
  <c r="D133" i="19"/>
  <c r="D117" i="19" s="1"/>
  <c r="D116" i="19" s="1"/>
  <c r="D115" i="19" s="1"/>
  <c r="E44" i="20"/>
  <c r="G62" i="21"/>
  <c r="G61" i="21" s="1"/>
  <c r="G60" i="21" s="1"/>
  <c r="F142" i="21"/>
  <c r="F138" i="21" s="1"/>
  <c r="F160" i="21"/>
  <c r="H160" i="21" s="1"/>
  <c r="G377" i="21"/>
  <c r="G376" i="21" s="1"/>
  <c r="F376" i="21"/>
  <c r="G465" i="21"/>
  <c r="G464" i="21" s="1"/>
  <c r="G507" i="21"/>
  <c r="G506" i="21" s="1"/>
  <c r="G505" i="21" s="1"/>
  <c r="G498" i="21" s="1"/>
  <c r="G525" i="21"/>
  <c r="F621" i="21"/>
  <c r="G652" i="21"/>
  <c r="G651" i="21" s="1"/>
  <c r="G646" i="21" s="1"/>
  <c r="G645" i="21" s="1"/>
  <c r="G377" i="23"/>
  <c r="G376" i="23" s="1"/>
  <c r="F95" i="21"/>
  <c r="F94" i="21" s="1"/>
  <c r="G851" i="23"/>
  <c r="G852" i="23" s="1"/>
  <c r="H154" i="22"/>
  <c r="G168" i="22"/>
  <c r="G167" i="22" s="1"/>
  <c r="G166" i="22" s="1"/>
  <c r="G165" i="22" s="1"/>
  <c r="G1105" i="22" s="1"/>
  <c r="H169" i="22"/>
  <c r="H168" i="22" s="1"/>
  <c r="H167" i="22" s="1"/>
  <c r="H166" i="22" s="1"/>
  <c r="H165" i="22" s="1"/>
  <c r="H1105" i="22" s="1"/>
  <c r="G177" i="22"/>
  <c r="G176" i="22" s="1"/>
  <c r="G175" i="22" s="1"/>
  <c r="G507" i="23"/>
  <c r="G506" i="23" s="1"/>
  <c r="G505" i="23" s="1"/>
  <c r="H307" i="22"/>
  <c r="G306" i="22"/>
  <c r="G305" i="22" s="1"/>
  <c r="F656" i="21"/>
  <c r="F655" i="21" s="1"/>
  <c r="F654" i="21" s="1"/>
  <c r="F653" i="21" s="1"/>
  <c r="G333" i="22"/>
  <c r="G332" i="22"/>
  <c r="G51" i="23"/>
  <c r="G50" i="23" s="1"/>
  <c r="G351" i="22"/>
  <c r="F704" i="21"/>
  <c r="F703" i="21" s="1"/>
  <c r="H511" i="22"/>
  <c r="H510" i="22" s="1"/>
  <c r="H509" i="22" s="1"/>
  <c r="H508" i="22" s="1"/>
  <c r="H507" i="22" s="1"/>
  <c r="G152" i="21"/>
  <c r="G151" i="21" s="1"/>
  <c r="G150" i="21" s="1"/>
  <c r="G149" i="21" s="1"/>
  <c r="H12" i="23"/>
  <c r="H11" i="23" s="1"/>
  <c r="H10" i="23"/>
  <c r="G499" i="23"/>
  <c r="G501" i="23"/>
  <c r="F37" i="21"/>
  <c r="F31" i="21" s="1"/>
  <c r="F30" i="21" s="1"/>
  <c r="F29" i="21" s="1"/>
  <c r="D13" i="20" s="1"/>
  <c r="G72" i="21"/>
  <c r="F333" i="21"/>
  <c r="G333" i="21" s="1"/>
  <c r="G334" i="21"/>
  <c r="G373" i="21"/>
  <c r="G372" i="21" s="1"/>
  <c r="F372" i="21"/>
  <c r="F439" i="21"/>
  <c r="F438" i="21"/>
  <c r="G236" i="21"/>
  <c r="G235" i="21" s="1"/>
  <c r="G234" i="21" s="1"/>
  <c r="H177" i="22"/>
  <c r="H176" i="22" s="1"/>
  <c r="H523" i="23"/>
  <c r="H522" i="23" s="1"/>
  <c r="H372" i="22"/>
  <c r="G757" i="21"/>
  <c r="G756" i="21" s="1"/>
  <c r="G753" i="21" s="1"/>
  <c r="G752" i="21" s="1"/>
  <c r="G429" i="22"/>
  <c r="G424" i="22" s="1"/>
  <c r="F814" i="21"/>
  <c r="F813" i="21" s="1"/>
  <c r="F808" i="21" s="1"/>
  <c r="H430" i="22"/>
  <c r="H500" i="23"/>
  <c r="H499" i="23" s="1"/>
  <c r="H477" i="22"/>
  <c r="G961" i="21"/>
  <c r="G960" i="21" s="1"/>
  <c r="H958" i="22"/>
  <c r="F398" i="21"/>
  <c r="F397" i="21" s="1"/>
  <c r="F396" i="21" s="1"/>
  <c r="F395" i="21" s="1"/>
  <c r="F394" i="21" s="1"/>
  <c r="G657" i="23"/>
  <c r="G656" i="23" s="1"/>
  <c r="H972" i="22"/>
  <c r="H657" i="23" s="1"/>
  <c r="H658" i="23" s="1"/>
  <c r="G672" i="23"/>
  <c r="G981" i="22"/>
  <c r="H1078" i="22"/>
  <c r="H1075" i="22" s="1"/>
  <c r="G41" i="21"/>
  <c r="G40" i="21" s="1"/>
  <c r="G37" i="21" s="1"/>
  <c r="H1090" i="22"/>
  <c r="G1089" i="22"/>
  <c r="G1086" i="22" s="1"/>
  <c r="G1085" i="22" s="1"/>
  <c r="G1084" i="22" s="1"/>
  <c r="G1083" i="22" s="1"/>
  <c r="F113" i="21"/>
  <c r="F112" i="21" s="1"/>
  <c r="F109" i="21" s="1"/>
  <c r="F108" i="21" s="1"/>
  <c r="G263" i="23"/>
  <c r="G262" i="23" s="1"/>
  <c r="G265" i="23"/>
  <c r="H768" i="23"/>
  <c r="H766" i="23"/>
  <c r="G833" i="23"/>
  <c r="G831" i="23"/>
  <c r="G830" i="23" s="1"/>
  <c r="G829" i="23" s="1"/>
  <c r="G828" i="23" s="1"/>
  <c r="C34" i="19"/>
  <c r="C31" i="19" s="1"/>
  <c r="C76" i="19"/>
  <c r="E120" i="19"/>
  <c r="F134" i="19"/>
  <c r="D146" i="19"/>
  <c r="D145" i="19" s="1"/>
  <c r="D144" i="19" s="1"/>
  <c r="G22" i="21"/>
  <c r="G21" i="21" s="1"/>
  <c r="G50" i="21"/>
  <c r="G49" i="21" s="1"/>
  <c r="G48" i="21" s="1"/>
  <c r="G162" i="21"/>
  <c r="G161" i="21" s="1"/>
  <c r="G160" i="21" s="1"/>
  <c r="G159" i="21" s="1"/>
  <c r="G180" i="21"/>
  <c r="G179" i="21" s="1"/>
  <c r="G177" i="21" s="1"/>
  <c r="G369" i="21"/>
  <c r="G368" i="21" s="1"/>
  <c r="F368" i="21"/>
  <c r="G385" i="21"/>
  <c r="G384" i="21" s="1"/>
  <c r="F384" i="21"/>
  <c r="F404" i="21"/>
  <c r="G554" i="21"/>
  <c r="G553" i="21" s="1"/>
  <c r="G552" i="21" s="1"/>
  <c r="F955" i="21"/>
  <c r="F954" i="21" s="1"/>
  <c r="F953" i="21" s="1"/>
  <c r="H362" i="23"/>
  <c r="H363" i="23" s="1"/>
  <c r="H92" i="22"/>
  <c r="H91" i="22" s="1"/>
  <c r="H90" i="22" s="1"/>
  <c r="G161" i="22"/>
  <c r="G160" i="22"/>
  <c r="G1149" i="22" s="1"/>
  <c r="H187" i="22"/>
  <c r="G186" i="22"/>
  <c r="G183" i="22" s="1"/>
  <c r="G182" i="22" s="1"/>
  <c r="F245" i="21"/>
  <c r="F244" i="21" s="1"/>
  <c r="H702" i="23"/>
  <c r="G255" i="21"/>
  <c r="G254" i="21" s="1"/>
  <c r="G253" i="21" s="1"/>
  <c r="G252" i="21" s="1"/>
  <c r="G251" i="21" s="1"/>
  <c r="G250" i="21" s="1"/>
  <c r="E23" i="20" s="1"/>
  <c r="H553" i="23"/>
  <c r="H554" i="23" s="1"/>
  <c r="G672" i="21"/>
  <c r="G671" i="21" s="1"/>
  <c r="G670" i="21" s="1"/>
  <c r="H557" i="23"/>
  <c r="H558" i="23" s="1"/>
  <c r="G675" i="21"/>
  <c r="G674" i="21" s="1"/>
  <c r="G673" i="21" s="1"/>
  <c r="H48" i="23"/>
  <c r="H47" i="23" s="1"/>
  <c r="H46" i="23" s="1"/>
  <c r="H45" i="23" s="1"/>
  <c r="H44" i="23" s="1"/>
  <c r="H43" i="23" s="1"/>
  <c r="G702" i="21"/>
  <c r="G701" i="21" s="1"/>
  <c r="G700" i="21" s="1"/>
  <c r="G699" i="21" s="1"/>
  <c r="H432" i="22"/>
  <c r="H431" i="22" s="1"/>
  <c r="G132" i="23"/>
  <c r="G131" i="23" s="1"/>
  <c r="G130" i="23" s="1"/>
  <c r="G129" i="23" s="1"/>
  <c r="G128" i="23" s="1"/>
  <c r="G438" i="22"/>
  <c r="G437" i="22" s="1"/>
  <c r="G436" i="22" s="1"/>
  <c r="G435" i="22" s="1"/>
  <c r="G434" i="22" s="1"/>
  <c r="F823" i="21"/>
  <c r="F822" i="21" s="1"/>
  <c r="F821" i="21" s="1"/>
  <c r="F820" i="21" s="1"/>
  <c r="F819" i="21" s="1"/>
  <c r="F818" i="21" s="1"/>
  <c r="H451" i="22"/>
  <c r="H450" i="22" s="1"/>
  <c r="H449" i="22" s="1"/>
  <c r="H448" i="22" s="1"/>
  <c r="G472" i="22"/>
  <c r="G471" i="22" s="1"/>
  <c r="G470" i="22" s="1"/>
  <c r="G493" i="23"/>
  <c r="G495" i="23"/>
  <c r="G420" i="21"/>
  <c r="G404" i="21" s="1"/>
  <c r="G457" i="21"/>
  <c r="G456" i="21" s="1"/>
  <c r="G595" i="21"/>
  <c r="F797" i="21"/>
  <c r="F796" i="21" s="1"/>
  <c r="H36" i="22"/>
  <c r="G132" i="22"/>
  <c r="G131" i="22" s="1"/>
  <c r="G130" i="22" s="1"/>
  <c r="G48" i="23"/>
  <c r="G49" i="23" s="1"/>
  <c r="G349" i="22"/>
  <c r="G348" i="22" s="1"/>
  <c r="G347" i="22" s="1"/>
  <c r="F702" i="21"/>
  <c r="F701" i="21" s="1"/>
  <c r="G523" i="23"/>
  <c r="F757" i="21"/>
  <c r="F756" i="21" s="1"/>
  <c r="F753" i="21" s="1"/>
  <c r="F752" i="21" s="1"/>
  <c r="G432" i="22"/>
  <c r="G431" i="22" s="1"/>
  <c r="F817" i="21"/>
  <c r="F816" i="21" s="1"/>
  <c r="F815" i="21" s="1"/>
  <c r="G228" i="23"/>
  <c r="G576" i="22"/>
  <c r="G575" i="22" s="1"/>
  <c r="G568" i="22" s="1"/>
  <c r="G1017" i="22"/>
  <c r="G1016" i="22" s="1"/>
  <c r="G1003" i="22" s="1"/>
  <c r="G633" i="23"/>
  <c r="G637" i="23"/>
  <c r="G651" i="23"/>
  <c r="G649" i="23"/>
  <c r="G648" i="23" s="1"/>
  <c r="G665" i="23"/>
  <c r="G663" i="23"/>
  <c r="G662" i="23" s="1"/>
  <c r="H684" i="23"/>
  <c r="H682" i="23"/>
  <c r="H681" i="23" s="1"/>
  <c r="F118" i="21"/>
  <c r="F117" i="21" s="1"/>
  <c r="G342" i="21"/>
  <c r="F485" i="21"/>
  <c r="F508" i="21"/>
  <c r="F525" i="21"/>
  <c r="G682" i="21"/>
  <c r="G681" i="21" s="1"/>
  <c r="F692" i="21"/>
  <c r="F743" i="21"/>
  <c r="F742" i="21" s="1"/>
  <c r="D39" i="20" s="1"/>
  <c r="G762" i="21"/>
  <c r="G15" i="22"/>
  <c r="G14" i="22" s="1"/>
  <c r="G13" i="22" s="1"/>
  <c r="G12" i="22" s="1"/>
  <c r="G11" i="22" s="1"/>
  <c r="G10" i="22" s="1"/>
  <c r="H237" i="22"/>
  <c r="H369" i="22"/>
  <c r="H368" i="22" s="1"/>
  <c r="H494" i="23"/>
  <c r="G957" i="21"/>
  <c r="G956" i="21" s="1"/>
  <c r="G25" i="23"/>
  <c r="G26" i="23" s="1"/>
  <c r="H871" i="22"/>
  <c r="G895" i="22"/>
  <c r="H896" i="22"/>
  <c r="G738" i="23"/>
  <c r="G739" i="23" s="1"/>
  <c r="H935" i="22"/>
  <c r="H738" i="23" s="1"/>
  <c r="G759" i="23"/>
  <c r="H947" i="22"/>
  <c r="H759" i="23" s="1"/>
  <c r="H760" i="23" s="1"/>
  <c r="H675" i="23"/>
  <c r="H676" i="23" s="1"/>
  <c r="H983" i="22"/>
  <c r="H980" i="22" s="1"/>
  <c r="H964" i="22" s="1"/>
  <c r="H959" i="22" s="1"/>
  <c r="H1141" i="22" s="1"/>
  <c r="G139" i="23"/>
  <c r="G137" i="23"/>
  <c r="G136" i="23" s="1"/>
  <c r="G135" i="23" s="1"/>
  <c r="G134" i="23" s="1"/>
  <c r="G355" i="23"/>
  <c r="G353" i="23"/>
  <c r="G352" i="23" s="1"/>
  <c r="G489" i="23"/>
  <c r="G487" i="23"/>
  <c r="H774" i="23"/>
  <c r="H772" i="23"/>
  <c r="H833" i="23"/>
  <c r="H831" i="23"/>
  <c r="H830" i="23" s="1"/>
  <c r="H829" i="23" s="1"/>
  <c r="H828" i="23" s="1"/>
  <c r="G928" i="21"/>
  <c r="G927" i="21" s="1"/>
  <c r="G926" i="21" s="1"/>
  <c r="G925" i="21" s="1"/>
  <c r="G924" i="21" s="1"/>
  <c r="G74" i="22"/>
  <c r="E140" i="19" s="1"/>
  <c r="G84" i="22"/>
  <c r="E129" i="19" s="1"/>
  <c r="G115" i="22"/>
  <c r="G114" i="22" s="1"/>
  <c r="G113" i="22" s="1"/>
  <c r="G361" i="22"/>
  <c r="G360" i="22" s="1"/>
  <c r="G359" i="22" s="1"/>
  <c r="G358" i="22" s="1"/>
  <c r="G458" i="22"/>
  <c r="G509" i="22"/>
  <c r="G508" i="22" s="1"/>
  <c r="H571" i="22"/>
  <c r="H581" i="22"/>
  <c r="H643" i="22"/>
  <c r="G819" i="22"/>
  <c r="H820" i="22"/>
  <c r="H852" i="22"/>
  <c r="H851" i="22" s="1"/>
  <c r="H850" i="22" s="1"/>
  <c r="H849" i="22" s="1"/>
  <c r="H848" i="22" s="1"/>
  <c r="H847" i="22" s="1"/>
  <c r="H846" i="22" s="1"/>
  <c r="G851" i="22"/>
  <c r="G850" i="22" s="1"/>
  <c r="G849" i="22" s="1"/>
  <c r="G848" i="22" s="1"/>
  <c r="G847" i="22" s="1"/>
  <c r="G846" i="22" s="1"/>
  <c r="H873" i="22"/>
  <c r="H28" i="23" s="1"/>
  <c r="G902" i="22"/>
  <c r="H941" i="22"/>
  <c r="H940" i="22" s="1"/>
  <c r="G944" i="22"/>
  <c r="H945" i="22"/>
  <c r="H944" i="22" s="1"/>
  <c r="H96" i="23"/>
  <c r="H94" i="23"/>
  <c r="H93" i="23" s="1"/>
  <c r="H92" i="23" s="1"/>
  <c r="H91" i="23" s="1"/>
  <c r="H90" i="23" s="1"/>
  <c r="H104" i="23"/>
  <c r="H102" i="23"/>
  <c r="H101" i="23" s="1"/>
  <c r="H100" i="23" s="1"/>
  <c r="H99" i="23" s="1"/>
  <c r="H98" i="23" s="1"/>
  <c r="H97" i="23" s="1"/>
  <c r="G531" i="23"/>
  <c r="G643" i="23"/>
  <c r="G641" i="23"/>
  <c r="G640" i="23" s="1"/>
  <c r="G639" i="23" s="1"/>
  <c r="G638" i="23" s="1"/>
  <c r="G655" i="23"/>
  <c r="G653" i="23"/>
  <c r="G669" i="23"/>
  <c r="G667" i="23"/>
  <c r="G666" i="23" s="1"/>
  <c r="H813" i="23"/>
  <c r="H811" i="23"/>
  <c r="H810" i="23" s="1"/>
  <c r="H809" i="23" s="1"/>
  <c r="H819" i="23"/>
  <c r="G524" i="22"/>
  <c r="G523" i="22" s="1"/>
  <c r="G522" i="22" s="1"/>
  <c r="G521" i="22" s="1"/>
  <c r="G1140" i="22"/>
  <c r="H328" i="23"/>
  <c r="H327" i="23" s="1"/>
  <c r="H326" i="23" s="1"/>
  <c r="H325" i="23" s="1"/>
  <c r="H324" i="23" s="1"/>
  <c r="H323" i="23" s="1"/>
  <c r="H329" i="23" s="1"/>
  <c r="H671" i="22"/>
  <c r="H670" i="22" s="1"/>
  <c r="H669" i="22" s="1"/>
  <c r="G716" i="22"/>
  <c r="G715" i="22"/>
  <c r="H722" i="22"/>
  <c r="H721" i="22" s="1"/>
  <c r="H720" i="22" s="1"/>
  <c r="G844" i="22"/>
  <c r="G839" i="22" s="1"/>
  <c r="G835" i="22" s="1"/>
  <c r="G834" i="22" s="1"/>
  <c r="G833" i="22" s="1"/>
  <c r="G832" i="22" s="1"/>
  <c r="H845" i="22"/>
  <c r="G675" i="23"/>
  <c r="G983" i="22"/>
  <c r="H1070" i="22"/>
  <c r="G16" i="23"/>
  <c r="G14" i="23"/>
  <c r="G13" i="23" s="1"/>
  <c r="G96" i="23"/>
  <c r="G94" i="23"/>
  <c r="G93" i="23" s="1"/>
  <c r="G92" i="23" s="1"/>
  <c r="G91" i="23" s="1"/>
  <c r="G90" i="23" s="1"/>
  <c r="G108" i="23"/>
  <c r="G106" i="23"/>
  <c r="G105" i="23" s="1"/>
  <c r="H201" i="23"/>
  <c r="H199" i="23"/>
  <c r="H198" i="23" s="1"/>
  <c r="G297" i="23"/>
  <c r="G295" i="23"/>
  <c r="G294" i="23" s="1"/>
  <c r="G293" i="23" s="1"/>
  <c r="G292" i="23" s="1"/>
  <c r="G291" i="23" s="1"/>
  <c r="G525" i="23"/>
  <c r="G575" i="23"/>
  <c r="G573" i="23"/>
  <c r="G572" i="23" s="1"/>
  <c r="G695" i="23"/>
  <c r="G693" i="23"/>
  <c r="G692" i="23" s="1"/>
  <c r="H718" i="23"/>
  <c r="H716" i="23"/>
  <c r="H715" i="23" s="1"/>
  <c r="H714" i="23" s="1"/>
  <c r="H713" i="23" s="1"/>
  <c r="H712" i="23" s="1"/>
  <c r="G813" i="23"/>
  <c r="G811" i="23"/>
  <c r="G810" i="23" s="1"/>
  <c r="G809" i="23" s="1"/>
  <c r="G722" i="22"/>
  <c r="G721" i="22" s="1"/>
  <c r="G720" i="22" s="1"/>
  <c r="G732" i="22"/>
  <c r="G731" i="22" s="1"/>
  <c r="G730" i="22" s="1"/>
  <c r="H1010" i="22"/>
  <c r="H1025" i="22"/>
  <c r="H1024" i="22" s="1"/>
  <c r="H769" i="22"/>
  <c r="H768" i="22" s="1"/>
  <c r="H767" i="22" s="1"/>
  <c r="H776" i="22"/>
  <c r="H775" i="22" s="1"/>
  <c r="G782" i="22"/>
  <c r="G791" i="22"/>
  <c r="G790" i="22" s="1"/>
  <c r="G789" i="22" s="1"/>
  <c r="G1124" i="22" s="1"/>
  <c r="H902" i="22"/>
  <c r="G919" i="22"/>
  <c r="G1143" i="22" s="1"/>
  <c r="H1060" i="22"/>
  <c r="H1059" i="22" s="1"/>
  <c r="D81" i="19"/>
  <c r="C81" i="19"/>
  <c r="C75" i="19" s="1"/>
  <c r="C74" i="19" s="1"/>
  <c r="F48" i="21"/>
  <c r="F47" i="21" s="1"/>
  <c r="G209" i="21"/>
  <c r="G208" i="21"/>
  <c r="E24" i="20"/>
  <c r="F13" i="21"/>
  <c r="F22" i="21"/>
  <c r="F21" i="21" s="1"/>
  <c r="G131" i="21"/>
  <c r="G130" i="21" s="1"/>
  <c r="G129" i="21" s="1"/>
  <c r="G128" i="21" s="1"/>
  <c r="E16" i="20" s="1"/>
  <c r="F201" i="21"/>
  <c r="F200" i="21" s="1"/>
  <c r="F199" i="21" s="1"/>
  <c r="G202" i="21"/>
  <c r="G201" i="21" s="1"/>
  <c r="G200" i="21" s="1"/>
  <c r="F209" i="21"/>
  <c r="F208" i="21"/>
  <c r="F241" i="21"/>
  <c r="F240" i="21" s="1"/>
  <c r="F252" i="21"/>
  <c r="F251" i="21" s="1"/>
  <c r="F250" i="21" s="1"/>
  <c r="D23" i="20" s="1"/>
  <c r="D24" i="20"/>
  <c r="F292" i="21"/>
  <c r="F291" i="21" s="1"/>
  <c r="D28" i="20"/>
  <c r="I22" i="19"/>
  <c r="C21" i="19"/>
  <c r="I10" i="19"/>
  <c r="G63" i="21"/>
  <c r="F178" i="21"/>
  <c r="F226" i="21"/>
  <c r="F225" i="21" s="1"/>
  <c r="F224" i="21" s="1"/>
  <c r="F223" i="21" s="1"/>
  <c r="F332" i="21"/>
  <c r="F342" i="21"/>
  <c r="G548" i="21"/>
  <c r="F731" i="21"/>
  <c r="F730" i="21" s="1"/>
  <c r="F725" i="21" s="1"/>
  <c r="F714" i="21" s="1"/>
  <c r="D37" i="20" s="1"/>
  <c r="F848" i="21"/>
  <c r="F843" i="21" s="1"/>
  <c r="F837" i="21" s="1"/>
  <c r="F836" i="21" s="1"/>
  <c r="D43" i="20" s="1"/>
  <c r="D41" i="20" s="1"/>
  <c r="F892" i="21"/>
  <c r="F887" i="21" s="1"/>
  <c r="F886" i="21" s="1"/>
  <c r="G902" i="21"/>
  <c r="G434" i="21"/>
  <c r="F433" i="21"/>
  <c r="F666" i="21"/>
  <c r="F682" i="21"/>
  <c r="F681" i="21" s="1"/>
  <c r="G731" i="21"/>
  <c r="G730" i="21" s="1"/>
  <c r="G725" i="21" s="1"/>
  <c r="G848" i="21"/>
  <c r="G843" i="21" s="1"/>
  <c r="F933" i="21"/>
  <c r="F932" i="21" s="1"/>
  <c r="F844" i="21"/>
  <c r="G12" i="21"/>
  <c r="G11" i="21" s="1"/>
  <c r="F548" i="21"/>
  <c r="F567" i="21"/>
  <c r="G844" i="21"/>
  <c r="F952" i="21"/>
  <c r="F636" i="21"/>
  <c r="F825" i="21"/>
  <c r="G79" i="22"/>
  <c r="E122" i="19" s="1"/>
  <c r="H484" i="22"/>
  <c r="H483" i="22"/>
  <c r="G516" i="22"/>
  <c r="G1147" i="22" s="1"/>
  <c r="H592" i="22"/>
  <c r="H1140" i="22"/>
  <c r="G41" i="22"/>
  <c r="H41" i="22" s="1"/>
  <c r="H35" i="22" s="1"/>
  <c r="H34" i="22" s="1"/>
  <c r="H42" i="22"/>
  <c r="H55" i="22"/>
  <c r="H54" i="22" s="1"/>
  <c r="G192" i="22"/>
  <c r="G605" i="22"/>
  <c r="G604" i="22"/>
  <c r="G1136" i="22"/>
  <c r="G1118" i="22"/>
  <c r="G454" i="22"/>
  <c r="G453" i="22"/>
  <c r="H605" i="22"/>
  <c r="H604" i="22"/>
  <c r="H370" i="23"/>
  <c r="H369" i="23" s="1"/>
  <c r="H368" i="23" s="1"/>
  <c r="H367" i="23" s="1"/>
  <c r="H366" i="23" s="1"/>
  <c r="H47" i="22"/>
  <c r="H46" i="22" s="1"/>
  <c r="H45" i="22" s="1"/>
  <c r="H44" i="22" s="1"/>
  <c r="G484" i="22"/>
  <c r="G483" i="22"/>
  <c r="H43" i="22"/>
  <c r="G20" i="21" s="1"/>
  <c r="G19" i="21" s="1"/>
  <c r="H97" i="22"/>
  <c r="H99" i="22"/>
  <c r="H109" i="22"/>
  <c r="G850" i="23"/>
  <c r="G849" i="23" s="1"/>
  <c r="G848" i="23" s="1"/>
  <c r="G847" i="23" s="1"/>
  <c r="G846" i="23" s="1"/>
  <c r="H190" i="22"/>
  <c r="H196" i="22"/>
  <c r="H195" i="22" s="1"/>
  <c r="H194" i="22" s="1"/>
  <c r="H193" i="22" s="1"/>
  <c r="H210" i="22"/>
  <c r="H351" i="23"/>
  <c r="H349" i="23"/>
  <c r="H348" i="23" s="1"/>
  <c r="H347" i="23" s="1"/>
  <c r="H346" i="23" s="1"/>
  <c r="G405" i="23"/>
  <c r="G403" i="23"/>
  <c r="G402" i="23" s="1"/>
  <c r="G401" i="23" s="1"/>
  <c r="G400" i="23" s="1"/>
  <c r="G790" i="23"/>
  <c r="G788" i="23"/>
  <c r="G787" i="23" s="1"/>
  <c r="H272" i="22"/>
  <c r="H278" i="22"/>
  <c r="H277" i="22" s="1"/>
  <c r="H280" i="22"/>
  <c r="H74" i="23" s="1"/>
  <c r="H284" i="22"/>
  <c r="H286" i="22"/>
  <c r="H285" i="22" s="1"/>
  <c r="H288" i="22"/>
  <c r="H88" i="23" s="1"/>
  <c r="H302" i="22"/>
  <c r="H310" i="22"/>
  <c r="H312" i="22"/>
  <c r="H514" i="23" s="1"/>
  <c r="G558" i="23"/>
  <c r="G556" i="23"/>
  <c r="G555" i="23" s="1"/>
  <c r="G342" i="22"/>
  <c r="G341" i="22" s="1"/>
  <c r="G340" i="22" s="1"/>
  <c r="G47" i="23"/>
  <c r="G46" i="23" s="1"/>
  <c r="G52" i="23"/>
  <c r="H356" i="22"/>
  <c r="H362" i="22"/>
  <c r="H486" i="23"/>
  <c r="H484" i="23"/>
  <c r="G524" i="23"/>
  <c r="G522" i="23"/>
  <c r="G518" i="23" s="1"/>
  <c r="G517" i="23" s="1"/>
  <c r="G516" i="23" s="1"/>
  <c r="H537" i="23"/>
  <c r="H535" i="23"/>
  <c r="H534" i="23" s="1"/>
  <c r="H533" i="23" s="1"/>
  <c r="H532" i="23" s="1"/>
  <c r="H391" i="22"/>
  <c r="H390" i="22" s="1"/>
  <c r="H389" i="22" s="1"/>
  <c r="H67" i="23"/>
  <c r="H65" i="23"/>
  <c r="H64" i="23" s="1"/>
  <c r="H63" i="23" s="1"/>
  <c r="H62" i="23" s="1"/>
  <c r="H61" i="23" s="1"/>
  <c r="H60" i="23" s="1"/>
  <c r="H456" i="22"/>
  <c r="H455" i="22" s="1"/>
  <c r="H123" i="23"/>
  <c r="H121" i="23"/>
  <c r="H475" i="22"/>
  <c r="H501" i="23"/>
  <c r="H527" i="22"/>
  <c r="G219" i="23"/>
  <c r="G218" i="23" s="1"/>
  <c r="G221" i="23"/>
  <c r="G227" i="23"/>
  <c r="G226" i="23" s="1"/>
  <c r="G229" i="23"/>
  <c r="G259" i="23"/>
  <c r="G258" i="23" s="1"/>
  <c r="G261" i="23"/>
  <c r="H587" i="22"/>
  <c r="H591" i="22"/>
  <c r="H620" i="22"/>
  <c r="H619" i="22" s="1"/>
  <c r="H637" i="22"/>
  <c r="G238" i="23"/>
  <c r="H640" i="22"/>
  <c r="G243" i="23"/>
  <c r="G241" i="23"/>
  <c r="G240" i="23" s="1"/>
  <c r="H342" i="23"/>
  <c r="H679" i="22"/>
  <c r="H678" i="22" s="1"/>
  <c r="H677" i="22" s="1"/>
  <c r="H716" i="22"/>
  <c r="G771" i="22"/>
  <c r="H772" i="22"/>
  <c r="G96" i="22"/>
  <c r="G98" i="22"/>
  <c r="G108" i="22"/>
  <c r="G107" i="22" s="1"/>
  <c r="G106" i="22" s="1"/>
  <c r="G397" i="23"/>
  <c r="G395" i="23"/>
  <c r="G394" i="23" s="1"/>
  <c r="G703" i="23"/>
  <c r="G701" i="23"/>
  <c r="G700" i="23" s="1"/>
  <c r="G699" i="23" s="1"/>
  <c r="G698" i="23" s="1"/>
  <c r="G697" i="23" s="1"/>
  <c r="H266" i="22"/>
  <c r="H265" i="22" s="1"/>
  <c r="H252" i="22" s="1"/>
  <c r="H251" i="22" s="1"/>
  <c r="G271" i="22"/>
  <c r="G270" i="22" s="1"/>
  <c r="G283" i="22"/>
  <c r="G282" i="22" s="1"/>
  <c r="G281" i="22" s="1"/>
  <c r="G276" i="22" s="1"/>
  <c r="G275" i="22" s="1"/>
  <c r="H300" i="22"/>
  <c r="G475" i="23"/>
  <c r="G477" i="23"/>
  <c r="G508" i="23"/>
  <c r="G309" i="22"/>
  <c r="G308" i="22" s="1"/>
  <c r="G304" i="22" s="1"/>
  <c r="H319" i="22"/>
  <c r="H318" i="22" s="1"/>
  <c r="H342" i="22"/>
  <c r="H341" i="22" s="1"/>
  <c r="H340" i="22" s="1"/>
  <c r="H40" i="23"/>
  <c r="H39" i="23" s="1"/>
  <c r="G355" i="22"/>
  <c r="G354" i="22" s="1"/>
  <c r="G353" i="22" s="1"/>
  <c r="H483" i="23"/>
  <c r="H481" i="23"/>
  <c r="G582" i="23"/>
  <c r="G580" i="23"/>
  <c r="G579" i="23" s="1"/>
  <c r="G578" i="23" s="1"/>
  <c r="G577" i="23" s="1"/>
  <c r="G576" i="23" s="1"/>
  <c r="G451" i="22"/>
  <c r="G450" i="22" s="1"/>
  <c r="G449" i="22" s="1"/>
  <c r="G448" i="22" s="1"/>
  <c r="G447" i="22" s="1"/>
  <c r="G446" i="22" s="1"/>
  <c r="G445" i="22" s="1"/>
  <c r="H114" i="23"/>
  <c r="H113" i="23" s="1"/>
  <c r="H112" i="23" s="1"/>
  <c r="H111" i="23" s="1"/>
  <c r="H110" i="23" s="1"/>
  <c r="H116" i="23"/>
  <c r="H473" i="22"/>
  <c r="H496" i="23"/>
  <c r="H498" i="23"/>
  <c r="H557" i="22"/>
  <c r="H556" i="22" s="1"/>
  <c r="H583" i="22"/>
  <c r="H582" i="22" s="1"/>
  <c r="G586" i="22"/>
  <c r="G585" i="22" s="1"/>
  <c r="G578" i="22" s="1"/>
  <c r="G590" i="22"/>
  <c r="G589" i="22" s="1"/>
  <c r="G588" i="22" s="1"/>
  <c r="G597" i="22"/>
  <c r="G596" i="22" s="1"/>
  <c r="G592" i="22" s="1"/>
  <c r="H613" i="22"/>
  <c r="H612" i="22" s="1"/>
  <c r="H611" i="22" s="1"/>
  <c r="H183" i="23"/>
  <c r="H182" i="23" s="1"/>
  <c r="H185" i="23"/>
  <c r="G629" i="22"/>
  <c r="G628" i="22" s="1"/>
  <c r="G615" i="22" s="1"/>
  <c r="G246" i="23"/>
  <c r="H646" i="22"/>
  <c r="G213" i="23"/>
  <c r="G705" i="22"/>
  <c r="G704" i="22" s="1"/>
  <c r="G697" i="22" s="1"/>
  <c r="G692" i="22" s="1"/>
  <c r="G691" i="22" s="1"/>
  <c r="H706" i="22"/>
  <c r="G814" i="22"/>
  <c r="G813" i="22" s="1"/>
  <c r="G812" i="22" s="1"/>
  <c r="G29" i="23"/>
  <c r="G27" i="23"/>
  <c r="G892" i="22"/>
  <c r="H895" i="22"/>
  <c r="H112" i="22"/>
  <c r="H396" i="23" s="1"/>
  <c r="H703" i="23"/>
  <c r="H701" i="23"/>
  <c r="H700" i="23" s="1"/>
  <c r="H699" i="23" s="1"/>
  <c r="H698" i="23" s="1"/>
  <c r="H697" i="23" s="1"/>
  <c r="H696" i="23" s="1"/>
  <c r="H794" i="23"/>
  <c r="H792" i="23"/>
  <c r="H791" i="23" s="1"/>
  <c r="H298" i="22"/>
  <c r="H472" i="23"/>
  <c r="H474" i="23"/>
  <c r="H477" i="23"/>
  <c r="H475" i="23"/>
  <c r="H315" i="22"/>
  <c r="H314" i="22" s="1"/>
  <c r="H313" i="22" s="1"/>
  <c r="H550" i="23"/>
  <c r="H548" i="23"/>
  <c r="H547" i="23" s="1"/>
  <c r="H322" i="22"/>
  <c r="H321" i="22" s="1"/>
  <c r="G38" i="23"/>
  <c r="G36" i="23"/>
  <c r="G35" i="23" s="1"/>
  <c r="H366" i="22"/>
  <c r="H380" i="22"/>
  <c r="H379" i="22" s="1"/>
  <c r="H378" i="22" s="1"/>
  <c r="H462" i="22"/>
  <c r="H458" i="22" s="1"/>
  <c r="H495" i="23"/>
  <c r="H493" i="23"/>
  <c r="H481" i="22"/>
  <c r="H480" i="22" s="1"/>
  <c r="H479" i="22" s="1"/>
  <c r="H553" i="22"/>
  <c r="H552" i="22" s="1"/>
  <c r="H551" i="22" s="1"/>
  <c r="H164" i="23"/>
  <c r="H162" i="23"/>
  <c r="H161" i="23" s="1"/>
  <c r="H560" i="22"/>
  <c r="H559" i="22" s="1"/>
  <c r="G223" i="23"/>
  <c r="G222" i="23" s="1"/>
  <c r="G225" i="23"/>
  <c r="H263" i="23"/>
  <c r="H262" i="23" s="1"/>
  <c r="H265" i="23"/>
  <c r="H152" i="23"/>
  <c r="H150" i="23"/>
  <c r="H149" i="23" s="1"/>
  <c r="H148" i="23" s="1"/>
  <c r="G197" i="23"/>
  <c r="G195" i="23"/>
  <c r="G194" i="23" s="1"/>
  <c r="G328" i="23"/>
  <c r="G327" i="23" s="1"/>
  <c r="G326" i="23" s="1"/>
  <c r="G325" i="23" s="1"/>
  <c r="G324" i="23" s="1"/>
  <c r="G323" i="23" s="1"/>
  <c r="G329" i="23" s="1"/>
  <c r="G671" i="22"/>
  <c r="G670" i="22" s="1"/>
  <c r="G669" i="22" s="1"/>
  <c r="H156" i="23"/>
  <c r="H695" i="22"/>
  <c r="H694" i="22" s="1"/>
  <c r="H693" i="22" s="1"/>
  <c r="H209" i="23"/>
  <c r="H702" i="22"/>
  <c r="H701" i="22" s="1"/>
  <c r="G746" i="22"/>
  <c r="G745" i="22" s="1"/>
  <c r="G740" i="22" s="1"/>
  <c r="G729" i="22" s="1"/>
  <c r="H747" i="22"/>
  <c r="H746" i="22" s="1"/>
  <c r="H745" i="22" s="1"/>
  <c r="H740" i="22" s="1"/>
  <c r="H29" i="23"/>
  <c r="H27" i="23"/>
  <c r="G375" i="23"/>
  <c r="G373" i="23"/>
  <c r="G378" i="23"/>
  <c r="G393" i="23"/>
  <c r="G391" i="23"/>
  <c r="G390" i="23" s="1"/>
  <c r="G389" i="23" s="1"/>
  <c r="G388" i="23" s="1"/>
  <c r="G387" i="23" s="1"/>
  <c r="G768" i="23"/>
  <c r="G766" i="23"/>
  <c r="G806" i="23"/>
  <c r="G804" i="23"/>
  <c r="G803" i="23" s="1"/>
  <c r="G75" i="23"/>
  <c r="G73" i="23"/>
  <c r="G72" i="23" s="1"/>
  <c r="G71" i="23" s="1"/>
  <c r="G70" i="23" s="1"/>
  <c r="G69" i="23" s="1"/>
  <c r="G82" i="23"/>
  <c r="G80" i="23"/>
  <c r="G79" i="23" s="1"/>
  <c r="G78" i="23" s="1"/>
  <c r="G77" i="23" s="1"/>
  <c r="G76" i="23" s="1"/>
  <c r="G89" i="23"/>
  <c r="G87" i="23"/>
  <c r="G86" i="23" s="1"/>
  <c r="G85" i="23" s="1"/>
  <c r="G84" i="23" s="1"/>
  <c r="G83" i="23" s="1"/>
  <c r="H471" i="23"/>
  <c r="H469" i="23"/>
  <c r="G512" i="23"/>
  <c r="G510" i="23"/>
  <c r="G515" i="23"/>
  <c r="G513" i="23"/>
  <c r="H531" i="23"/>
  <c r="H529" i="23"/>
  <c r="H528" i="23" s="1"/>
  <c r="H527" i="23" s="1"/>
  <c r="H526" i="23" s="1"/>
  <c r="G59" i="23"/>
  <c r="G57" i="23"/>
  <c r="G56" i="23" s="1"/>
  <c r="H489" i="23"/>
  <c r="H487" i="23"/>
  <c r="H562" i="23"/>
  <c r="H561" i="23" s="1"/>
  <c r="H564" i="23"/>
  <c r="G67" i="23"/>
  <c r="G65" i="23"/>
  <c r="G64" i="23" s="1"/>
  <c r="G63" i="23" s="1"/>
  <c r="G62" i="23" s="1"/>
  <c r="G61" i="23" s="1"/>
  <c r="G60" i="23" s="1"/>
  <c r="H126" i="23"/>
  <c r="H124" i="23"/>
  <c r="H543" i="23"/>
  <c r="H541" i="23"/>
  <c r="H540" i="23" s="1"/>
  <c r="H539" i="23" s="1"/>
  <c r="H538" i="23" s="1"/>
  <c r="H147" i="23"/>
  <c r="H145" i="23"/>
  <c r="H144" i="23" s="1"/>
  <c r="H143" i="23" s="1"/>
  <c r="H168" i="23"/>
  <c r="H166" i="23"/>
  <c r="H165" i="23" s="1"/>
  <c r="G267" i="23"/>
  <c r="G266" i="23" s="1"/>
  <c r="G269" i="23"/>
  <c r="G290" i="23"/>
  <c r="G288" i="23"/>
  <c r="G287" i="23" s="1"/>
  <c r="G286" i="23" s="1"/>
  <c r="G285" i="23" s="1"/>
  <c r="G284" i="23" s="1"/>
  <c r="H196" i="23"/>
  <c r="H629" i="22"/>
  <c r="H628" i="22" s="1"/>
  <c r="G235" i="23"/>
  <c r="G233" i="23"/>
  <c r="G232" i="23" s="1"/>
  <c r="H277" i="23"/>
  <c r="H652" i="22"/>
  <c r="H651" i="22" s="1"/>
  <c r="H647" i="22" s="1"/>
  <c r="H335" i="23"/>
  <c r="H674" i="22"/>
  <c r="H673" i="22" s="1"/>
  <c r="G342" i="23"/>
  <c r="G679" i="22"/>
  <c r="G678" i="22" s="1"/>
  <c r="G677" i="22" s="1"/>
  <c r="G707" i="22"/>
  <c r="H708" i="22"/>
  <c r="H707" i="22" s="1"/>
  <c r="G419" i="23"/>
  <c r="H774" i="22"/>
  <c r="H419" i="23" s="1"/>
  <c r="G274" i="23"/>
  <c r="G272" i="23"/>
  <c r="G271" i="23" s="1"/>
  <c r="H699" i="22"/>
  <c r="H698" i="22" s="1"/>
  <c r="H413" i="23"/>
  <c r="H411" i="23"/>
  <c r="H410" i="23" s="1"/>
  <c r="H409" i="23" s="1"/>
  <c r="H408" i="23" s="1"/>
  <c r="H407" i="23" s="1"/>
  <c r="G428" i="23"/>
  <c r="G426" i="23"/>
  <c r="G425" i="23" s="1"/>
  <c r="G435" i="23"/>
  <c r="G433" i="23"/>
  <c r="G432" i="23" s="1"/>
  <c r="H791" i="22"/>
  <c r="H790" i="22" s="1"/>
  <c r="H789" i="22" s="1"/>
  <c r="H1124" i="22" s="1"/>
  <c r="H830" i="22"/>
  <c r="G870" i="22"/>
  <c r="G867" i="22" s="1"/>
  <c r="H888" i="22"/>
  <c r="G957" i="22"/>
  <c r="G956" i="22" s="1"/>
  <c r="G955" i="22" s="1"/>
  <c r="G954" i="22" s="1"/>
  <c r="G680" i="23"/>
  <c r="G678" i="23"/>
  <c r="G677" i="23" s="1"/>
  <c r="H1012" i="22"/>
  <c r="H1050" i="22"/>
  <c r="H1049" i="22" s="1"/>
  <c r="G1070" i="22"/>
  <c r="G1069" i="22" s="1"/>
  <c r="G1068" i="22" s="1"/>
  <c r="G1067" i="22" s="1"/>
  <c r="H22" i="23"/>
  <c r="H127" i="23"/>
  <c r="G318" i="23"/>
  <c r="G314" i="23"/>
  <c r="G313" i="23" s="1"/>
  <c r="G312" i="23" s="1"/>
  <c r="H193" i="23"/>
  <c r="H191" i="23"/>
  <c r="H190" i="23" s="1"/>
  <c r="H650" i="22"/>
  <c r="H206" i="23"/>
  <c r="H204" i="23"/>
  <c r="H203" i="23" s="1"/>
  <c r="H424" i="23"/>
  <c r="H422" i="23"/>
  <c r="H421" i="23" s="1"/>
  <c r="H781" i="22"/>
  <c r="H785" i="22"/>
  <c r="H434" i="23" s="1"/>
  <c r="H787" i="22"/>
  <c r="H786" i="22" s="1"/>
  <c r="H782" i="22" s="1"/>
  <c r="G444" i="23"/>
  <c r="G443" i="23" s="1"/>
  <c r="G442" i="23" s="1"/>
  <c r="G441" i="23" s="1"/>
  <c r="G440" i="23" s="1"/>
  <c r="G446" i="23"/>
  <c r="G829" i="22"/>
  <c r="G826" i="22" s="1"/>
  <c r="G825" i="22" s="1"/>
  <c r="G824" i="22" s="1"/>
  <c r="H870" i="22"/>
  <c r="H867" i="22" s="1"/>
  <c r="G660" i="23"/>
  <c r="H973" i="22"/>
  <c r="H660" i="23" s="1"/>
  <c r="G859" i="23"/>
  <c r="G1001" i="22"/>
  <c r="G1000" i="22" s="1"/>
  <c r="G999" i="22" s="1"/>
  <c r="G998" i="22" s="1"/>
  <c r="G1146" i="22" s="1"/>
  <c r="H1002" i="22"/>
  <c r="G177" i="23"/>
  <c r="G725" i="23"/>
  <c r="G723" i="23"/>
  <c r="G722" i="23" s="1"/>
  <c r="G721" i="23" s="1"/>
  <c r="G720" i="23" s="1"/>
  <c r="G719" i="23" s="1"/>
  <c r="G732" i="23"/>
  <c r="G730" i="23"/>
  <c r="G729" i="23" s="1"/>
  <c r="G728" i="23" s="1"/>
  <c r="G727" i="23" s="1"/>
  <c r="G726" i="23" s="1"/>
  <c r="G746" i="23"/>
  <c r="G744" i="23"/>
  <c r="G743" i="23" s="1"/>
  <c r="G742" i="23" s="1"/>
  <c r="G741" i="23" s="1"/>
  <c r="G740" i="23" s="1"/>
  <c r="G753" i="23"/>
  <c r="G751" i="23"/>
  <c r="G750" i="23" s="1"/>
  <c r="G749" i="23" s="1"/>
  <c r="G748" i="23" s="1"/>
  <c r="G747" i="23" s="1"/>
  <c r="G760" i="23"/>
  <c r="G758" i="23"/>
  <c r="G757" i="23" s="1"/>
  <c r="G756" i="23" s="1"/>
  <c r="G755" i="23" s="1"/>
  <c r="G754" i="23" s="1"/>
  <c r="H1017" i="22"/>
  <c r="G456" i="23"/>
  <c r="G454" i="23"/>
  <c r="H725" i="23"/>
  <c r="H739" i="23"/>
  <c r="H737" i="23"/>
  <c r="H736" i="23" s="1"/>
  <c r="H735" i="23" s="1"/>
  <c r="H734" i="23" s="1"/>
  <c r="H733" i="23" s="1"/>
  <c r="H746" i="23"/>
  <c r="H744" i="23"/>
  <c r="H743" i="23" s="1"/>
  <c r="H742" i="23" s="1"/>
  <c r="H741" i="23" s="1"/>
  <c r="H740" i="23" s="1"/>
  <c r="H753" i="23"/>
  <c r="H751" i="23"/>
  <c r="H750" i="23" s="1"/>
  <c r="H749" i="23" s="1"/>
  <c r="H748" i="23" s="1"/>
  <c r="H747" i="23" s="1"/>
  <c r="H758" i="23"/>
  <c r="H757" i="23" s="1"/>
  <c r="H756" i="23" s="1"/>
  <c r="H755" i="23" s="1"/>
  <c r="H754" i="23" s="1"/>
  <c r="G23" i="23"/>
  <c r="G21" i="23"/>
  <c r="G676" i="23"/>
  <c r="G674" i="23"/>
  <c r="G121" i="23"/>
  <c r="G120" i="23" s="1"/>
  <c r="G119" i="23" s="1"/>
  <c r="G118" i="23" s="1"/>
  <c r="G117" i="23" s="1"/>
  <c r="G206" i="23"/>
  <c r="G204" i="23"/>
  <c r="G203" i="23" s="1"/>
  <c r="G210" i="23"/>
  <c r="G208" i="23"/>
  <c r="G207" i="23" s="1"/>
  <c r="G254" i="23"/>
  <c r="G252" i="23"/>
  <c r="G251" i="23" s="1"/>
  <c r="G250" i="23" s="1"/>
  <c r="G249" i="23" s="1"/>
  <c r="G248" i="23" s="1"/>
  <c r="H304" i="23"/>
  <c r="H302" i="23"/>
  <c r="H301" i="23" s="1"/>
  <c r="H300" i="23" s="1"/>
  <c r="H299" i="23" s="1"/>
  <c r="H298" i="23" s="1"/>
  <c r="G357" i="23"/>
  <c r="G358" i="23"/>
  <c r="G671" i="23"/>
  <c r="G670" i="23" s="1"/>
  <c r="G673" i="23"/>
  <c r="G152" i="23"/>
  <c r="G150" i="23"/>
  <c r="G149" i="23" s="1"/>
  <c r="G148" i="23" s="1"/>
  <c r="G142" i="23" s="1"/>
  <c r="G141" i="23" s="1"/>
  <c r="H254" i="23"/>
  <c r="H252" i="23"/>
  <c r="H251" i="23" s="1"/>
  <c r="H250" i="23" s="1"/>
  <c r="H249" i="23" s="1"/>
  <c r="H248" i="23" s="1"/>
  <c r="G278" i="23"/>
  <c r="G276" i="23"/>
  <c r="G275" i="23" s="1"/>
  <c r="G164" i="23"/>
  <c r="G162" i="23"/>
  <c r="G161" i="23" s="1"/>
  <c r="G168" i="23"/>
  <c r="G166" i="23"/>
  <c r="G165" i="23" s="1"/>
  <c r="G176" i="23"/>
  <c r="G174" i="23"/>
  <c r="G173" i="23" s="1"/>
  <c r="H318" i="23"/>
  <c r="H314" i="23"/>
  <c r="H313" i="23" s="1"/>
  <c r="H312" i="23" s="1"/>
  <c r="H386" i="23"/>
  <c r="H384" i="23"/>
  <c r="H383" i="23" s="1"/>
  <c r="H176" i="23"/>
  <c r="H174" i="23"/>
  <c r="H173" i="23" s="1"/>
  <c r="G304" i="23"/>
  <c r="G302" i="23"/>
  <c r="G301" i="23" s="1"/>
  <c r="G300" i="23" s="1"/>
  <c r="G299" i="23" s="1"/>
  <c r="G298" i="23" s="1"/>
  <c r="G345" i="23"/>
  <c r="G344" i="23"/>
  <c r="G370" i="23"/>
  <c r="G366" i="23"/>
  <c r="H382" i="23"/>
  <c r="H380" i="23"/>
  <c r="H379" i="23" s="1"/>
  <c r="G380" i="23"/>
  <c r="G379" i="23" s="1"/>
  <c r="G384" i="23"/>
  <c r="G383" i="23" s="1"/>
  <c r="G439" i="23"/>
  <c r="G437" i="23"/>
  <c r="G436" i="23" s="1"/>
  <c r="G474" i="23"/>
  <c r="G472" i="23"/>
  <c r="H521" i="23"/>
  <c r="H519" i="23"/>
  <c r="G568" i="23"/>
  <c r="G566" i="23"/>
  <c r="G565" i="23" s="1"/>
  <c r="G626" i="23"/>
  <c r="G624" i="23"/>
  <c r="G623" i="23" s="1"/>
  <c r="G622" i="23" s="1"/>
  <c r="H637" i="23"/>
  <c r="H633" i="23"/>
  <c r="H627" i="23" s="1"/>
  <c r="H655" i="23"/>
  <c r="H653" i="23"/>
  <c r="H669" i="23"/>
  <c r="H667" i="23"/>
  <c r="H666" i="23" s="1"/>
  <c r="G710" i="23"/>
  <c r="G708" i="23"/>
  <c r="G707" i="23" s="1"/>
  <c r="G706" i="23" s="1"/>
  <c r="G705" i="23" s="1"/>
  <c r="G704" i="23" s="1"/>
  <c r="G413" i="23"/>
  <c r="G411" i="23"/>
  <c r="G410" i="23" s="1"/>
  <c r="G409" i="23" s="1"/>
  <c r="G408" i="23" s="1"/>
  <c r="G407" i="23" s="1"/>
  <c r="G486" i="23"/>
  <c r="G484" i="23"/>
  <c r="H621" i="23"/>
  <c r="G614" i="21" s="1"/>
  <c r="G613" i="21" s="1"/>
  <c r="G612" i="21" s="1"/>
  <c r="G611" i="21" s="1"/>
  <c r="G610" i="21" s="1"/>
  <c r="H619" i="23"/>
  <c r="H618" i="23" s="1"/>
  <c r="H617" i="23" s="1"/>
  <c r="G632" i="23"/>
  <c r="G630" i="23"/>
  <c r="G629" i="23" s="1"/>
  <c r="G628" i="23" s="1"/>
  <c r="G453" i="23"/>
  <c r="G451" i="23"/>
  <c r="G564" i="23"/>
  <c r="G562" i="23"/>
  <c r="G561" i="23" s="1"/>
  <c r="G616" i="23"/>
  <c r="G614" i="23"/>
  <c r="G613" i="23" s="1"/>
  <c r="G612" i="23" s="1"/>
  <c r="H673" i="23"/>
  <c r="H671" i="23"/>
  <c r="G684" i="23"/>
  <c r="G682" i="23"/>
  <c r="G681" i="23" s="1"/>
  <c r="G878" i="23"/>
  <c r="G877" i="23"/>
  <c r="H453" i="23"/>
  <c r="H451" i="23"/>
  <c r="G498" i="23"/>
  <c r="G496" i="23"/>
  <c r="G492" i="23" s="1"/>
  <c r="G491" i="23" s="1"/>
  <c r="G490" i="23" s="1"/>
  <c r="H575" i="23"/>
  <c r="H573" i="23"/>
  <c r="H572" i="23" s="1"/>
  <c r="H626" i="23"/>
  <c r="H622" i="23"/>
  <c r="H695" i="23"/>
  <c r="H693" i="23"/>
  <c r="H692" i="23" s="1"/>
  <c r="G862" i="23"/>
  <c r="G861" i="23"/>
  <c r="G870" i="23"/>
  <c r="G869" i="23"/>
  <c r="G876" i="23" s="1"/>
  <c r="G550" i="23"/>
  <c r="G548" i="23"/>
  <c r="G547" i="23" s="1"/>
  <c r="G554" i="23"/>
  <c r="G552" i="23"/>
  <c r="G551" i="23" s="1"/>
  <c r="G596" i="23"/>
  <c r="G594" i="23"/>
  <c r="G593" i="23" s="1"/>
  <c r="G592" i="23" s="1"/>
  <c r="G591" i="23" s="1"/>
  <c r="G590" i="23" s="1"/>
  <c r="G610" i="23"/>
  <c r="G608" i="23"/>
  <c r="G607" i="23" s="1"/>
  <c r="G606" i="23" s="1"/>
  <c r="G605" i="23" s="1"/>
  <c r="H643" i="23"/>
  <c r="H641" i="23"/>
  <c r="H640" i="23" s="1"/>
  <c r="H639" i="23" s="1"/>
  <c r="H638" i="23" s="1"/>
  <c r="G604" i="23"/>
  <c r="G602" i="23"/>
  <c r="G601" i="23" s="1"/>
  <c r="G600" i="23" s="1"/>
  <c r="G599" i="23" s="1"/>
  <c r="H651" i="23"/>
  <c r="H649" i="23"/>
  <c r="H648" i="23" s="1"/>
  <c r="H665" i="23"/>
  <c r="H663" i="23"/>
  <c r="H662" i="23" s="1"/>
  <c r="H878" i="23"/>
  <c r="H877" i="23"/>
  <c r="G819" i="23"/>
  <c r="H870" i="23"/>
  <c r="H869" i="23"/>
  <c r="H876" i="23" s="1"/>
  <c r="G769" i="23"/>
  <c r="G780" i="23"/>
  <c r="G779" i="23" s="1"/>
  <c r="G784" i="23"/>
  <c r="G783" i="23" s="1"/>
  <c r="G792" i="23"/>
  <c r="G791" i="23" s="1"/>
  <c r="G800" i="23"/>
  <c r="G799" i="23" s="1"/>
  <c r="G816" i="23"/>
  <c r="G815" i="23" s="1"/>
  <c r="G814" i="23" s="1"/>
  <c r="H769" i="23"/>
  <c r="H780" i="23"/>
  <c r="H779" i="23" s="1"/>
  <c r="H784" i="23"/>
  <c r="H783" i="23" s="1"/>
  <c r="H800" i="23"/>
  <c r="H799" i="23" s="1"/>
  <c r="H816" i="23"/>
  <c r="H815" i="23" s="1"/>
  <c r="H814" i="23" s="1"/>
  <c r="H866" i="23"/>
  <c r="H865" i="23" s="1"/>
  <c r="H864" i="23" s="1"/>
  <c r="H863" i="23" s="1"/>
  <c r="G285" i="4"/>
  <c r="I285" i="4" s="1"/>
  <c r="G760" i="4"/>
  <c r="I760" i="4" s="1"/>
  <c r="G790" i="4"/>
  <c r="I790" i="4" s="1"/>
  <c r="G788" i="4"/>
  <c r="I788" i="4" s="1"/>
  <c r="G575" i="4"/>
  <c r="I575" i="4" s="1"/>
  <c r="G637" i="4"/>
  <c r="I637" i="4" s="1"/>
  <c r="G734" i="4"/>
  <c r="I734" i="4" s="1"/>
  <c r="F488" i="3"/>
  <c r="F964" i="3"/>
  <c r="G456" i="5"/>
  <c r="G916" i="4"/>
  <c r="I916" i="4" s="1"/>
  <c r="G1039" i="4"/>
  <c r="I1039" i="4" s="1"/>
  <c r="H297" i="22" l="1"/>
  <c r="H296" i="22" s="1"/>
  <c r="G766" i="22"/>
  <c r="H919" i="22"/>
  <c r="H1143" i="22" s="1"/>
  <c r="F107" i="21"/>
  <c r="F106" i="21" s="1"/>
  <c r="D15" i="20" s="1"/>
  <c r="F63" i="21"/>
  <c r="G1048" i="22"/>
  <c r="F183" i="21"/>
  <c r="F182" i="21" s="1"/>
  <c r="D31" i="19"/>
  <c r="G295" i="22"/>
  <c r="G469" i="22"/>
  <c r="G468" i="22" s="1"/>
  <c r="G1125" i="22" s="1"/>
  <c r="G359" i="21"/>
  <c r="D9" i="19"/>
  <c r="G35" i="22"/>
  <c r="G34" i="22" s="1"/>
  <c r="G33" i="22" s="1"/>
  <c r="F91" i="21"/>
  <c r="F90" i="21" s="1"/>
  <c r="F85" i="21" s="1"/>
  <c r="G317" i="22"/>
  <c r="G1115" i="22" s="1"/>
  <c r="H36" i="23"/>
  <c r="H35" i="23" s="1"/>
  <c r="H38" i="23"/>
  <c r="F122" i="19"/>
  <c r="H70" i="22"/>
  <c r="F46" i="21"/>
  <c r="F45" i="21" s="1"/>
  <c r="H404" i="23"/>
  <c r="H229" i="22"/>
  <c r="H228" i="22" s="1"/>
  <c r="H227" i="22" s="1"/>
  <c r="H226" i="22" s="1"/>
  <c r="G862" i="21"/>
  <c r="G861" i="21" s="1"/>
  <c r="G860" i="21" s="1"/>
  <c r="G859" i="21" s="1"/>
  <c r="G858" i="21" s="1"/>
  <c r="F963" i="3"/>
  <c r="H964" i="3"/>
  <c r="G24" i="23"/>
  <c r="H689" i="23"/>
  <c r="H688" i="23" s="1"/>
  <c r="H317" i="22"/>
  <c r="H361" i="23"/>
  <c r="H360" i="23" s="1"/>
  <c r="H359" i="23" s="1"/>
  <c r="G837" i="21"/>
  <c r="G836" i="21" s="1"/>
  <c r="E43" i="20" s="1"/>
  <c r="E41" i="20" s="1"/>
  <c r="H64" i="21"/>
  <c r="F283" i="21"/>
  <c r="F249" i="21" s="1"/>
  <c r="F159" i="21"/>
  <c r="F137" i="21" s="1"/>
  <c r="H732" i="23"/>
  <c r="G803" i="22"/>
  <c r="G431" i="23"/>
  <c r="G430" i="23" s="1"/>
  <c r="G429" i="23" s="1"/>
  <c r="H225" i="23"/>
  <c r="H556" i="23"/>
  <c r="H555" i="23" s="1"/>
  <c r="H566" i="23"/>
  <c r="H565" i="23" s="1"/>
  <c r="G695" i="21"/>
  <c r="G694" i="21" s="1"/>
  <c r="G693" i="21" s="1"/>
  <c r="G692" i="21" s="1"/>
  <c r="F359" i="21"/>
  <c r="G47" i="21"/>
  <c r="F807" i="21"/>
  <c r="F806" i="21" s="1"/>
  <c r="F795" i="21" s="1"/>
  <c r="D40" i="20" s="1"/>
  <c r="D38" i="20" s="1"/>
  <c r="D75" i="19"/>
  <c r="D74" i="19" s="1"/>
  <c r="D156" i="19" s="1"/>
  <c r="H1098" i="22" s="1"/>
  <c r="H445" i="23"/>
  <c r="F136" i="19"/>
  <c r="G912" i="21"/>
  <c r="G911" i="21" s="1"/>
  <c r="G910" i="21" s="1"/>
  <c r="G909" i="21" s="1"/>
  <c r="F644" i="21"/>
  <c r="F620" i="21" s="1"/>
  <c r="D35" i="20" s="1"/>
  <c r="H32" i="21"/>
  <c r="H581" i="23"/>
  <c r="G776" i="21"/>
  <c r="G775" i="21" s="1"/>
  <c r="G774" i="21" s="1"/>
  <c r="G773" i="21" s="1"/>
  <c r="G236" i="22"/>
  <c r="G235" i="22" s="1"/>
  <c r="G234" i="22" s="1"/>
  <c r="E124" i="19"/>
  <c r="H1048" i="22"/>
  <c r="H1118" i="22"/>
  <c r="H33" i="22"/>
  <c r="C9" i="19"/>
  <c r="G980" i="22"/>
  <c r="G964" i="22" s="1"/>
  <c r="G959" i="22" s="1"/>
  <c r="G1141" i="22" s="1"/>
  <c r="G127" i="23"/>
  <c r="F480" i="21"/>
  <c r="F479" i="21" s="1"/>
  <c r="D33" i="20" s="1"/>
  <c r="G687" i="23"/>
  <c r="G686" i="23" s="1"/>
  <c r="G685" i="23" s="1"/>
  <c r="F487" i="3"/>
  <c r="H487" i="3" s="1"/>
  <c r="H488" i="3"/>
  <c r="G450" i="23"/>
  <c r="G449" i="23" s="1"/>
  <c r="G448" i="23" s="1"/>
  <c r="G447" i="23" s="1"/>
  <c r="G468" i="23"/>
  <c r="G467" i="23" s="1"/>
  <c r="G466" i="23" s="1"/>
  <c r="G691" i="23"/>
  <c r="H1016" i="22"/>
  <c r="G610" i="22"/>
  <c r="G609" i="22" s="1"/>
  <c r="G133" i="23"/>
  <c r="G46" i="21"/>
  <c r="H139" i="21"/>
  <c r="G743" i="21"/>
  <c r="G742" i="21" s="1"/>
  <c r="E39" i="20" s="1"/>
  <c r="G174" i="22"/>
  <c r="G173" i="22" s="1"/>
  <c r="G172" i="22" s="1"/>
  <c r="G1106" i="22" s="1"/>
  <c r="H765" i="23"/>
  <c r="H1069" i="22"/>
  <c r="H1068" i="22" s="1"/>
  <c r="H1067" i="22" s="1"/>
  <c r="G423" i="22"/>
  <c r="G422" i="22" s="1"/>
  <c r="G411" i="22" s="1"/>
  <c r="G357" i="22" s="1"/>
  <c r="G1116" i="22" s="1"/>
  <c r="G1117" i="22" s="1"/>
  <c r="H175" i="22"/>
  <c r="G504" i="21"/>
  <c r="G503" i="21" s="1"/>
  <c r="G502" i="21" s="1"/>
  <c r="H427" i="22"/>
  <c r="G812" i="21"/>
  <c r="G811" i="21" s="1"/>
  <c r="G207" i="22"/>
  <c r="G206" i="22" s="1"/>
  <c r="G205" i="22" s="1"/>
  <c r="G191" i="22" s="1"/>
  <c r="E123" i="19"/>
  <c r="H735" i="22"/>
  <c r="H732" i="22" s="1"/>
  <c r="H731" i="22" s="1"/>
  <c r="H730" i="22" s="1"/>
  <c r="G721" i="21"/>
  <c r="G720" i="21" s="1"/>
  <c r="G717" i="21" s="1"/>
  <c r="G716" i="21" s="1"/>
  <c r="G715" i="21" s="1"/>
  <c r="G714" i="21" s="1"/>
  <c r="E37" i="20" s="1"/>
  <c r="H34" i="23"/>
  <c r="H33" i="23" s="1"/>
  <c r="F443" i="21"/>
  <c r="D31" i="20" s="1"/>
  <c r="H789" i="23"/>
  <c r="G195" i="21"/>
  <c r="G194" i="21" s="1"/>
  <c r="G193" i="21" s="1"/>
  <c r="G183" i="21" s="1"/>
  <c r="G182" i="21" s="1"/>
  <c r="G457" i="5"/>
  <c r="I457" i="5" s="1"/>
  <c r="I456" i="5"/>
  <c r="G31" i="21"/>
  <c r="G30" i="21" s="1"/>
  <c r="G29" i="21" s="1"/>
  <c r="E13" i="20" s="1"/>
  <c r="H611" i="23"/>
  <c r="H598" i="23" s="1"/>
  <c r="H597" i="23" s="1"/>
  <c r="H507" i="23"/>
  <c r="G656" i="21"/>
  <c r="G655" i="21" s="1"/>
  <c r="G654" i="21" s="1"/>
  <c r="H11" i="22"/>
  <c r="H10" i="22" s="1"/>
  <c r="H106" i="21"/>
  <c r="H808" i="23"/>
  <c r="H807" i="23" s="1"/>
  <c r="H670" i="23"/>
  <c r="H306" i="22"/>
  <c r="H305" i="22" s="1"/>
  <c r="F543" i="21"/>
  <c r="F542" i="21" s="1"/>
  <c r="D34" i="20" s="1"/>
  <c r="D32" i="20" s="1"/>
  <c r="G492" i="22"/>
  <c r="G491" i="22" s="1"/>
  <c r="G490" i="22" s="1"/>
  <c r="H48" i="21"/>
  <c r="G239" i="21"/>
  <c r="G238" i="21" s="1"/>
  <c r="G237" i="21" s="1"/>
  <c r="H851" i="23"/>
  <c r="G207" i="21"/>
  <c r="G206" i="21" s="1"/>
  <c r="G205" i="21" s="1"/>
  <c r="G204" i="21" s="1"/>
  <c r="H153" i="22"/>
  <c r="H152" i="22" s="1"/>
  <c r="H151" i="22" s="1"/>
  <c r="H146" i="22" s="1"/>
  <c r="H130" i="22" s="1"/>
  <c r="G627" i="23"/>
  <c r="G480" i="23"/>
  <c r="G479" i="23" s="1"/>
  <c r="G478" i="23" s="1"/>
  <c r="G465" i="23" s="1"/>
  <c r="H674" i="23"/>
  <c r="G658" i="23"/>
  <c r="H656" i="23"/>
  <c r="H615" i="22"/>
  <c r="H525" i="23"/>
  <c r="G509" i="23"/>
  <c r="G504" i="23" s="1"/>
  <c r="G503" i="23" s="1"/>
  <c r="G502" i="23" s="1"/>
  <c r="G68" i="23"/>
  <c r="H729" i="22"/>
  <c r="H227" i="23"/>
  <c r="H226" i="23" s="1"/>
  <c r="H472" i="22"/>
  <c r="H471" i="22" s="1"/>
  <c r="H49" i="23"/>
  <c r="G172" i="23"/>
  <c r="G42" i="23"/>
  <c r="G218" i="22"/>
  <c r="G1119" i="22" s="1"/>
  <c r="G70" i="22"/>
  <c r="K22" i="19"/>
  <c r="K10" i="19" s="1"/>
  <c r="H844" i="22"/>
  <c r="H839" i="22" s="1"/>
  <c r="H835" i="22" s="1"/>
  <c r="H834" i="22" s="1"/>
  <c r="H833" i="22" s="1"/>
  <c r="H832" i="22" s="1"/>
  <c r="G148" i="21"/>
  <c r="G147" i="21" s="1"/>
  <c r="G142" i="21" s="1"/>
  <c r="G138" i="21" s="1"/>
  <c r="G137" i="21" s="1"/>
  <c r="H242" i="23"/>
  <c r="G576" i="21"/>
  <c r="G575" i="21" s="1"/>
  <c r="G574" i="21" s="1"/>
  <c r="H25" i="23"/>
  <c r="G280" i="21"/>
  <c r="G279" i="21" s="1"/>
  <c r="G276" i="21" s="1"/>
  <c r="G275" i="21" s="1"/>
  <c r="G270" i="21" s="1"/>
  <c r="G269" i="21" s="1"/>
  <c r="E25" i="20" s="1"/>
  <c r="F700" i="21"/>
  <c r="F699" i="21" s="1"/>
  <c r="F691" i="21" s="1"/>
  <c r="F690" i="21" s="1"/>
  <c r="F689" i="21" s="1"/>
  <c r="D36" i="20" s="1"/>
  <c r="G666" i="21"/>
  <c r="H1089" i="22"/>
  <c r="H1086" i="22" s="1"/>
  <c r="H1085" i="22" s="1"/>
  <c r="H1084" i="22" s="1"/>
  <c r="H1083" i="22" s="1"/>
  <c r="G113" i="21"/>
  <c r="G112" i="21" s="1"/>
  <c r="G109" i="21" s="1"/>
  <c r="G108" i="21" s="1"/>
  <c r="G107" i="21" s="1"/>
  <c r="G106" i="21" s="1"/>
  <c r="E15" i="20" s="1"/>
  <c r="H957" i="22"/>
  <c r="H956" i="22" s="1"/>
  <c r="H955" i="22" s="1"/>
  <c r="H954" i="22" s="1"/>
  <c r="G398" i="21"/>
  <c r="G397" i="21" s="1"/>
  <c r="G396" i="21" s="1"/>
  <c r="G395" i="21" s="1"/>
  <c r="G394" i="21" s="1"/>
  <c r="H429" i="22"/>
  <c r="H424" i="22" s="1"/>
  <c r="H423" i="22" s="1"/>
  <c r="H422" i="22" s="1"/>
  <c r="H411" i="22" s="1"/>
  <c r="G814" i="21"/>
  <c r="G813" i="21" s="1"/>
  <c r="G808" i="21" s="1"/>
  <c r="G807" i="21" s="1"/>
  <c r="G806" i="21" s="1"/>
  <c r="G795" i="21" s="1"/>
  <c r="E40" i="20" s="1"/>
  <c r="E38" i="20" s="1"/>
  <c r="G233" i="21"/>
  <c r="G109" i="23"/>
  <c r="F923" i="21"/>
  <c r="D48" i="20" s="1"/>
  <c r="G199" i="21"/>
  <c r="G136" i="21" s="1"/>
  <c r="E17" i="20" s="1"/>
  <c r="H1009" i="22"/>
  <c r="G450" i="21"/>
  <c r="G449" i="21" s="1"/>
  <c r="G12" i="23"/>
  <c r="G11" i="23" s="1"/>
  <c r="G10" i="23"/>
  <c r="H260" i="23"/>
  <c r="G511" i="21"/>
  <c r="G510" i="21" s="1"/>
  <c r="G509" i="21" s="1"/>
  <c r="G560" i="23"/>
  <c r="G559" i="23" s="1"/>
  <c r="G737" i="23"/>
  <c r="G736" i="23" s="1"/>
  <c r="G735" i="23" s="1"/>
  <c r="G734" i="23" s="1"/>
  <c r="G733" i="23" s="1"/>
  <c r="G711" i="23" s="1"/>
  <c r="H437" i="23"/>
  <c r="H436" i="23" s="1"/>
  <c r="H552" i="23"/>
  <c r="H551" i="23" s="1"/>
  <c r="H546" i="23" s="1"/>
  <c r="H545" i="23" s="1"/>
  <c r="H524" i="23"/>
  <c r="G571" i="23"/>
  <c r="G570" i="23" s="1"/>
  <c r="G569" i="23"/>
  <c r="H819" i="22"/>
  <c r="H814" i="22" s="1"/>
  <c r="H813" i="22" s="1"/>
  <c r="H812" i="22" s="1"/>
  <c r="G940" i="21"/>
  <c r="G939" i="21" s="1"/>
  <c r="G934" i="21" s="1"/>
  <c r="G933" i="21" s="1"/>
  <c r="G932" i="21" s="1"/>
  <c r="H220" i="23"/>
  <c r="G501" i="21"/>
  <c r="G500" i="21" s="1"/>
  <c r="G499" i="21" s="1"/>
  <c r="H186" i="22"/>
  <c r="H183" i="22" s="1"/>
  <c r="G245" i="21"/>
  <c r="G244" i="21" s="1"/>
  <c r="G241" i="21" s="1"/>
  <c r="H171" i="23"/>
  <c r="H563" i="22"/>
  <c r="H562" i="22" s="1"/>
  <c r="H555" i="22" s="1"/>
  <c r="G494" i="21"/>
  <c r="G493" i="21" s="1"/>
  <c r="G492" i="21" s="1"/>
  <c r="G485" i="21" s="1"/>
  <c r="G798" i="23"/>
  <c r="G797" i="23" s="1"/>
  <c r="G796" i="23" s="1"/>
  <c r="H711" i="23"/>
  <c r="H560" i="23"/>
  <c r="H559" i="23" s="1"/>
  <c r="G550" i="22"/>
  <c r="G10" i="21"/>
  <c r="E9" i="19"/>
  <c r="F136" i="21"/>
  <c r="D17" i="20" s="1"/>
  <c r="G955" i="21"/>
  <c r="G954" i="21" s="1"/>
  <c r="G953" i="21" s="1"/>
  <c r="G952" i="21" s="1"/>
  <c r="H236" i="22"/>
  <c r="F124" i="19"/>
  <c r="G455" i="5"/>
  <c r="G549" i="22"/>
  <c r="G548" i="22" s="1"/>
  <c r="G1139" i="22"/>
  <c r="G294" i="22"/>
  <c r="H1144" i="22"/>
  <c r="D26" i="20"/>
  <c r="D22" i="20" s="1"/>
  <c r="G274" i="22"/>
  <c r="G273" i="22" s="1"/>
  <c r="H571" i="23"/>
  <c r="H570" i="23" s="1"/>
  <c r="H569" i="23"/>
  <c r="H887" i="22"/>
  <c r="H886" i="22" s="1"/>
  <c r="H877" i="22" s="1"/>
  <c r="H876" i="22" s="1"/>
  <c r="H875" i="22" s="1"/>
  <c r="G328" i="21"/>
  <c r="G327" i="21" s="1"/>
  <c r="G326" i="21" s="1"/>
  <c r="G418" i="23"/>
  <c r="G417" i="23" s="1"/>
  <c r="G416" i="23" s="1"/>
  <c r="G415" i="23" s="1"/>
  <c r="G414" i="23" s="1"/>
  <c r="G420" i="23"/>
  <c r="G160" i="23"/>
  <c r="H687" i="23"/>
  <c r="H686" i="23" s="1"/>
  <c r="H685" i="23" s="1"/>
  <c r="G661" i="23"/>
  <c r="G659" i="23"/>
  <c r="G652" i="23" s="1"/>
  <c r="G647" i="23" s="1"/>
  <c r="G646" i="23" s="1"/>
  <c r="G645" i="23" s="1"/>
  <c r="G644" i="23" s="1"/>
  <c r="H273" i="23"/>
  <c r="G583" i="21"/>
  <c r="G582" i="21" s="1"/>
  <c r="G581" i="21" s="1"/>
  <c r="G580" i="21" s="1"/>
  <c r="H23" i="23"/>
  <c r="H21" i="23"/>
  <c r="H1011" i="22"/>
  <c r="H1006" i="22" s="1"/>
  <c r="H1005" i="22" s="1"/>
  <c r="H1004" i="22" s="1"/>
  <c r="H1003" i="22" s="1"/>
  <c r="G452" i="21"/>
  <c r="G451" i="21" s="1"/>
  <c r="H455" i="23"/>
  <c r="H829" i="22"/>
  <c r="H826" i="22" s="1"/>
  <c r="H825" i="22" s="1"/>
  <c r="H824" i="22" s="1"/>
  <c r="G950" i="21"/>
  <c r="G949" i="21" s="1"/>
  <c r="G946" i="21" s="1"/>
  <c r="G945" i="21" s="1"/>
  <c r="G944" i="21" s="1"/>
  <c r="G55" i="23"/>
  <c r="G54" i="23" s="1"/>
  <c r="G53" i="23"/>
  <c r="H468" i="23"/>
  <c r="H467" i="23" s="1"/>
  <c r="H466" i="23" s="1"/>
  <c r="G372" i="23"/>
  <c r="G371" i="23" s="1"/>
  <c r="G365" i="23" s="1"/>
  <c r="G364" i="23" s="1"/>
  <c r="G1112" i="22"/>
  <c r="H155" i="23"/>
  <c r="H154" i="23" s="1"/>
  <c r="H153" i="23" s="1"/>
  <c r="H142" i="23" s="1"/>
  <c r="H141" i="23" s="1"/>
  <c r="H157" i="23"/>
  <c r="H492" i="23"/>
  <c r="H491" i="23" s="1"/>
  <c r="H490" i="23" s="1"/>
  <c r="H395" i="23"/>
  <c r="H394" i="23" s="1"/>
  <c r="H397" i="23"/>
  <c r="H213" i="23"/>
  <c r="H705" i="22"/>
  <c r="H704" i="22" s="1"/>
  <c r="G635" i="21"/>
  <c r="G634" i="21" s="1"/>
  <c r="G633" i="21" s="1"/>
  <c r="G626" i="21" s="1"/>
  <c r="G621" i="21" s="1"/>
  <c r="F120" i="19"/>
  <c r="G247" i="23"/>
  <c r="G245" i="23"/>
  <c r="G244" i="23" s="1"/>
  <c r="G1047" i="22"/>
  <c r="G1046" i="22" s="1"/>
  <c r="H234" i="23"/>
  <c r="G570" i="21"/>
  <c r="G569" i="21" s="1"/>
  <c r="G568" i="21" s="1"/>
  <c r="H526" i="22"/>
  <c r="H525" i="22" s="1"/>
  <c r="H524" i="22" s="1"/>
  <c r="H523" i="22" s="1"/>
  <c r="H522" i="22" s="1"/>
  <c r="H521" i="22" s="1"/>
  <c r="G325" i="21"/>
  <c r="G324" i="21" s="1"/>
  <c r="G323" i="21" s="1"/>
  <c r="H120" i="23"/>
  <c r="H119" i="23" s="1"/>
  <c r="H118" i="23" s="1"/>
  <c r="H117" i="23" s="1"/>
  <c r="H109" i="23" s="1"/>
  <c r="H361" i="22"/>
  <c r="H360" i="22" s="1"/>
  <c r="H359" i="22" s="1"/>
  <c r="H358" i="22" s="1"/>
  <c r="H357" i="22" s="1"/>
  <c r="H1116" i="22" s="1"/>
  <c r="H1117" i="22" s="1"/>
  <c r="G45" i="23"/>
  <c r="G44" i="23" s="1"/>
  <c r="G43" i="23" s="1"/>
  <c r="G339" i="22"/>
  <c r="G338" i="22" s="1"/>
  <c r="G337" i="22" s="1"/>
  <c r="H511" i="23"/>
  <c r="H309" i="22"/>
  <c r="H308" i="22" s="1"/>
  <c r="H304" i="22" s="1"/>
  <c r="G659" i="21"/>
  <c r="G658" i="21" s="1"/>
  <c r="G657" i="21" s="1"/>
  <c r="H805" i="23"/>
  <c r="H271" i="22"/>
  <c r="H270" i="22" s="1"/>
  <c r="G203" i="21"/>
  <c r="H1142" i="22"/>
  <c r="H192" i="22"/>
  <c r="H392" i="23"/>
  <c r="H108" i="22"/>
  <c r="H107" i="22" s="1"/>
  <c r="G105" i="21"/>
  <c r="G104" i="21" s="1"/>
  <c r="G103" i="21" s="1"/>
  <c r="G102" i="21" s="1"/>
  <c r="H358" i="23"/>
  <c r="H357" i="23"/>
  <c r="H489" i="22"/>
  <c r="F829" i="21"/>
  <c r="H830" i="21" s="1"/>
  <c r="F331" i="21"/>
  <c r="F330" i="21" s="1"/>
  <c r="F329" i="21" s="1"/>
  <c r="G332" i="21"/>
  <c r="G331" i="21" s="1"/>
  <c r="G330" i="21" s="1"/>
  <c r="H13" i="21"/>
  <c r="F12" i="21"/>
  <c r="F11" i="21" s="1"/>
  <c r="F10" i="21" s="1"/>
  <c r="H7" i="21"/>
  <c r="H435" i="23"/>
  <c r="H433" i="23"/>
  <c r="H432" i="23" s="1"/>
  <c r="H431" i="23" s="1"/>
  <c r="H430" i="23" s="1"/>
  <c r="H429" i="23" s="1"/>
  <c r="G884" i="23"/>
  <c r="G356" i="23"/>
  <c r="H859" i="23"/>
  <c r="H1001" i="22"/>
  <c r="H1000" i="22" s="1"/>
  <c r="G442" i="21"/>
  <c r="G441" i="21" s="1"/>
  <c r="G440" i="21" s="1"/>
  <c r="H866" i="22"/>
  <c r="H861" i="22"/>
  <c r="G953" i="22"/>
  <c r="G270" i="23"/>
  <c r="H420" i="23"/>
  <c r="H418" i="23"/>
  <c r="H417" i="23" s="1"/>
  <c r="H336" i="23"/>
  <c r="H334" i="23"/>
  <c r="H333" i="23" s="1"/>
  <c r="H332" i="23" s="1"/>
  <c r="H331" i="23" s="1"/>
  <c r="H330" i="23" s="1"/>
  <c r="H697" i="22"/>
  <c r="H692" i="22" s="1"/>
  <c r="H691" i="22" s="1"/>
  <c r="G891" i="22"/>
  <c r="G890" i="22" s="1"/>
  <c r="G889" i="22" s="1"/>
  <c r="H892" i="22"/>
  <c r="H891" i="22" s="1"/>
  <c r="H890" i="22" s="1"/>
  <c r="H889" i="22" s="1"/>
  <c r="G268" i="22"/>
  <c r="G244" i="22" s="1"/>
  <c r="G243" i="22" s="1"/>
  <c r="G269" i="22"/>
  <c r="G257" i="23"/>
  <c r="G217" i="23"/>
  <c r="G216" i="23" s="1"/>
  <c r="H58" i="23"/>
  <c r="H355" i="22"/>
  <c r="H354" i="22" s="1"/>
  <c r="H353" i="22" s="1"/>
  <c r="G708" i="21"/>
  <c r="G707" i="21" s="1"/>
  <c r="G706" i="21" s="1"/>
  <c r="G705" i="21" s="1"/>
  <c r="G691" i="21" s="1"/>
  <c r="G690" i="21" s="1"/>
  <c r="G689" i="21" s="1"/>
  <c r="E36" i="20" s="1"/>
  <c r="H81" i="23"/>
  <c r="H283" i="22"/>
  <c r="H282" i="22" s="1"/>
  <c r="H281" i="22" s="1"/>
  <c r="G300" i="21"/>
  <c r="G299" i="21" s="1"/>
  <c r="G298" i="21" s="1"/>
  <c r="G297" i="21" s="1"/>
  <c r="G292" i="21" s="1"/>
  <c r="G291" i="21" s="1"/>
  <c r="H344" i="23"/>
  <c r="H345" i="23"/>
  <c r="H189" i="22"/>
  <c r="H188" i="22" s="1"/>
  <c r="G248" i="21"/>
  <c r="G247" i="21" s="1"/>
  <c r="G246" i="21" s="1"/>
  <c r="H377" i="23"/>
  <c r="H98" i="22"/>
  <c r="G95" i="21"/>
  <c r="G94" i="21" s="1"/>
  <c r="G1109" i="22"/>
  <c r="F951" i="21"/>
  <c r="D50" i="20"/>
  <c r="D49" i="20" s="1"/>
  <c r="G433" i="21"/>
  <c r="F432" i="21"/>
  <c r="F9" i="19"/>
  <c r="G1138" i="22"/>
  <c r="G765" i="22"/>
  <c r="G764" i="22" s="1"/>
  <c r="G214" i="23"/>
  <c r="G212" i="23"/>
  <c r="G211" i="23" s="1"/>
  <c r="G202" i="23" s="1"/>
  <c r="H339" i="22"/>
  <c r="H338" i="22" s="1"/>
  <c r="H337" i="22" s="1"/>
  <c r="H238" i="23"/>
  <c r="G573" i="21"/>
  <c r="G572" i="21" s="1"/>
  <c r="G571" i="21" s="1"/>
  <c r="H289" i="23"/>
  <c r="H590" i="22"/>
  <c r="H589" i="22" s="1"/>
  <c r="H588" i="22" s="1"/>
  <c r="G521" i="21"/>
  <c r="G520" i="21" s="1"/>
  <c r="G519" i="21" s="1"/>
  <c r="G518" i="21" s="1"/>
  <c r="H453" i="22"/>
  <c r="H447" i="22" s="1"/>
  <c r="H446" i="22" s="1"/>
  <c r="H445" i="22" s="1"/>
  <c r="H454" i="22"/>
  <c r="H75" i="23"/>
  <c r="H73" i="23"/>
  <c r="H72" i="23" s="1"/>
  <c r="H71" i="23" s="1"/>
  <c r="H70" i="23" s="1"/>
  <c r="H69" i="23" s="1"/>
  <c r="H374" i="23"/>
  <c r="H96" i="22"/>
  <c r="G93" i="21"/>
  <c r="G92" i="21" s="1"/>
  <c r="G1097" i="22"/>
  <c r="G1104" i="22"/>
  <c r="F885" i="21"/>
  <c r="D47" i="20"/>
  <c r="D46" i="20" s="1"/>
  <c r="F230" i="21"/>
  <c r="D21" i="20"/>
  <c r="D20" i="20" s="1"/>
  <c r="F74" i="19"/>
  <c r="G329" i="21"/>
  <c r="E29" i="20" s="1"/>
  <c r="D10" i="20"/>
  <c r="F8" i="21" s="1"/>
  <c r="C157" i="19"/>
  <c r="G1095" i="22" s="1"/>
  <c r="C155" i="19"/>
  <c r="E10" i="19"/>
  <c r="D157" i="19"/>
  <c r="H1095" i="22" s="1"/>
  <c r="F10" i="19"/>
  <c r="G765" i="23"/>
  <c r="G764" i="23" s="1"/>
  <c r="G763" i="23" s="1"/>
  <c r="G762" i="23" s="1"/>
  <c r="G761" i="23" s="1"/>
  <c r="H210" i="23"/>
  <c r="H208" i="23"/>
  <c r="H207" i="23" s="1"/>
  <c r="H862" i="23"/>
  <c r="H861" i="23"/>
  <c r="H884" i="23"/>
  <c r="G546" i="23"/>
  <c r="G545" i="23" s="1"/>
  <c r="G544" i="23" s="1"/>
  <c r="G808" i="23"/>
  <c r="G807" i="23" s="1"/>
  <c r="G795" i="23" s="1"/>
  <c r="G611" i="23"/>
  <c r="G598" i="23" s="1"/>
  <c r="G597" i="23" s="1"/>
  <c r="G406" i="23"/>
  <c r="H518" i="23"/>
  <c r="H517" i="23" s="1"/>
  <c r="H516" i="23" s="1"/>
  <c r="G20" i="23"/>
  <c r="G19" i="23" s="1"/>
  <c r="G18" i="23" s="1"/>
  <c r="G17" i="23" s="1"/>
  <c r="G860" i="23"/>
  <c r="G858" i="23"/>
  <c r="G857" i="23" s="1"/>
  <c r="G856" i="23" s="1"/>
  <c r="G855" i="23" s="1"/>
  <c r="G854" i="23" s="1"/>
  <c r="G853" i="23" s="1"/>
  <c r="H661" i="23"/>
  <c r="H659" i="23"/>
  <c r="H427" i="23"/>
  <c r="H780" i="22"/>
  <c r="H779" i="22" s="1"/>
  <c r="H778" i="22" s="1"/>
  <c r="H766" i="22" s="1"/>
  <c r="G901" i="21"/>
  <c r="G900" i="21" s="1"/>
  <c r="G899" i="21" s="1"/>
  <c r="G892" i="21" s="1"/>
  <c r="G887" i="21" s="1"/>
  <c r="G886" i="21" s="1"/>
  <c r="G866" i="22"/>
  <c r="G861" i="22"/>
  <c r="G343" i="23"/>
  <c r="G341" i="23"/>
  <c r="G340" i="23" s="1"/>
  <c r="G339" i="23" s="1"/>
  <c r="G338" i="23" s="1"/>
  <c r="G337" i="23" s="1"/>
  <c r="H278" i="23"/>
  <c r="H276" i="23"/>
  <c r="H275" i="23" s="1"/>
  <c r="H197" i="23"/>
  <c r="H195" i="23"/>
  <c r="H194" i="23" s="1"/>
  <c r="H177" i="23" s="1"/>
  <c r="H32" i="23"/>
  <c r="G34" i="23"/>
  <c r="G33" i="23" s="1"/>
  <c r="H246" i="23"/>
  <c r="H645" i="22"/>
  <c r="H644" i="22" s="1"/>
  <c r="H634" i="22" s="1"/>
  <c r="H610" i="22" s="1"/>
  <c r="H609" i="22" s="1"/>
  <c r="G579" i="21"/>
  <c r="G578" i="21" s="1"/>
  <c r="G577" i="21" s="1"/>
  <c r="H470" i="22"/>
  <c r="H469" i="22" s="1"/>
  <c r="H468" i="22" s="1"/>
  <c r="H1125" i="22" s="1"/>
  <c r="H480" i="23"/>
  <c r="H479" i="23" s="1"/>
  <c r="H478" i="23" s="1"/>
  <c r="G696" i="23"/>
  <c r="G95" i="22"/>
  <c r="G94" i="22" s="1"/>
  <c r="G89" i="22" s="1"/>
  <c r="G1135" i="22" s="1"/>
  <c r="H341" i="23"/>
  <c r="H340" i="23" s="1"/>
  <c r="H339" i="23" s="1"/>
  <c r="H338" i="23" s="1"/>
  <c r="H337" i="23" s="1"/>
  <c r="H343" i="23"/>
  <c r="G239" i="23"/>
  <c r="G237" i="23"/>
  <c r="G236" i="23" s="1"/>
  <c r="H268" i="23"/>
  <c r="H267" i="23" s="1"/>
  <c r="H266" i="23" s="1"/>
  <c r="H269" i="23"/>
  <c r="H586" i="22"/>
  <c r="H585" i="22" s="1"/>
  <c r="H578" i="22" s="1"/>
  <c r="G517" i="21"/>
  <c r="G516" i="21" s="1"/>
  <c r="G515" i="21" s="1"/>
  <c r="G508" i="21" s="1"/>
  <c r="H515" i="23"/>
  <c r="H513" i="23"/>
  <c r="H89" i="23"/>
  <c r="H87" i="23"/>
  <c r="H86" i="23" s="1"/>
  <c r="H85" i="23" s="1"/>
  <c r="H84" i="23" s="1"/>
  <c r="H83" i="23" s="1"/>
  <c r="H276" i="22"/>
  <c r="H275" i="22" s="1"/>
  <c r="G399" i="23"/>
  <c r="G398" i="23"/>
  <c r="H209" i="22"/>
  <c r="H208" i="22" s="1"/>
  <c r="G288" i="21"/>
  <c r="G287" i="21" s="1"/>
  <c r="G286" i="21" s="1"/>
  <c r="G53" i="22"/>
  <c r="H53" i="22"/>
  <c r="G923" i="21"/>
  <c r="E48" i="20" s="1"/>
  <c r="G507" i="22"/>
  <c r="G489" i="22" s="1"/>
  <c r="G488" i="22" s="1"/>
  <c r="G741" i="21"/>
  <c r="I742" i="21" s="1"/>
  <c r="E12" i="20"/>
  <c r="F741" i="21"/>
  <c r="H742" i="21" s="1"/>
  <c r="C156" i="19"/>
  <c r="G1098" i="22" s="1"/>
  <c r="E74" i="19"/>
  <c r="E76" i="19" s="1"/>
  <c r="C118" i="1"/>
  <c r="E118" i="1" s="1"/>
  <c r="H550" i="22" l="1"/>
  <c r="H95" i="22"/>
  <c r="H94" i="22" s="1"/>
  <c r="H182" i="22"/>
  <c r="H174" i="22" s="1"/>
  <c r="H173" i="22" s="1"/>
  <c r="H172" i="22" s="1"/>
  <c r="H1106" i="22" s="1"/>
  <c r="H803" i="22"/>
  <c r="G446" i="21"/>
  <c r="H1047" i="22"/>
  <c r="H1046" i="22" s="1"/>
  <c r="H582" i="23"/>
  <c r="H580" i="23"/>
  <c r="H579" i="23" s="1"/>
  <c r="H578" i="23" s="1"/>
  <c r="H577" i="23" s="1"/>
  <c r="H576" i="23" s="1"/>
  <c r="H1136" i="22"/>
  <c r="H225" i="22"/>
  <c r="G231" i="23"/>
  <c r="G230" i="23" s="1"/>
  <c r="H488" i="22"/>
  <c r="H295" i="22"/>
  <c r="H444" i="23"/>
  <c r="H443" i="23" s="1"/>
  <c r="H442" i="23" s="1"/>
  <c r="H441" i="23" s="1"/>
  <c r="H440" i="23" s="1"/>
  <c r="H446" i="23"/>
  <c r="H405" i="23"/>
  <c r="H403" i="23"/>
  <c r="H402" i="23" s="1"/>
  <c r="H401" i="23" s="1"/>
  <c r="H400" i="23" s="1"/>
  <c r="H544" i="23"/>
  <c r="F962" i="3"/>
  <c r="H962" i="3" s="1"/>
  <c r="H963" i="3"/>
  <c r="D155" i="19"/>
  <c r="G829" i="21"/>
  <c r="I830" i="21" s="1"/>
  <c r="G1121" i="22"/>
  <c r="G317" i="21"/>
  <c r="G316" i="21" s="1"/>
  <c r="G315" i="21" s="1"/>
  <c r="E28" i="20" s="1"/>
  <c r="G1133" i="22"/>
  <c r="H790" i="23"/>
  <c r="H788" i="23"/>
  <c r="H787" i="23" s="1"/>
  <c r="H764" i="23" s="1"/>
  <c r="H763" i="23" s="1"/>
  <c r="H762" i="23" s="1"/>
  <c r="H761" i="23" s="1"/>
  <c r="G874" i="22"/>
  <c r="G1110" i="22" s="1"/>
  <c r="G1111" i="22" s="1"/>
  <c r="F478" i="21"/>
  <c r="G454" i="5"/>
  <c r="I454" i="5" s="1"/>
  <c r="I455" i="5"/>
  <c r="G951" i="21"/>
  <c r="E50" i="20"/>
  <c r="E49" i="20" s="1"/>
  <c r="H170" i="23"/>
  <c r="H169" i="23" s="1"/>
  <c r="H160" i="23" s="1"/>
  <c r="H172" i="23"/>
  <c r="H221" i="23"/>
  <c r="H219" i="23"/>
  <c r="H218" i="23" s="1"/>
  <c r="H217" i="23" s="1"/>
  <c r="H216" i="23" s="1"/>
  <c r="H652" i="23"/>
  <c r="H647" i="23" s="1"/>
  <c r="H646" i="23" s="1"/>
  <c r="H645" i="23" s="1"/>
  <c r="H644" i="23" s="1"/>
  <c r="G9" i="23"/>
  <c r="G653" i="21"/>
  <c r="G644" i="21" s="1"/>
  <c r="H24" i="23"/>
  <c r="H20" i="23" s="1"/>
  <c r="H19" i="23" s="1"/>
  <c r="H18" i="23" s="1"/>
  <c r="H17" i="23" s="1"/>
  <c r="H9" i="23" s="1"/>
  <c r="H26" i="23"/>
  <c r="H508" i="23"/>
  <c r="H506" i="23"/>
  <c r="H505" i="23" s="1"/>
  <c r="G256" i="23"/>
  <c r="G255" i="23" s="1"/>
  <c r="G567" i="21"/>
  <c r="G543" i="21" s="1"/>
  <c r="G542" i="21" s="1"/>
  <c r="E34" i="20" s="1"/>
  <c r="H465" i="23"/>
  <c r="H852" i="23"/>
  <c r="H850" i="23"/>
  <c r="H849" i="23" s="1"/>
  <c r="H848" i="23" s="1"/>
  <c r="H847" i="23" s="1"/>
  <c r="H846" i="23" s="1"/>
  <c r="G52" i="22"/>
  <c r="G32" i="22" s="1"/>
  <c r="G31" i="22" s="1"/>
  <c r="G91" i="21"/>
  <c r="G90" i="21" s="1"/>
  <c r="G85" i="21" s="1"/>
  <c r="G45" i="21" s="1"/>
  <c r="E14" i="20" s="1"/>
  <c r="E11" i="20" s="1"/>
  <c r="G1120" i="22"/>
  <c r="H1121" i="22"/>
  <c r="H235" i="22"/>
  <c r="H234" i="22" s="1"/>
  <c r="H218" i="22" s="1"/>
  <c r="H1119" i="22" s="1"/>
  <c r="H259" i="23"/>
  <c r="H258" i="23" s="1"/>
  <c r="H257" i="23" s="1"/>
  <c r="H261" i="23"/>
  <c r="H241" i="23"/>
  <c r="H240" i="23" s="1"/>
  <c r="H243" i="23"/>
  <c r="I32" i="21"/>
  <c r="H1133" i="22"/>
  <c r="H549" i="22"/>
  <c r="H548" i="22" s="1"/>
  <c r="H1139" i="22"/>
  <c r="H294" i="22"/>
  <c r="H293" i="22" s="1"/>
  <c r="G9" i="21"/>
  <c r="H274" i="22"/>
  <c r="H273" i="22" s="1"/>
  <c r="H1132" i="22"/>
  <c r="H428" i="23"/>
  <c r="H426" i="23"/>
  <c r="H425" i="23" s="1"/>
  <c r="H416" i="23" s="1"/>
  <c r="H415" i="23" s="1"/>
  <c r="H414" i="23" s="1"/>
  <c r="D17" i="24"/>
  <c r="E53" i="20"/>
  <c r="G756" i="22"/>
  <c r="G1122" i="22"/>
  <c r="G1123" i="22" s="1"/>
  <c r="G240" i="21"/>
  <c r="G232" i="21" s="1"/>
  <c r="G231" i="21" s="1"/>
  <c r="I7" i="21"/>
  <c r="H247" i="23"/>
  <c r="H245" i="23"/>
  <c r="H244" i="23" s="1"/>
  <c r="G1131" i="22"/>
  <c r="G860" i="22"/>
  <c r="G853" i="22" s="1"/>
  <c r="H1138" i="22"/>
  <c r="H765" i="22"/>
  <c r="H764" i="22" s="1"/>
  <c r="I1098" i="22"/>
  <c r="G1099" i="22"/>
  <c r="H375" i="23"/>
  <c r="H373" i="23"/>
  <c r="H378" i="23"/>
  <c r="H376" i="23"/>
  <c r="G215" i="23"/>
  <c r="H1115" i="22"/>
  <c r="D12" i="20"/>
  <c r="F9" i="21"/>
  <c r="G293" i="22"/>
  <c r="G242" i="22" s="1"/>
  <c r="G285" i="21"/>
  <c r="G284" i="21" s="1"/>
  <c r="G283" i="21" s="1"/>
  <c r="I64" i="21"/>
  <c r="H214" i="23"/>
  <c r="H212" i="23"/>
  <c r="H211" i="23" s="1"/>
  <c r="H202" i="23" s="1"/>
  <c r="H159" i="23" s="1"/>
  <c r="H158" i="23" s="1"/>
  <c r="H456" i="23"/>
  <c r="H454" i="23"/>
  <c r="H450" i="23" s="1"/>
  <c r="H449" i="23" s="1"/>
  <c r="H448" i="23" s="1"/>
  <c r="H447" i="23" s="1"/>
  <c r="H207" i="22"/>
  <c r="F123" i="19"/>
  <c r="G480" i="21"/>
  <c r="G479" i="21" s="1"/>
  <c r="H771" i="22"/>
  <c r="G31" i="23"/>
  <c r="G30" i="23" s="1"/>
  <c r="G32" i="23"/>
  <c r="H999" i="22"/>
  <c r="H998" i="22" s="1"/>
  <c r="H1112" i="22"/>
  <c r="H393" i="23"/>
  <c r="H391" i="23"/>
  <c r="H390" i="23" s="1"/>
  <c r="H389" i="23" s="1"/>
  <c r="H388" i="23" s="1"/>
  <c r="H387" i="23" s="1"/>
  <c r="H269" i="22"/>
  <c r="H268" i="22"/>
  <c r="H512" i="23"/>
  <c r="H510" i="23"/>
  <c r="H509" i="23" s="1"/>
  <c r="H504" i="23" s="1"/>
  <c r="H503" i="23" s="1"/>
  <c r="H502" i="23" s="1"/>
  <c r="H464" i="23" s="1"/>
  <c r="L464" i="23" s="1"/>
  <c r="H235" i="23"/>
  <c r="H233" i="23"/>
  <c r="H232" i="23" s="1"/>
  <c r="G445" i="21"/>
  <c r="G444" i="21" s="1"/>
  <c r="G443" i="21" s="1"/>
  <c r="E31" i="20" s="1"/>
  <c r="I13" i="21"/>
  <c r="G1145" i="22"/>
  <c r="C17" i="24"/>
  <c r="D53" i="20"/>
  <c r="H239" i="23"/>
  <c r="H237" i="23"/>
  <c r="H236" i="23" s="1"/>
  <c r="G438" i="21"/>
  <c r="G439" i="21"/>
  <c r="D29" i="20"/>
  <c r="H106" i="22"/>
  <c r="H89" i="22" s="1"/>
  <c r="H1104" i="22"/>
  <c r="G885" i="21"/>
  <c r="E47" i="20"/>
  <c r="E46" i="20" s="1"/>
  <c r="G464" i="23"/>
  <c r="J464" i="23" s="1"/>
  <c r="D14" i="20"/>
  <c r="I45" i="21"/>
  <c r="H290" i="23"/>
  <c r="H288" i="23"/>
  <c r="H287" i="23" s="1"/>
  <c r="H286" i="23" s="1"/>
  <c r="H285" i="23" s="1"/>
  <c r="H284" i="23" s="1"/>
  <c r="G432" i="21"/>
  <c r="G431" i="21" s="1"/>
  <c r="G399" i="21" s="1"/>
  <c r="F431" i="21"/>
  <c r="F399" i="21" s="1"/>
  <c r="F393" i="21" s="1"/>
  <c r="D30" i="20" s="1"/>
  <c r="H82" i="23"/>
  <c r="H80" i="23"/>
  <c r="H79" i="23" s="1"/>
  <c r="H78" i="23" s="1"/>
  <c r="H77" i="23" s="1"/>
  <c r="H76" i="23" s="1"/>
  <c r="H68" i="23" s="1"/>
  <c r="H59" i="23"/>
  <c r="H57" i="23"/>
  <c r="H56" i="23" s="1"/>
  <c r="H1131" i="22"/>
  <c r="H860" i="22"/>
  <c r="H853" i="22" s="1"/>
  <c r="H860" i="23"/>
  <c r="H858" i="23"/>
  <c r="H857" i="23" s="1"/>
  <c r="H856" i="23" s="1"/>
  <c r="H855" i="23" s="1"/>
  <c r="H854" i="23" s="1"/>
  <c r="H853" i="23" s="1"/>
  <c r="H806" i="23"/>
  <c r="H804" i="23"/>
  <c r="H803" i="23" s="1"/>
  <c r="H798" i="23" s="1"/>
  <c r="H797" i="23" s="1"/>
  <c r="H796" i="23" s="1"/>
  <c r="G620" i="21"/>
  <c r="E35" i="20" s="1"/>
  <c r="H274" i="23"/>
  <c r="H272" i="23"/>
  <c r="H271" i="23" s="1"/>
  <c r="H270" i="23" s="1"/>
  <c r="G159" i="23"/>
  <c r="G158" i="23" s="1"/>
  <c r="G1132" i="22"/>
  <c r="G537" i="22"/>
  <c r="G521" i="4"/>
  <c r="I521" i="4" s="1"/>
  <c r="G669" i="4"/>
  <c r="I669" i="4" s="1"/>
  <c r="H1120" i="22" l="1"/>
  <c r="G1113" i="22"/>
  <c r="G1114" i="22" s="1"/>
  <c r="H399" i="23"/>
  <c r="H398" i="23"/>
  <c r="G1102" i="22"/>
  <c r="G1103" i="22" s="1"/>
  <c r="H256" i="23"/>
  <c r="H255" i="23" s="1"/>
  <c r="H1135" i="22"/>
  <c r="H52" i="22"/>
  <c r="H45" i="21" s="1"/>
  <c r="H795" i="23"/>
  <c r="H406" i="23"/>
  <c r="G140" i="23"/>
  <c r="G893" i="23" s="1"/>
  <c r="H372" i="23"/>
  <c r="H371" i="23" s="1"/>
  <c r="H365" i="23" s="1"/>
  <c r="H364" i="23" s="1"/>
  <c r="H356" i="23" s="1"/>
  <c r="D27" i="20"/>
  <c r="H231" i="23"/>
  <c r="H230" i="23" s="1"/>
  <c r="H215" i="23" s="1"/>
  <c r="H140" i="23" s="1"/>
  <c r="H244" i="22"/>
  <c r="H243" i="22" s="1"/>
  <c r="H242" i="22" s="1"/>
  <c r="H1145" i="22"/>
  <c r="H1109" i="22"/>
  <c r="H206" i="22"/>
  <c r="H205" i="22" s="1"/>
  <c r="H191" i="22" s="1"/>
  <c r="H1107" i="22" s="1"/>
  <c r="H1097" i="22"/>
  <c r="E26" i="20"/>
  <c r="E22" i="20" s="1"/>
  <c r="G249" i="21"/>
  <c r="D11" i="20"/>
  <c r="G1151" i="22"/>
  <c r="G895" i="23" s="1"/>
  <c r="H55" i="23"/>
  <c r="H54" i="23" s="1"/>
  <c r="H53" i="23"/>
  <c r="H31" i="23" s="1"/>
  <c r="H30" i="23" s="1"/>
  <c r="H1146" i="22"/>
  <c r="H953" i="22"/>
  <c r="H874" i="22" s="1"/>
  <c r="H1110" i="22" s="1"/>
  <c r="H1111" i="22" s="1"/>
  <c r="G478" i="21"/>
  <c r="E33" i="20"/>
  <c r="E32" i="20" s="1"/>
  <c r="H1113" i="22"/>
  <c r="H1114" i="22" s="1"/>
  <c r="H537" i="22"/>
  <c r="H1122" i="22"/>
  <c r="H1123" i="22" s="1"/>
  <c r="H756" i="22"/>
  <c r="G393" i="21"/>
  <c r="F314" i="21"/>
  <c r="F970" i="21" s="1"/>
  <c r="D52" i="20" s="1"/>
  <c r="G831" i="22"/>
  <c r="G1094" i="22" s="1"/>
  <c r="G1107" i="22"/>
  <c r="G1108" i="22" s="1"/>
  <c r="G230" i="21"/>
  <c r="E21" i="20"/>
  <c r="E20" i="20" s="1"/>
  <c r="G55" i="4"/>
  <c r="I55" i="4" s="1"/>
  <c r="G1143" i="4"/>
  <c r="I1143" i="4" s="1"/>
  <c r="G1138" i="4"/>
  <c r="I1138" i="4" s="1"/>
  <c r="G1127" i="4"/>
  <c r="I1127" i="4" s="1"/>
  <c r="G1132" i="4"/>
  <c r="I1132" i="4" s="1"/>
  <c r="G1122" i="4"/>
  <c r="I1122" i="4" s="1"/>
  <c r="H1108" i="22" l="1"/>
  <c r="G1128" i="22"/>
  <c r="G1127" i="22"/>
  <c r="G1129" i="22" s="1"/>
  <c r="H32" i="22"/>
  <c r="H1102" i="22" s="1"/>
  <c r="H893" i="23"/>
  <c r="H1151" i="22"/>
  <c r="H895" i="23" s="1"/>
  <c r="G897" i="23"/>
  <c r="G1130" i="22"/>
  <c r="H831" i="22"/>
  <c r="C18" i="24"/>
  <c r="C19" i="24" s="1"/>
  <c r="C11" i="24" s="1"/>
  <c r="G1096" i="22"/>
  <c r="E1095" i="22" s="1"/>
  <c r="F971" i="21"/>
  <c r="F972" i="21" s="1"/>
  <c r="D56" i="20"/>
  <c r="H1099" i="22"/>
  <c r="J1098" i="22"/>
  <c r="E30" i="20"/>
  <c r="E27" i="20" s="1"/>
  <c r="E51" i="20" s="1"/>
  <c r="G314" i="21"/>
  <c r="G970" i="21" s="1"/>
  <c r="E52" i="20" s="1"/>
  <c r="D51" i="20"/>
  <c r="H31" i="22"/>
  <c r="G810" i="4"/>
  <c r="I810" i="4" s="1"/>
  <c r="G821" i="4"/>
  <c r="I821" i="4" s="1"/>
  <c r="G822" i="4"/>
  <c r="I822" i="4" s="1"/>
  <c r="H897" i="23" l="1"/>
  <c r="H1100" i="22"/>
  <c r="E55" i="20"/>
  <c r="C13" i="24"/>
  <c r="C14" i="24" s="1"/>
  <c r="C10" i="24"/>
  <c r="L1128" i="22"/>
  <c r="H1127" i="22"/>
  <c r="H1103" i="22"/>
  <c r="H1128" i="22" s="1"/>
  <c r="G1100" i="22"/>
  <c r="D55" i="20"/>
  <c r="D58" i="20"/>
  <c r="H1094" i="22"/>
  <c r="G954" i="4"/>
  <c r="I954" i="4" s="1"/>
  <c r="C182" i="1"/>
  <c r="E182" i="1" s="1"/>
  <c r="D18" i="24" l="1"/>
  <c r="D19" i="24" s="1"/>
  <c r="D11" i="24" s="1"/>
  <c r="H1096" i="22"/>
  <c r="L1095" i="22" s="1"/>
  <c r="G971" i="21"/>
  <c r="G972" i="21" s="1"/>
  <c r="E56" i="20"/>
  <c r="E58" i="20" s="1"/>
  <c r="H1129" i="22"/>
  <c r="H1130" i="22"/>
  <c r="L1130" i="22" s="1"/>
  <c r="D13" i="24"/>
  <c r="C12" i="24"/>
  <c r="D12" i="24" s="1"/>
  <c r="G1084" i="4"/>
  <c r="I1084" i="4" s="1"/>
  <c r="G1091" i="4"/>
  <c r="I1091" i="4" s="1"/>
  <c r="G1016" i="4"/>
  <c r="I1016" i="4" s="1"/>
  <c r="G1090" i="4"/>
  <c r="I1090" i="4" s="1"/>
  <c r="G976" i="4"/>
  <c r="I976" i="4" s="1"/>
  <c r="M1128" i="22" l="1"/>
  <c r="D14" i="24"/>
  <c r="D10" i="24"/>
  <c r="D9" i="24" s="1"/>
  <c r="C9" i="24"/>
  <c r="AL1159" i="4"/>
  <c r="T1153" i="4"/>
  <c r="G517" i="4"/>
  <c r="I517" i="4" s="1"/>
  <c r="G191" i="4"/>
  <c r="G194" i="4"/>
  <c r="I194" i="4" s="1"/>
  <c r="I1159" i="4" s="1"/>
  <c r="G446" i="4"/>
  <c r="I446" i="4" s="1"/>
  <c r="G376" i="4"/>
  <c r="I376" i="4" s="1"/>
  <c r="G340" i="4"/>
  <c r="I340" i="4" s="1"/>
  <c r="G372" i="4"/>
  <c r="I372" i="4" s="1"/>
  <c r="G389" i="4"/>
  <c r="I389" i="4" s="1"/>
  <c r="G936" i="4"/>
  <c r="I936" i="4" s="1"/>
  <c r="G886" i="4"/>
  <c r="I886" i="4" s="1"/>
  <c r="G863" i="4"/>
  <c r="I863" i="4" s="1"/>
  <c r="G190" i="4" l="1"/>
  <c r="I190" i="4" s="1"/>
  <c r="I191" i="4"/>
  <c r="G193" i="4"/>
  <c r="F254" i="3"/>
  <c r="H254" i="3" s="1"/>
  <c r="G911" i="5"/>
  <c r="I911" i="5" s="1"/>
  <c r="G1159" i="4"/>
  <c r="G927" i="5"/>
  <c r="I927" i="5" s="1"/>
  <c r="G189" i="4" l="1"/>
  <c r="I189" i="4" s="1"/>
  <c r="I193" i="4"/>
  <c r="G307" i="4"/>
  <c r="I307" i="4" s="1"/>
  <c r="G926" i="5" l="1"/>
  <c r="G925" i="5" l="1"/>
  <c r="I926" i="5"/>
  <c r="G1062" i="4"/>
  <c r="G1061" i="4" l="1"/>
  <c r="I1062" i="4"/>
  <c r="G924" i="5"/>
  <c r="I925" i="5"/>
  <c r="AK1159" i="4"/>
  <c r="G1060" i="4" l="1"/>
  <c r="I1060" i="4" s="1"/>
  <c r="I1061" i="4"/>
  <c r="G923" i="5"/>
  <c r="I924" i="5"/>
  <c r="G1054" i="4"/>
  <c r="F452" i="3" l="1"/>
  <c r="I1054" i="4"/>
  <c r="G922" i="5"/>
  <c r="I923" i="5"/>
  <c r="G750" i="5"/>
  <c r="G1053" i="4"/>
  <c r="L1158" i="4"/>
  <c r="AJ1159" i="4"/>
  <c r="G838" i="4"/>
  <c r="G1052" i="4" l="1"/>
  <c r="I1053" i="4"/>
  <c r="G491" i="5"/>
  <c r="I491" i="5" s="1"/>
  <c r="I838" i="4"/>
  <c r="F451" i="3"/>
  <c r="H452" i="3"/>
  <c r="G921" i="5"/>
  <c r="I921" i="5" s="1"/>
  <c r="I922" i="5"/>
  <c r="G749" i="5"/>
  <c r="I750" i="5"/>
  <c r="C119" i="1"/>
  <c r="E119" i="1" s="1"/>
  <c r="G766" i="4"/>
  <c r="I766" i="4" s="1"/>
  <c r="F450" i="3" l="1"/>
  <c r="H451" i="3"/>
  <c r="G1051" i="4"/>
  <c r="I1051" i="4" s="1"/>
  <c r="I1052" i="4"/>
  <c r="G748" i="5"/>
  <c r="I749" i="5"/>
  <c r="G448" i="4"/>
  <c r="I448" i="4" s="1"/>
  <c r="F449" i="3" l="1"/>
  <c r="H449" i="3" s="1"/>
  <c r="H450" i="3"/>
  <c r="G747" i="5"/>
  <c r="I748" i="5"/>
  <c r="F979" i="3"/>
  <c r="F978" i="3" l="1"/>
  <c r="H979" i="3"/>
  <c r="G746" i="5"/>
  <c r="I747" i="5"/>
  <c r="G490" i="5"/>
  <c r="C14" i="1"/>
  <c r="E14" i="1" s="1"/>
  <c r="F977" i="3" l="1"/>
  <c r="H978" i="3"/>
  <c r="G745" i="5"/>
  <c r="I745" i="5" s="1"/>
  <c r="I746" i="5"/>
  <c r="G489" i="5"/>
  <c r="I489" i="5" s="1"/>
  <c r="I490" i="5"/>
  <c r="G837" i="4"/>
  <c r="G836" i="4" l="1"/>
  <c r="I837" i="4"/>
  <c r="F976" i="3"/>
  <c r="H976" i="3" s="1"/>
  <c r="H977" i="3"/>
  <c r="G138" i="4"/>
  <c r="I138" i="4" s="1"/>
  <c r="G67" i="4"/>
  <c r="I67" i="4" s="1"/>
  <c r="G40" i="4"/>
  <c r="I40" i="4" s="1"/>
  <c r="G39" i="4"/>
  <c r="I39" i="4" s="1"/>
  <c r="G835" i="4" l="1"/>
  <c r="I835" i="4" s="1"/>
  <c r="I836" i="4"/>
  <c r="L1147" i="4"/>
  <c r="G544" i="4"/>
  <c r="I544" i="4" s="1"/>
  <c r="G933" i="4" l="1"/>
  <c r="I933" i="4" s="1"/>
  <c r="G1031" i="4"/>
  <c r="I1031" i="4" s="1"/>
  <c r="C107" i="1" l="1"/>
  <c r="E107" i="1" s="1"/>
  <c r="L1148" i="4"/>
  <c r="T1152" i="4" s="1"/>
  <c r="G1019" i="4"/>
  <c r="I1019" i="4" s="1"/>
  <c r="G925" i="4"/>
  <c r="I925" i="4" s="1"/>
  <c r="G1085" i="4" l="1"/>
  <c r="I1085" i="4" s="1"/>
  <c r="G1081" i="4"/>
  <c r="I1081" i="4" s="1"/>
  <c r="G320" i="4" l="1"/>
  <c r="I320" i="4" s="1"/>
  <c r="G314" i="4" l="1"/>
  <c r="I314" i="4" s="1"/>
  <c r="K1165" i="4" l="1"/>
  <c r="M1158" i="4"/>
  <c r="F868" i="3" l="1"/>
  <c r="F775" i="3"/>
  <c r="G408" i="4"/>
  <c r="I408" i="4" s="1"/>
  <c r="F774" i="3" l="1"/>
  <c r="H775" i="3"/>
  <c r="F867" i="3"/>
  <c r="H868" i="3"/>
  <c r="G364" i="4"/>
  <c r="G441" i="4"/>
  <c r="F866" i="3" l="1"/>
  <c r="H867" i="3"/>
  <c r="G440" i="4"/>
  <c r="I441" i="4"/>
  <c r="G363" i="4"/>
  <c r="I364" i="4"/>
  <c r="F773" i="3"/>
  <c r="H773" i="3" s="1"/>
  <c r="H774" i="3"/>
  <c r="G784" i="4"/>
  <c r="I784" i="4" s="1"/>
  <c r="G782" i="4"/>
  <c r="I782" i="4" s="1"/>
  <c r="G439" i="4" l="1"/>
  <c r="I439" i="4" s="1"/>
  <c r="I440" i="4"/>
  <c r="G362" i="4"/>
  <c r="I363" i="4"/>
  <c r="F865" i="3"/>
  <c r="H865" i="3" s="1"/>
  <c r="H866" i="3"/>
  <c r="G795" i="4"/>
  <c r="I795" i="4" s="1"/>
  <c r="G361" i="4" l="1"/>
  <c r="I361" i="4" s="1"/>
  <c r="I362" i="4"/>
  <c r="AI1159" i="4"/>
  <c r="G910" i="5"/>
  <c r="G188" i="4"/>
  <c r="I188" i="4" s="1"/>
  <c r="G909" i="5" l="1"/>
  <c r="I909" i="5" s="1"/>
  <c r="I910" i="5"/>
  <c r="F253" i="3"/>
  <c r="G912" i="5"/>
  <c r="I912" i="5" s="1"/>
  <c r="G183" i="4"/>
  <c r="I183" i="4" s="1"/>
  <c r="F252" i="3" l="1"/>
  <c r="H252" i="3" s="1"/>
  <c r="H253" i="3"/>
  <c r="F483" i="3"/>
  <c r="H483" i="3" s="1"/>
  <c r="F482" i="3" l="1"/>
  <c r="H482" i="3" s="1"/>
  <c r="C124" i="1" l="1"/>
  <c r="E124" i="1" s="1"/>
  <c r="G201" i="4"/>
  <c r="I201" i="4" s="1"/>
  <c r="G814" i="4" l="1"/>
  <c r="I814" i="4" s="1"/>
  <c r="C158" i="1" l="1"/>
  <c r="E158" i="1" s="1"/>
  <c r="G560" i="4"/>
  <c r="I560" i="4" s="1"/>
  <c r="G302" i="4" l="1"/>
  <c r="I302" i="4" s="1"/>
  <c r="F778" i="3" l="1"/>
  <c r="G781" i="4"/>
  <c r="I781" i="4" s="1"/>
  <c r="F777" i="3" l="1"/>
  <c r="H777" i="3" s="1"/>
  <c r="H778" i="3"/>
  <c r="C56" i="1"/>
  <c r="E56" i="1" s="1"/>
  <c r="G1124" i="4" l="1"/>
  <c r="I1124" i="4" s="1"/>
  <c r="G453" i="4"/>
  <c r="I453" i="4" s="1"/>
  <c r="G437" i="4"/>
  <c r="I437" i="4" s="1"/>
  <c r="G300" i="4"/>
  <c r="I300" i="4" s="1"/>
  <c r="G304" i="4"/>
  <c r="I304" i="4" s="1"/>
  <c r="AH1159" i="4" l="1"/>
  <c r="G1050" i="4" l="1"/>
  <c r="G632" i="5"/>
  <c r="F834" i="3"/>
  <c r="F833" i="3" l="1"/>
  <c r="H834" i="3"/>
  <c r="G1049" i="4"/>
  <c r="I1050" i="4"/>
  <c r="G633" i="5"/>
  <c r="I633" i="5" s="1"/>
  <c r="I632" i="5"/>
  <c r="F448" i="3"/>
  <c r="G743" i="5"/>
  <c r="I743" i="5" s="1"/>
  <c r="G631" i="5"/>
  <c r="G407" i="4"/>
  <c r="F447" i="3" l="1"/>
  <c r="H448" i="3"/>
  <c r="G1048" i="4"/>
  <c r="I1049" i="4"/>
  <c r="G406" i="4"/>
  <c r="I407" i="4"/>
  <c r="F832" i="3"/>
  <c r="H833" i="3"/>
  <c r="G630" i="5"/>
  <c r="I631" i="5"/>
  <c r="G744" i="5"/>
  <c r="I744" i="5" s="1"/>
  <c r="G742" i="5"/>
  <c r="F831" i="3" l="1"/>
  <c r="H831" i="3" s="1"/>
  <c r="H832" i="3"/>
  <c r="G1047" i="4"/>
  <c r="I1047" i="4" s="1"/>
  <c r="I1048" i="4"/>
  <c r="G405" i="4"/>
  <c r="I405" i="4" s="1"/>
  <c r="I406" i="4"/>
  <c r="F446" i="3"/>
  <c r="H447" i="3"/>
  <c r="G741" i="5"/>
  <c r="I742" i="5"/>
  <c r="G629" i="5"/>
  <c r="I630" i="5"/>
  <c r="C60" i="1"/>
  <c r="E60" i="1" s="1"/>
  <c r="C59" i="1"/>
  <c r="E59" i="1" s="1"/>
  <c r="C57" i="1"/>
  <c r="E57" i="1" s="1"/>
  <c r="F445" i="3" l="1"/>
  <c r="H445" i="3" s="1"/>
  <c r="H446" i="3"/>
  <c r="G740" i="5"/>
  <c r="I741" i="5"/>
  <c r="G628" i="5"/>
  <c r="I629" i="5"/>
  <c r="G157" i="4"/>
  <c r="I157" i="4" s="1"/>
  <c r="G739" i="5" l="1"/>
  <c r="I740" i="5"/>
  <c r="G627" i="5"/>
  <c r="I627" i="5" s="1"/>
  <c r="I628" i="5"/>
  <c r="G627" i="4"/>
  <c r="G626" i="4" l="1"/>
  <c r="I627" i="4"/>
  <c r="G738" i="5"/>
  <c r="I738" i="5" s="1"/>
  <c r="I739" i="5"/>
  <c r="AG1159" i="4"/>
  <c r="G365" i="5"/>
  <c r="G625" i="4" l="1"/>
  <c r="I626" i="4"/>
  <c r="G364" i="5"/>
  <c r="I364" i="5" s="1"/>
  <c r="I365" i="5"/>
  <c r="F558" i="3"/>
  <c r="G366" i="5"/>
  <c r="I366" i="5" s="1"/>
  <c r="G643" i="4"/>
  <c r="I643" i="4" s="1"/>
  <c r="G477" i="4"/>
  <c r="I477" i="4" s="1"/>
  <c r="G459" i="4"/>
  <c r="I459" i="4" s="1"/>
  <c r="G356" i="4"/>
  <c r="I356" i="4" s="1"/>
  <c r="F557" i="3" l="1"/>
  <c r="H557" i="3" s="1"/>
  <c r="H558" i="3"/>
  <c r="G624" i="4"/>
  <c r="I624" i="4" s="1"/>
  <c r="I625" i="4"/>
  <c r="G363" i="5"/>
  <c r="F556" i="3" l="1"/>
  <c r="F555" i="3" s="1"/>
  <c r="H555" i="3" s="1"/>
  <c r="G362" i="5"/>
  <c r="I363" i="5"/>
  <c r="C131" i="1"/>
  <c r="E131" i="1" s="1"/>
  <c r="H556" i="3" l="1"/>
  <c r="G361" i="5"/>
  <c r="I362" i="5"/>
  <c r="G248" i="4"/>
  <c r="I248" i="4" s="1"/>
  <c r="G1098" i="4"/>
  <c r="I1098" i="4" s="1"/>
  <c r="G897" i="4"/>
  <c r="I897" i="4" s="1"/>
  <c r="C132" i="1"/>
  <c r="E132" i="1" s="1"/>
  <c r="G907" i="5"/>
  <c r="I907" i="5" s="1"/>
  <c r="F251" i="3"/>
  <c r="G187" i="4"/>
  <c r="F250" i="3" l="1"/>
  <c r="H251" i="3"/>
  <c r="G186" i="4"/>
  <c r="I187" i="4"/>
  <c r="G360" i="5"/>
  <c r="I360" i="5" s="1"/>
  <c r="I361" i="5"/>
  <c r="AF1159" i="4"/>
  <c r="AE1159" i="4"/>
  <c r="G623" i="4"/>
  <c r="G710" i="4"/>
  <c r="G185" i="4" l="1"/>
  <c r="I186" i="4"/>
  <c r="F641" i="3"/>
  <c r="I710" i="4"/>
  <c r="G622" i="4"/>
  <c r="I623" i="4"/>
  <c r="F249" i="3"/>
  <c r="H250" i="3"/>
  <c r="G353" i="5"/>
  <c r="F554" i="3"/>
  <c r="G358" i="5"/>
  <c r="G709" i="4"/>
  <c r="C171" i="1"/>
  <c r="E171" i="1" s="1"/>
  <c r="G708" i="4" l="1"/>
  <c r="I709" i="4"/>
  <c r="F248" i="3"/>
  <c r="H249" i="3"/>
  <c r="F640" i="3"/>
  <c r="H641" i="3"/>
  <c r="F553" i="3"/>
  <c r="H554" i="3"/>
  <c r="G621" i="4"/>
  <c r="I622" i="4"/>
  <c r="G184" i="4"/>
  <c r="I184" i="4" s="1"/>
  <c r="I185" i="4"/>
  <c r="G352" i="5"/>
  <c r="I353" i="5"/>
  <c r="G357" i="5"/>
  <c r="I358" i="5"/>
  <c r="G354" i="5"/>
  <c r="I354" i="5" s="1"/>
  <c r="G359" i="5"/>
  <c r="I359" i="5" s="1"/>
  <c r="F552" i="3" l="1"/>
  <c r="H553" i="3"/>
  <c r="F247" i="3"/>
  <c r="H247" i="3" s="1"/>
  <c r="H248" i="3"/>
  <c r="G620" i="4"/>
  <c r="I620" i="4" s="1"/>
  <c r="I621" i="4"/>
  <c r="F639" i="3"/>
  <c r="H640" i="3"/>
  <c r="G707" i="4"/>
  <c r="I707" i="4" s="1"/>
  <c r="I708" i="4"/>
  <c r="G351" i="5"/>
  <c r="I352" i="5"/>
  <c r="G356" i="5"/>
  <c r="I357" i="5"/>
  <c r="G906" i="5"/>
  <c r="F638" i="3" l="1"/>
  <c r="H638" i="3" s="1"/>
  <c r="H639" i="3"/>
  <c r="F551" i="3"/>
  <c r="H551" i="3" s="1"/>
  <c r="H552" i="3"/>
  <c r="G905" i="5"/>
  <c r="I905" i="5" s="1"/>
  <c r="I906" i="5"/>
  <c r="G350" i="5"/>
  <c r="I351" i="5"/>
  <c r="G355" i="5"/>
  <c r="I355" i="5" s="1"/>
  <c r="I356" i="5"/>
  <c r="G908" i="5"/>
  <c r="I908" i="5" s="1"/>
  <c r="G904" i="5" l="1"/>
  <c r="I350" i="5"/>
  <c r="G349" i="5"/>
  <c r="G1033" i="4"/>
  <c r="I1033" i="4" s="1"/>
  <c r="G379" i="4"/>
  <c r="I379" i="4" s="1"/>
  <c r="G273" i="4"/>
  <c r="I273" i="4" s="1"/>
  <c r="G180" i="4"/>
  <c r="I180" i="4" s="1"/>
  <c r="G98" i="4"/>
  <c r="I98" i="4" s="1"/>
  <c r="G903" i="5" l="1"/>
  <c r="I904" i="5"/>
  <c r="G348" i="5"/>
  <c r="I348" i="5" s="1"/>
  <c r="I349" i="5"/>
  <c r="G588" i="4"/>
  <c r="I588" i="4" s="1"/>
  <c r="G1059" i="4"/>
  <c r="G1058" i="4" l="1"/>
  <c r="I1059" i="4"/>
  <c r="G902" i="5"/>
  <c r="I902" i="5" s="1"/>
  <c r="I903" i="5"/>
  <c r="C157" i="1"/>
  <c r="E157" i="1" s="1"/>
  <c r="G1057" i="4" l="1"/>
  <c r="I1058" i="4"/>
  <c r="AD1158" i="4"/>
  <c r="AC1158" i="4"/>
  <c r="AB1158" i="4"/>
  <c r="AB1159" i="4" s="1"/>
  <c r="Z1158" i="4"/>
  <c r="G1056" i="4" l="1"/>
  <c r="I1057" i="4"/>
  <c r="AC1159" i="4"/>
  <c r="AD1159" i="4"/>
  <c r="K1167" i="4"/>
  <c r="G251" i="4"/>
  <c r="I251" i="4" s="1"/>
  <c r="AA1164" i="4"/>
  <c r="Z1164" i="4"/>
  <c r="Y1164" i="4"/>
  <c r="X1164" i="4"/>
  <c r="W1164" i="4"/>
  <c r="V1164" i="4"/>
  <c r="AA1159" i="4"/>
  <c r="Z1159" i="4"/>
  <c r="Y1159" i="4"/>
  <c r="X1159" i="4"/>
  <c r="W1159" i="4"/>
  <c r="R1159" i="4"/>
  <c r="Q1159" i="4"/>
  <c r="P1159" i="4"/>
  <c r="O1159" i="4"/>
  <c r="N1159" i="4"/>
  <c r="M1159" i="4"/>
  <c r="L1159" i="4"/>
  <c r="K1159" i="4"/>
  <c r="P1151" i="4"/>
  <c r="L1151" i="4"/>
  <c r="K1151" i="4"/>
  <c r="S1149" i="4"/>
  <c r="Q1149" i="4"/>
  <c r="P1149" i="4"/>
  <c r="O1149" i="4"/>
  <c r="N1149" i="4"/>
  <c r="M1149" i="4"/>
  <c r="L1149" i="4"/>
  <c r="R1149" i="4"/>
  <c r="T1147" i="4"/>
  <c r="K1147" i="4"/>
  <c r="K1149" i="4" s="1"/>
  <c r="T1149" i="4" l="1"/>
  <c r="H1148" i="4"/>
  <c r="H1147" i="4" s="1"/>
  <c r="G1055" i="4"/>
  <c r="I1055" i="4" s="1"/>
  <c r="I1198" i="4" s="1"/>
  <c r="I1056" i="4"/>
  <c r="U1149" i="4"/>
  <c r="G108" i="5"/>
  <c r="I108" i="5" s="1"/>
  <c r="F179" i="3"/>
  <c r="G250" i="4"/>
  <c r="F178" i="3" l="1"/>
  <c r="H179" i="3"/>
  <c r="G249" i="4"/>
  <c r="I249" i="4" s="1"/>
  <c r="I250" i="4"/>
  <c r="G109" i="5"/>
  <c r="I109" i="5" s="1"/>
  <c r="G107" i="5"/>
  <c r="G346" i="5"/>
  <c r="F637" i="3"/>
  <c r="F636" i="3" l="1"/>
  <c r="H637" i="3"/>
  <c r="F177" i="3"/>
  <c r="H177" i="3" s="1"/>
  <c r="H178" i="3"/>
  <c r="G345" i="5"/>
  <c r="I346" i="5"/>
  <c r="G106" i="5"/>
  <c r="I106" i="5" s="1"/>
  <c r="I107" i="5"/>
  <c r="F635" i="3" l="1"/>
  <c r="H636" i="3"/>
  <c r="G344" i="5"/>
  <c r="I345" i="5"/>
  <c r="G705" i="4"/>
  <c r="G704" i="4" l="1"/>
  <c r="I705" i="4"/>
  <c r="F634" i="3"/>
  <c r="H634" i="3" s="1"/>
  <c r="H635" i="3"/>
  <c r="I344" i="5"/>
  <c r="G343" i="5"/>
  <c r="G996" i="4"/>
  <c r="I996" i="4" s="1"/>
  <c r="G703" i="4" l="1"/>
  <c r="I703" i="4" s="1"/>
  <c r="I704" i="4"/>
  <c r="G342" i="5"/>
  <c r="I343" i="5"/>
  <c r="G504" i="4"/>
  <c r="I504" i="4" s="1"/>
  <c r="G341" i="5" l="1"/>
  <c r="I342" i="5"/>
  <c r="V1158" i="4"/>
  <c r="AM1158" i="4" s="1"/>
  <c r="AO1158" i="4" s="1"/>
  <c r="G347" i="5" l="1"/>
  <c r="I347" i="5" s="1"/>
  <c r="I341" i="5"/>
  <c r="V1159" i="4"/>
  <c r="G335" i="4" l="1"/>
  <c r="I335" i="4" s="1"/>
  <c r="G1096" i="4" l="1"/>
  <c r="I1096" i="4" s="1"/>
  <c r="G1114" i="4" l="1"/>
  <c r="I1114" i="4" s="1"/>
  <c r="G174" i="4" l="1"/>
  <c r="I174" i="4" s="1"/>
  <c r="G119" i="4"/>
  <c r="I119" i="4" s="1"/>
  <c r="G49" i="4"/>
  <c r="I49" i="4" s="1"/>
  <c r="F334" i="3" l="1"/>
  <c r="C181" i="1"/>
  <c r="G834" i="4"/>
  <c r="I834" i="4" s="1"/>
  <c r="G616" i="4"/>
  <c r="I616" i="4" s="1"/>
  <c r="G686" i="4"/>
  <c r="I686" i="4" s="1"/>
  <c r="G653" i="4"/>
  <c r="I653" i="4" s="1"/>
  <c r="G89" i="4"/>
  <c r="I89" i="4" s="1"/>
  <c r="G87" i="4"/>
  <c r="I87" i="4" s="1"/>
  <c r="G585" i="4"/>
  <c r="I585" i="4" s="1"/>
  <c r="G659" i="4"/>
  <c r="I659" i="4" s="1"/>
  <c r="G747" i="4"/>
  <c r="I747" i="4" s="1"/>
  <c r="G632" i="4"/>
  <c r="I632" i="4" s="1"/>
  <c r="G598" i="4"/>
  <c r="I598" i="4" s="1"/>
  <c r="G875" i="4"/>
  <c r="I875" i="4" s="1"/>
  <c r="G861" i="4"/>
  <c r="I861" i="4" s="1"/>
  <c r="G873" i="4"/>
  <c r="I873" i="4" s="1"/>
  <c r="G551" i="4"/>
  <c r="I551" i="4" s="1"/>
  <c r="G116" i="5"/>
  <c r="F909" i="3"/>
  <c r="G476" i="4"/>
  <c r="I476" i="4" s="1"/>
  <c r="G483" i="4"/>
  <c r="I483" i="4" s="1"/>
  <c r="G100" i="4"/>
  <c r="I100" i="4" s="1"/>
  <c r="G171" i="4"/>
  <c r="I171" i="4" s="1"/>
  <c r="G94" i="4"/>
  <c r="I94" i="4" s="1"/>
  <c r="F908" i="3" l="1"/>
  <c r="H908" i="3" s="1"/>
  <c r="H909" i="3"/>
  <c r="F333" i="3"/>
  <c r="H334" i="3"/>
  <c r="C180" i="1"/>
  <c r="E180" i="1" s="1"/>
  <c r="E181" i="1"/>
  <c r="G117" i="5"/>
  <c r="I117" i="5" s="1"/>
  <c r="I116" i="5"/>
  <c r="G935" i="4"/>
  <c r="G115" i="5"/>
  <c r="I115" i="5" s="1"/>
  <c r="F332" i="3" l="1"/>
  <c r="H332" i="3" s="1"/>
  <c r="H333" i="3"/>
  <c r="G934" i="4"/>
  <c r="I934" i="4" s="1"/>
  <c r="I935" i="4"/>
  <c r="C163" i="1"/>
  <c r="C160" i="1" s="1"/>
  <c r="C146" i="1"/>
  <c r="E146" i="1" s="1"/>
  <c r="C145" i="1"/>
  <c r="E145" i="1" s="1"/>
  <c r="C123" i="1"/>
  <c r="C115" i="1" l="1"/>
  <c r="E115" i="1" s="1"/>
  <c r="E123" i="1"/>
  <c r="E160" i="1"/>
  <c r="E163" i="1"/>
  <c r="D55" i="12"/>
  <c r="D54" i="12"/>
  <c r="D53" i="12"/>
  <c r="D51" i="12"/>
  <c r="D50" i="12"/>
  <c r="C54" i="12"/>
  <c r="C53" i="12"/>
  <c r="C51" i="12"/>
  <c r="C50" i="12"/>
  <c r="D20" i="12"/>
  <c r="D19" i="12"/>
  <c r="D18" i="12"/>
  <c r="C20" i="12"/>
  <c r="C19" i="12"/>
  <c r="C18" i="12"/>
  <c r="G1126" i="15" l="1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414" i="5" l="1"/>
  <c r="G413" i="5" l="1"/>
  <c r="I414" i="5"/>
  <c r="G415" i="5"/>
  <c r="I415" i="5" s="1"/>
  <c r="G412" i="5" l="1"/>
  <c r="I412" i="5" s="1"/>
  <c r="I413" i="5"/>
  <c r="F479" i="3"/>
  <c r="G1080" i="4"/>
  <c r="I1080" i="4" s="1"/>
  <c r="F478" i="3" l="1"/>
  <c r="H478" i="3" s="1"/>
  <c r="H479" i="3"/>
  <c r="G84" i="4"/>
  <c r="I84" i="4" s="1"/>
  <c r="G82" i="4"/>
  <c r="I82" i="4" s="1"/>
  <c r="G213" i="4"/>
  <c r="I213" i="4" s="1"/>
  <c r="G211" i="4"/>
  <c r="I211" i="4" s="1"/>
  <c r="G239" i="4"/>
  <c r="I239" i="4" s="1"/>
  <c r="G237" i="4"/>
  <c r="I237" i="4" s="1"/>
  <c r="G77" i="4"/>
  <c r="I77" i="4" s="1"/>
  <c r="C169" i="1"/>
  <c r="E169" i="1" s="1"/>
  <c r="G842" i="4"/>
  <c r="I842" i="4" s="1"/>
  <c r="G509" i="4" l="1"/>
  <c r="I509" i="4" s="1"/>
  <c r="G426" i="4"/>
  <c r="I426" i="4" s="1"/>
  <c r="G22" i="4"/>
  <c r="I22" i="4" s="1"/>
  <c r="G19" i="17" l="1"/>
  <c r="G18" i="17" s="1"/>
  <c r="G17" i="17" s="1"/>
  <c r="G16" i="17" s="1"/>
  <c r="G15" i="17" s="1"/>
  <c r="G20" i="17" s="1"/>
  <c r="G16" i="6"/>
  <c r="G15" i="6" l="1"/>
  <c r="I16" i="6"/>
  <c r="H672" i="15"/>
  <c r="H899" i="15"/>
  <c r="G899" i="15"/>
  <c r="G672" i="15"/>
  <c r="G14" i="6" l="1"/>
  <c r="I15" i="6"/>
  <c r="G698" i="4"/>
  <c r="I698" i="4" s="1"/>
  <c r="G718" i="4"/>
  <c r="I718" i="4" s="1"/>
  <c r="G714" i="4"/>
  <c r="I714" i="4" s="1"/>
  <c r="G680" i="15"/>
  <c r="H680" i="15"/>
  <c r="G13" i="6" l="1"/>
  <c r="I14" i="6"/>
  <c r="G713" i="14"/>
  <c r="F713" i="14"/>
  <c r="G598" i="14"/>
  <c r="F598" i="14"/>
  <c r="F594" i="14"/>
  <c r="G590" i="14"/>
  <c r="F590" i="14"/>
  <c r="G12" i="6" l="1"/>
  <c r="I13" i="6"/>
  <c r="G737" i="4"/>
  <c r="I737" i="4" s="1"/>
  <c r="G17" i="6" l="1"/>
  <c r="I17" i="6" s="1"/>
  <c r="I12" i="6"/>
  <c r="F668" i="3"/>
  <c r="G164" i="5"/>
  <c r="G736" i="4"/>
  <c r="F667" i="3" l="1"/>
  <c r="H668" i="3"/>
  <c r="G735" i="4"/>
  <c r="I736" i="4"/>
  <c r="G163" i="5"/>
  <c r="I164" i="5"/>
  <c r="G591" i="15"/>
  <c r="G284" i="15"/>
  <c r="H197" i="15"/>
  <c r="G197" i="15"/>
  <c r="G392" i="15"/>
  <c r="S1159" i="4" l="1"/>
  <c r="S1157" i="4" s="1"/>
  <c r="I735" i="4"/>
  <c r="F666" i="3"/>
  <c r="H666" i="3" s="1"/>
  <c r="H667" i="3"/>
  <c r="G162" i="5"/>
  <c r="I163" i="5"/>
  <c r="G48" i="15"/>
  <c r="G694" i="4"/>
  <c r="I694" i="4" s="1"/>
  <c r="F550" i="3"/>
  <c r="H550" i="3" s="1"/>
  <c r="G612" i="4"/>
  <c r="I612" i="4" s="1"/>
  <c r="G690" i="4"/>
  <c r="I690" i="4" s="1"/>
  <c r="G702" i="4"/>
  <c r="I702" i="4" s="1"/>
  <c r="G404" i="4"/>
  <c r="I404" i="4" s="1"/>
  <c r="G165" i="5" l="1"/>
  <c r="I165" i="5" s="1"/>
  <c r="I162" i="5"/>
  <c r="F633" i="3"/>
  <c r="H633" i="3" s="1"/>
  <c r="F26" i="3"/>
  <c r="F139" i="3"/>
  <c r="H139" i="3" s="1"/>
  <c r="F25" i="3" l="1"/>
  <c r="H26" i="3"/>
  <c r="H869" i="15"/>
  <c r="F24" i="3" l="1"/>
  <c r="H25" i="3"/>
  <c r="C99" i="12"/>
  <c r="D103" i="12"/>
  <c r="D99" i="12" s="1"/>
  <c r="F97" i="12"/>
  <c r="E97" i="12"/>
  <c r="F85" i="12"/>
  <c r="E85" i="12"/>
  <c r="F23" i="3" l="1"/>
  <c r="H23" i="3" s="1"/>
  <c r="H24" i="3"/>
  <c r="G373" i="15"/>
  <c r="G310" i="15"/>
  <c r="G871" i="15"/>
  <c r="H871" i="15" s="1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91" i="12"/>
  <c r="F410" i="3" l="1"/>
  <c r="H410" i="3" s="1"/>
  <c r="F805" i="3"/>
  <c r="F698" i="3"/>
  <c r="G532" i="5"/>
  <c r="G516" i="5"/>
  <c r="G306" i="4"/>
  <c r="G378" i="4"/>
  <c r="G377" i="4" l="1"/>
  <c r="I378" i="4"/>
  <c r="F697" i="3"/>
  <c r="H698" i="3"/>
  <c r="G305" i="4"/>
  <c r="I305" i="4" s="1"/>
  <c r="I306" i="4"/>
  <c r="F804" i="3"/>
  <c r="H805" i="3"/>
  <c r="G515" i="5"/>
  <c r="I516" i="5"/>
  <c r="G531" i="5"/>
  <c r="I532" i="5"/>
  <c r="T1159" i="4"/>
  <c r="G212" i="15"/>
  <c r="G83" i="15"/>
  <c r="C166" i="1"/>
  <c r="E166" i="1" s="1"/>
  <c r="F803" i="3" l="1"/>
  <c r="H803" i="3" s="1"/>
  <c r="H804" i="3"/>
  <c r="F696" i="3"/>
  <c r="H696" i="3" s="1"/>
  <c r="H697" i="3"/>
  <c r="U1159" i="4"/>
  <c r="U1157" i="4" s="1"/>
  <c r="I377" i="4"/>
  <c r="G514" i="5"/>
  <c r="I515" i="5"/>
  <c r="G530" i="5"/>
  <c r="I531" i="5"/>
  <c r="T1157" i="4"/>
  <c r="AM1159" i="4"/>
  <c r="H342" i="16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AM1157" i="4" l="1"/>
  <c r="H1165" i="4" s="1"/>
  <c r="H1168" i="4"/>
  <c r="H1167" i="4" s="1"/>
  <c r="G517" i="5"/>
  <c r="I517" i="5" s="1"/>
  <c r="I514" i="5"/>
  <c r="G533" i="5"/>
  <c r="I533" i="5" s="1"/>
  <c r="I530" i="5"/>
  <c r="H341" i="16"/>
  <c r="H340" i="16" s="1"/>
  <c r="H339" i="16" s="1"/>
  <c r="H338" i="16" s="1"/>
  <c r="H337" i="16" s="1"/>
  <c r="G343" i="16"/>
  <c r="H1181" i="4" l="1"/>
  <c r="H1164" i="4"/>
  <c r="H1180" i="4" s="1"/>
  <c r="F649" i="3"/>
  <c r="G379" i="5"/>
  <c r="G717" i="4"/>
  <c r="C96" i="1"/>
  <c r="E96" i="1" s="1"/>
  <c r="C94" i="1"/>
  <c r="E94" i="1" s="1"/>
  <c r="D79" i="12"/>
  <c r="C79" i="12"/>
  <c r="F648" i="3" l="1"/>
  <c r="H649" i="3"/>
  <c r="G716" i="4"/>
  <c r="I716" i="4" s="1"/>
  <c r="I717" i="4"/>
  <c r="G378" i="5"/>
  <c r="I379" i="5"/>
  <c r="G715" i="4"/>
  <c r="I715" i="4" s="1"/>
  <c r="F647" i="3" l="1"/>
  <c r="H648" i="3"/>
  <c r="G377" i="5"/>
  <c r="I378" i="5"/>
  <c r="C91" i="1"/>
  <c r="E91" i="1" s="1"/>
  <c r="F646" i="3" l="1"/>
  <c r="H646" i="3" s="1"/>
  <c r="H647" i="3"/>
  <c r="G376" i="5"/>
  <c r="I377" i="5"/>
  <c r="G347" i="4"/>
  <c r="I347" i="4" s="1"/>
  <c r="G375" i="5" l="1"/>
  <c r="I376" i="5"/>
  <c r="G1007" i="4"/>
  <c r="I1007" i="4" s="1"/>
  <c r="G1001" i="4"/>
  <c r="I1001" i="4" s="1"/>
  <c r="I1202" i="4" s="1"/>
  <c r="G972" i="4"/>
  <c r="I972" i="4" s="1"/>
  <c r="G374" i="5" l="1"/>
  <c r="I375" i="5"/>
  <c r="G755" i="4"/>
  <c r="I755" i="4" s="1"/>
  <c r="G682" i="4"/>
  <c r="I682" i="4" s="1"/>
  <c r="G608" i="4"/>
  <c r="I608" i="4" s="1"/>
  <c r="G380" i="5" l="1"/>
  <c r="I380" i="5" s="1"/>
  <c r="I374" i="5"/>
  <c r="G25" i="16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890" i="3"/>
  <c r="F726" i="3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65" i="5"/>
  <c r="G671" i="5"/>
  <c r="G463" i="4"/>
  <c r="G461" i="4"/>
  <c r="I461" i="4" s="1"/>
  <c r="G334" i="4"/>
  <c r="G332" i="4"/>
  <c r="I332" i="4" s="1"/>
  <c r="H962" i="15"/>
  <c r="H961" i="15" s="1"/>
  <c r="H960" i="15" s="1"/>
  <c r="G962" i="15"/>
  <c r="G961" i="15" s="1"/>
  <c r="G960" i="15" s="1"/>
  <c r="G333" i="4" l="1"/>
  <c r="I334" i="4"/>
  <c r="G462" i="4"/>
  <c r="I463" i="4"/>
  <c r="F723" i="3"/>
  <c r="H723" i="3" s="1"/>
  <c r="H726" i="3"/>
  <c r="F889" i="3"/>
  <c r="H890" i="3"/>
  <c r="G666" i="5"/>
  <c r="I666" i="5" s="1"/>
  <c r="I665" i="5"/>
  <c r="G670" i="5"/>
  <c r="I671" i="5"/>
  <c r="H604" i="16"/>
  <c r="H622" i="16"/>
  <c r="H626" i="16"/>
  <c r="G604" i="16"/>
  <c r="F677" i="14"/>
  <c r="F825" i="14"/>
  <c r="G677" i="14"/>
  <c r="G178" i="14"/>
  <c r="F178" i="14"/>
  <c r="F887" i="3"/>
  <c r="H887" i="3" s="1"/>
  <c r="F725" i="3"/>
  <c r="G624" i="16"/>
  <c r="G623" i="16" s="1"/>
  <c r="G622" i="16" s="1"/>
  <c r="G635" i="16"/>
  <c r="G634" i="16" s="1"/>
  <c r="H635" i="16"/>
  <c r="H634" i="16" s="1"/>
  <c r="F724" i="3" l="1"/>
  <c r="H725" i="3"/>
  <c r="F888" i="3"/>
  <c r="H889" i="3"/>
  <c r="G460" i="4"/>
  <c r="I460" i="4" s="1"/>
  <c r="I462" i="4"/>
  <c r="G331" i="4"/>
  <c r="I331" i="4" s="1"/>
  <c r="I333" i="4"/>
  <c r="G669" i="5"/>
  <c r="I670" i="5"/>
  <c r="G633" i="16"/>
  <c r="G637" i="16"/>
  <c r="H633" i="16"/>
  <c r="H637" i="16"/>
  <c r="F886" i="3" l="1"/>
  <c r="H886" i="3" s="1"/>
  <c r="H888" i="3"/>
  <c r="F722" i="3"/>
  <c r="H722" i="3" s="1"/>
  <c r="H724" i="3"/>
  <c r="G672" i="5"/>
  <c r="I672" i="5" s="1"/>
  <c r="I669" i="5"/>
  <c r="G339" i="5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G338" i="5" l="1"/>
  <c r="I339" i="5"/>
  <c r="D44" i="13"/>
  <c r="E44" i="13"/>
  <c r="F597" i="14"/>
  <c r="F596" i="14" s="1"/>
  <c r="F600" i="14"/>
  <c r="F599" i="14" s="1"/>
  <c r="G600" i="14"/>
  <c r="G599" i="14" s="1"/>
  <c r="G337" i="5" l="1"/>
  <c r="I338" i="5"/>
  <c r="F595" i="14"/>
  <c r="F822" i="3"/>
  <c r="H822" i="3" s="1"/>
  <c r="F629" i="3"/>
  <c r="H629" i="3" s="1"/>
  <c r="F409" i="3"/>
  <c r="F632" i="3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F631" i="3" l="1"/>
  <c r="H632" i="3"/>
  <c r="F408" i="3"/>
  <c r="H409" i="3"/>
  <c r="G336" i="5"/>
  <c r="I337" i="5"/>
  <c r="G340" i="5"/>
  <c r="I340" i="5" s="1"/>
  <c r="E131" i="12"/>
  <c r="C133" i="12"/>
  <c r="D124" i="12"/>
  <c r="G210" i="15"/>
  <c r="H667" i="15"/>
  <c r="H666" i="15" s="1"/>
  <c r="G667" i="15"/>
  <c r="G666" i="15" s="1"/>
  <c r="G664" i="15"/>
  <c r="G663" i="15" s="1"/>
  <c r="C112" i="1"/>
  <c r="E112" i="1" s="1"/>
  <c r="G701" i="4"/>
  <c r="F407" i="3" l="1"/>
  <c r="H407" i="3" s="1"/>
  <c r="H408" i="3"/>
  <c r="G700" i="4"/>
  <c r="I701" i="4"/>
  <c r="F630" i="3"/>
  <c r="H630" i="3" s="1"/>
  <c r="H631" i="3"/>
  <c r="I336" i="5"/>
  <c r="G335" i="5"/>
  <c r="G662" i="15"/>
  <c r="G1011" i="4"/>
  <c r="G685" i="5"/>
  <c r="G699" i="4" l="1"/>
  <c r="I699" i="4" s="1"/>
  <c r="I700" i="4"/>
  <c r="G1010" i="4"/>
  <c r="I1011" i="4"/>
  <c r="G684" i="5"/>
  <c r="I685" i="5"/>
  <c r="G334" i="5"/>
  <c r="I334" i="5" s="1"/>
  <c r="I335" i="5"/>
  <c r="G1009" i="4" l="1"/>
  <c r="I1009" i="4" s="1"/>
  <c r="I1010" i="4"/>
  <c r="G683" i="5"/>
  <c r="I684" i="5"/>
  <c r="G369" i="16"/>
  <c r="G368" i="16" s="1"/>
  <c r="G367" i="16" s="1"/>
  <c r="G366" i="16" s="1"/>
  <c r="G402" i="5"/>
  <c r="I683" i="5" l="1"/>
  <c r="G682" i="5"/>
  <c r="G686" i="5"/>
  <c r="I686" i="5" s="1"/>
  <c r="G401" i="5"/>
  <c r="I401" i="5" s="1"/>
  <c r="I402" i="5"/>
  <c r="G370" i="16"/>
  <c r="G400" i="5" l="1"/>
  <c r="I400" i="5" s="1"/>
  <c r="G681" i="5"/>
  <c r="I681" i="5" s="1"/>
  <c r="I682" i="5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G399" i="5" l="1"/>
  <c r="I399" i="5" s="1"/>
  <c r="G403" i="5"/>
  <c r="I403" i="5" s="1"/>
  <c r="D134" i="12"/>
  <c r="D135" i="12"/>
  <c r="D136" i="12"/>
  <c r="D142" i="12"/>
  <c r="D141" i="12" s="1"/>
  <c r="C142" i="12"/>
  <c r="C141" i="12" s="1"/>
  <c r="D133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88" i="5"/>
  <c r="G187" i="5" l="1"/>
  <c r="I188" i="5"/>
  <c r="F28" i="14"/>
  <c r="F27" i="14" s="1"/>
  <c r="F26" i="14" s="1"/>
  <c r="F25" i="14"/>
  <c r="G551" i="14"/>
  <c r="G550" i="14" s="1"/>
  <c r="G549" i="14" s="1"/>
  <c r="F551" i="14"/>
  <c r="F550" i="14" s="1"/>
  <c r="F549" i="14" s="1"/>
  <c r="G186" i="5" l="1"/>
  <c r="I187" i="5"/>
  <c r="F628" i="3"/>
  <c r="F578" i="3"/>
  <c r="F138" i="3"/>
  <c r="H617" i="15"/>
  <c r="H616" i="15" s="1"/>
  <c r="G617" i="15"/>
  <c r="G616" i="15" s="1"/>
  <c r="F577" i="3" l="1"/>
  <c r="H578" i="3"/>
  <c r="F627" i="3"/>
  <c r="H628" i="3"/>
  <c r="F137" i="3"/>
  <c r="H138" i="3"/>
  <c r="G189" i="5"/>
  <c r="I189" i="5" s="1"/>
  <c r="I186" i="5"/>
  <c r="G671" i="15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F626" i="3" l="1"/>
  <c r="H626" i="3" s="1"/>
  <c r="H627" i="3"/>
  <c r="F136" i="3"/>
  <c r="H137" i="3"/>
  <c r="F576" i="3"/>
  <c r="H576" i="3" s="1"/>
  <c r="H577" i="3"/>
  <c r="G439" i="15"/>
  <c r="G132" i="16" s="1"/>
  <c r="F135" i="3" l="1"/>
  <c r="H136" i="3"/>
  <c r="G30" i="4"/>
  <c r="G50" i="15"/>
  <c r="G49" i="15" s="1"/>
  <c r="H48" i="15"/>
  <c r="G47" i="15"/>
  <c r="G46" i="15" s="1"/>
  <c r="H38" i="15"/>
  <c r="G29" i="4" l="1"/>
  <c r="I30" i="4"/>
  <c r="F134" i="3"/>
  <c r="H135" i="3"/>
  <c r="H47" i="15"/>
  <c r="H46" i="15" s="1"/>
  <c r="H370" i="16"/>
  <c r="H369" i="16" s="1"/>
  <c r="H368" i="16" s="1"/>
  <c r="H367" i="16" s="1"/>
  <c r="H366" i="16" s="1"/>
  <c r="G25" i="14"/>
  <c r="G45" i="15"/>
  <c r="G44" i="15" s="1"/>
  <c r="G48" i="4"/>
  <c r="D16" i="2" l="1"/>
  <c r="F16" i="2" s="1"/>
  <c r="H134" i="3"/>
  <c r="G47" i="4"/>
  <c r="I48" i="4"/>
  <c r="G28" i="4"/>
  <c r="I29" i="4"/>
  <c r="G28" i="14"/>
  <c r="G27" i="14" s="1"/>
  <c r="G26" i="14" s="1"/>
  <c r="H50" i="15"/>
  <c r="H49" i="15" s="1"/>
  <c r="H45" i="15" s="1"/>
  <c r="H44" i="15" s="1"/>
  <c r="G46" i="4" l="1"/>
  <c r="I46" i="4" s="1"/>
  <c r="I47" i="4"/>
  <c r="G27" i="4"/>
  <c r="I28" i="4"/>
  <c r="G45" i="4"/>
  <c r="I45" i="4" s="1"/>
  <c r="G646" i="4"/>
  <c r="C173" i="1"/>
  <c r="E173" i="1" s="1"/>
  <c r="G26" i="4" l="1"/>
  <c r="I26" i="4" s="1"/>
  <c r="I27" i="4"/>
  <c r="G645" i="4"/>
  <c r="I645" i="4" s="1"/>
  <c r="I646" i="4"/>
  <c r="G332" i="5"/>
  <c r="G697" i="4"/>
  <c r="G696" i="4" l="1"/>
  <c r="I697" i="4"/>
  <c r="G331" i="5"/>
  <c r="I332" i="5"/>
  <c r="G462" i="16"/>
  <c r="G461" i="16" s="1"/>
  <c r="G460" i="16" s="1"/>
  <c r="G459" i="16" s="1"/>
  <c r="G458" i="16" s="1"/>
  <c r="G457" i="16" s="1"/>
  <c r="G463" i="16" s="1"/>
  <c r="F34" i="14"/>
  <c r="F33" i="14" s="1"/>
  <c r="F36" i="14"/>
  <c r="F35" i="14" s="1"/>
  <c r="F32" i="3"/>
  <c r="F34" i="3"/>
  <c r="F31" i="3" l="1"/>
  <c r="H31" i="3" s="1"/>
  <c r="H32" i="3"/>
  <c r="F33" i="3"/>
  <c r="H33" i="3" s="1"/>
  <c r="H34" i="3"/>
  <c r="G695" i="4"/>
  <c r="I695" i="4" s="1"/>
  <c r="I696" i="4"/>
  <c r="G330" i="5"/>
  <c r="I331" i="5"/>
  <c r="F32" i="14"/>
  <c r="H1072" i="15"/>
  <c r="G34" i="14" s="1"/>
  <c r="G33" i="14" s="1"/>
  <c r="H1074" i="15"/>
  <c r="G36" i="14" s="1"/>
  <c r="G35" i="14" s="1"/>
  <c r="G1073" i="15"/>
  <c r="G1071" i="15"/>
  <c r="F30" i="3" l="1"/>
  <c r="H30" i="3" s="1"/>
  <c r="G329" i="5"/>
  <c r="I330" i="5"/>
  <c r="H1073" i="15"/>
  <c r="G32" i="14"/>
  <c r="H1071" i="15"/>
  <c r="G1070" i="15"/>
  <c r="G328" i="5" l="1"/>
  <c r="I329" i="5"/>
  <c r="H1070" i="15"/>
  <c r="G1123" i="4"/>
  <c r="I1123" i="4" s="1"/>
  <c r="G1121" i="4"/>
  <c r="I1121" i="4" s="1"/>
  <c r="G327" i="5" l="1"/>
  <c r="I328" i="5"/>
  <c r="G1120" i="4"/>
  <c r="I1120" i="4" s="1"/>
  <c r="I327" i="5" l="1"/>
  <c r="G333" i="5"/>
  <c r="I333" i="5" s="1"/>
  <c r="G1083" i="4"/>
  <c r="G1082" i="4" l="1"/>
  <c r="I1082" i="4" s="1"/>
  <c r="I1083" i="4"/>
  <c r="H767" i="16"/>
  <c r="H768" i="16" s="1"/>
  <c r="H138" i="16"/>
  <c r="H132" i="16"/>
  <c r="G186" i="14"/>
  <c r="F15" i="14"/>
  <c r="F17" i="14"/>
  <c r="P1096" i="15"/>
  <c r="G784" i="14"/>
  <c r="F784" i="14"/>
  <c r="F16" i="3"/>
  <c r="H16" i="3" s="1"/>
  <c r="F18" i="3"/>
  <c r="H18" i="3" s="1"/>
  <c r="H766" i="16" l="1"/>
  <c r="H254" i="15"/>
  <c r="H253" i="15" s="1"/>
  <c r="H40" i="15" l="1"/>
  <c r="G43" i="15"/>
  <c r="G42" i="15" s="1"/>
  <c r="H42" i="15" s="1"/>
  <c r="G39" i="15"/>
  <c r="G37" i="15"/>
  <c r="G38" i="4"/>
  <c r="I38" i="4" s="1"/>
  <c r="G44" i="4"/>
  <c r="I44" i="4" s="1"/>
  <c r="G36" i="15" l="1"/>
  <c r="H39" i="15"/>
  <c r="G17" i="14"/>
  <c r="H43" i="15"/>
  <c r="G20" i="14" s="1"/>
  <c r="F20" i="14"/>
  <c r="G43" i="4"/>
  <c r="F21" i="3"/>
  <c r="H21" i="3" s="1"/>
  <c r="H37" i="15"/>
  <c r="G15" i="14"/>
  <c r="G41" i="15"/>
  <c r="H41" i="15" s="1"/>
  <c r="G37" i="4"/>
  <c r="I37" i="4" s="1"/>
  <c r="G982" i="15"/>
  <c r="G42" i="4" l="1"/>
  <c r="I42" i="4" s="1"/>
  <c r="I43" i="4"/>
  <c r="H36" i="15"/>
  <c r="H35" i="15" s="1"/>
  <c r="H34" i="15" s="1"/>
  <c r="H33" i="15" s="1"/>
  <c r="G35" i="15"/>
  <c r="G34" i="15" s="1"/>
  <c r="G33" i="15" s="1"/>
  <c r="G958" i="15"/>
  <c r="G36" i="4" l="1"/>
  <c r="I36" i="4" s="1"/>
  <c r="G35" i="4" l="1"/>
  <c r="G34" i="4" s="1"/>
  <c r="I34" i="4" s="1"/>
  <c r="I35" i="4"/>
  <c r="G22" i="16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586" i="5"/>
  <c r="G538" i="5"/>
  <c r="G544" i="5"/>
  <c r="K518" i="5"/>
  <c r="G646" i="5"/>
  <c r="G618" i="5"/>
  <c r="G611" i="5"/>
  <c r="G160" i="5"/>
  <c r="I160" i="5" s="1"/>
  <c r="G142" i="5"/>
  <c r="G129" i="5"/>
  <c r="I129" i="5" s="1"/>
  <c r="G126" i="5"/>
  <c r="G119" i="5"/>
  <c r="I119" i="5" s="1"/>
  <c r="G104" i="5"/>
  <c r="I104" i="5" s="1"/>
  <c r="G96" i="5"/>
  <c r="I96" i="5" s="1"/>
  <c r="G89" i="5"/>
  <c r="I89" i="5" s="1"/>
  <c r="G82" i="5"/>
  <c r="I82" i="5" s="1"/>
  <c r="G75" i="5"/>
  <c r="I75" i="5" s="1"/>
  <c r="G59" i="5"/>
  <c r="I59" i="5" s="1"/>
  <c r="G52" i="5"/>
  <c r="I52" i="5" s="1"/>
  <c r="G38" i="5"/>
  <c r="I38" i="5" s="1"/>
  <c r="G619" i="5" l="1"/>
  <c r="I619" i="5" s="1"/>
  <c r="I618" i="5"/>
  <c r="G537" i="5"/>
  <c r="I537" i="5" s="1"/>
  <c r="I538" i="5"/>
  <c r="G141" i="5"/>
  <c r="I142" i="5"/>
  <c r="G647" i="5"/>
  <c r="I647" i="5" s="1"/>
  <c r="I646" i="5"/>
  <c r="G587" i="5"/>
  <c r="I587" i="5" s="1"/>
  <c r="I586" i="5"/>
  <c r="G125" i="5"/>
  <c r="I125" i="5" s="1"/>
  <c r="I126" i="5"/>
  <c r="G612" i="5"/>
  <c r="I612" i="5" s="1"/>
  <c r="I611" i="5"/>
  <c r="G543" i="5"/>
  <c r="I543" i="5" s="1"/>
  <c r="I544" i="5"/>
  <c r="G118" i="5"/>
  <c r="I118" i="5" s="1"/>
  <c r="G120" i="5"/>
  <c r="I120" i="5" s="1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585" i="5"/>
  <c r="G545" i="5"/>
  <c r="I545" i="5" s="1"/>
  <c r="G539" i="5"/>
  <c r="I539" i="5" s="1"/>
  <c r="G645" i="5"/>
  <c r="G610" i="5"/>
  <c r="G617" i="5"/>
  <c r="G127" i="5"/>
  <c r="I127" i="5" s="1"/>
  <c r="G143" i="5"/>
  <c r="I143" i="5" s="1"/>
  <c r="G128" i="5"/>
  <c r="G16" i="5"/>
  <c r="I16" i="5" s="1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616" i="5" l="1"/>
  <c r="I617" i="5"/>
  <c r="G124" i="5"/>
  <c r="I128" i="5"/>
  <c r="G609" i="5"/>
  <c r="I609" i="5" s="1"/>
  <c r="I610" i="5"/>
  <c r="G584" i="5"/>
  <c r="I585" i="5"/>
  <c r="G644" i="5"/>
  <c r="I645" i="5"/>
  <c r="G140" i="5"/>
  <c r="I141" i="5"/>
  <c r="G114" i="5"/>
  <c r="G130" i="5"/>
  <c r="I130" i="5" s="1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G113" i="5" l="1"/>
  <c r="I114" i="5"/>
  <c r="G643" i="5"/>
  <c r="I644" i="5"/>
  <c r="G615" i="5"/>
  <c r="I616" i="5"/>
  <c r="G139" i="5"/>
  <c r="I140" i="5"/>
  <c r="G583" i="5"/>
  <c r="I584" i="5"/>
  <c r="G123" i="5"/>
  <c r="I124" i="5"/>
  <c r="F843" i="14"/>
  <c r="F837" i="14" s="1"/>
  <c r="G138" i="5" l="1"/>
  <c r="I138" i="5" s="1"/>
  <c r="I139" i="5"/>
  <c r="G642" i="5"/>
  <c r="I643" i="5"/>
  <c r="G122" i="5"/>
  <c r="I123" i="5"/>
  <c r="G582" i="5"/>
  <c r="I582" i="5" s="1"/>
  <c r="I583" i="5"/>
  <c r="G614" i="5"/>
  <c r="I615" i="5"/>
  <c r="G112" i="5"/>
  <c r="I113" i="5"/>
  <c r="F821" i="3"/>
  <c r="F921" i="3"/>
  <c r="F917" i="3"/>
  <c r="F915" i="3"/>
  <c r="F911" i="3"/>
  <c r="F842" i="3"/>
  <c r="F841" i="3" l="1"/>
  <c r="H842" i="3"/>
  <c r="F920" i="3"/>
  <c r="H921" i="3"/>
  <c r="F820" i="3"/>
  <c r="H820" i="3" s="1"/>
  <c r="H821" i="3"/>
  <c r="F914" i="3"/>
  <c r="H914" i="3" s="1"/>
  <c r="H915" i="3"/>
  <c r="F916" i="3"/>
  <c r="H916" i="3" s="1"/>
  <c r="H917" i="3"/>
  <c r="F910" i="3"/>
  <c r="H910" i="3" s="1"/>
  <c r="H911" i="3"/>
  <c r="G613" i="5"/>
  <c r="I613" i="5" s="1"/>
  <c r="I614" i="5"/>
  <c r="G121" i="5"/>
  <c r="I121" i="5" s="1"/>
  <c r="I122" i="5"/>
  <c r="G111" i="5"/>
  <c r="I111" i="5" s="1"/>
  <c r="I112" i="5"/>
  <c r="G641" i="5"/>
  <c r="I641" i="5" s="1"/>
  <c r="I642" i="5"/>
  <c r="F907" i="3"/>
  <c r="F913" i="3"/>
  <c r="F437" i="3"/>
  <c r="F436" i="3" l="1"/>
  <c r="H437" i="3"/>
  <c r="F919" i="3"/>
  <c r="H920" i="3"/>
  <c r="F912" i="3"/>
  <c r="H912" i="3" s="1"/>
  <c r="H913" i="3"/>
  <c r="F906" i="3"/>
  <c r="H906" i="3" s="1"/>
  <c r="H907" i="3"/>
  <c r="F840" i="3"/>
  <c r="H841" i="3"/>
  <c r="F98" i="3"/>
  <c r="F97" i="3" l="1"/>
  <c r="H97" i="3" s="1"/>
  <c r="H98" i="3"/>
  <c r="F918" i="3"/>
  <c r="H919" i="3"/>
  <c r="F839" i="3"/>
  <c r="H839" i="3" s="1"/>
  <c r="H840" i="3"/>
  <c r="F435" i="3"/>
  <c r="H435" i="3" s="1"/>
  <c r="H436" i="3"/>
  <c r="F547" i="14"/>
  <c r="F546" i="14" s="1"/>
  <c r="F545" i="14" s="1"/>
  <c r="F544" i="14" s="1"/>
  <c r="G155" i="5"/>
  <c r="F484" i="14"/>
  <c r="F483" i="14" s="1"/>
  <c r="F482" i="14" s="1"/>
  <c r="F481" i="14" s="1"/>
  <c r="G150" i="5"/>
  <c r="I150" i="5" s="1"/>
  <c r="H918" i="3" l="1"/>
  <c r="F905" i="3"/>
  <c r="H905" i="3" s="1"/>
  <c r="G156" i="5"/>
  <c r="I156" i="5" s="1"/>
  <c r="I155" i="5"/>
  <c r="D86" i="12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G785" i="15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F127" i="12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51" i="1"/>
  <c r="C110" i="1"/>
  <c r="E110" i="1" s="1"/>
  <c r="C108" i="1"/>
  <c r="E108" i="1" s="1"/>
  <c r="C106" i="1"/>
  <c r="E106" i="1" s="1"/>
  <c r="C104" i="1"/>
  <c r="E104" i="1" s="1"/>
  <c r="C102" i="1"/>
  <c r="E102" i="1" s="1"/>
  <c r="C98" i="1"/>
  <c r="E98" i="1" s="1"/>
  <c r="C164" i="1"/>
  <c r="E164" i="1" s="1"/>
  <c r="D88" i="12"/>
  <c r="C88" i="12"/>
  <c r="D52" i="12"/>
  <c r="D49" i="12" s="1"/>
  <c r="C52" i="12"/>
  <c r="C49" i="12" s="1"/>
  <c r="C58" i="1"/>
  <c r="C30" i="1"/>
  <c r="E30" i="1" s="1"/>
  <c r="G102" i="4"/>
  <c r="G101" i="4" l="1"/>
  <c r="I102" i="4"/>
  <c r="C55" i="1"/>
  <c r="E55" i="1" s="1"/>
  <c r="E58" i="1"/>
  <c r="C144" i="1"/>
  <c r="E144" i="1" s="1"/>
  <c r="E151" i="1"/>
  <c r="H114" i="1"/>
  <c r="C114" i="1"/>
  <c r="E114" i="1" s="1"/>
  <c r="G381" i="16" l="1"/>
  <c r="I101" i="4"/>
  <c r="G685" i="4"/>
  <c r="G684" i="4" l="1"/>
  <c r="I685" i="4"/>
  <c r="G380" i="16"/>
  <c r="G379" i="16" s="1"/>
  <c r="G382" i="16"/>
  <c r="G481" i="4"/>
  <c r="G415" i="4"/>
  <c r="G395" i="4"/>
  <c r="G394" i="4" l="1"/>
  <c r="I394" i="4" s="1"/>
  <c r="I395" i="4"/>
  <c r="G414" i="4"/>
  <c r="I415" i="4"/>
  <c r="G480" i="4"/>
  <c r="I480" i="4" s="1"/>
  <c r="I481" i="4"/>
  <c r="G683" i="4"/>
  <c r="I683" i="4" s="1"/>
  <c r="I684" i="4"/>
  <c r="G411" i="4"/>
  <c r="G639" i="5"/>
  <c r="I639" i="5" s="1"/>
  <c r="F838" i="3"/>
  <c r="G393" i="4"/>
  <c r="I393" i="4" s="1"/>
  <c r="F837" i="3" l="1"/>
  <c r="H838" i="3"/>
  <c r="G413" i="4"/>
  <c r="I413" i="4" s="1"/>
  <c r="I414" i="4"/>
  <c r="G410" i="4"/>
  <c r="I411" i="4"/>
  <c r="F334" i="14"/>
  <c r="F333" i="14" s="1"/>
  <c r="G893" i="15"/>
  <c r="G409" i="4" l="1"/>
  <c r="I409" i="4" s="1"/>
  <c r="I410" i="4"/>
  <c r="F836" i="3"/>
  <c r="H837" i="3"/>
  <c r="F343" i="3"/>
  <c r="H343" i="3" s="1"/>
  <c r="G943" i="4"/>
  <c r="I943" i="4" s="1"/>
  <c r="F835" i="3" l="1"/>
  <c r="H835" i="3" s="1"/>
  <c r="H836" i="3"/>
  <c r="G498" i="5"/>
  <c r="G497" i="5" l="1"/>
  <c r="I498" i="5"/>
  <c r="G488" i="5"/>
  <c r="F983" i="3"/>
  <c r="G841" i="4"/>
  <c r="F982" i="3" l="1"/>
  <c r="H983" i="3"/>
  <c r="G840" i="4"/>
  <c r="I841" i="4"/>
  <c r="G496" i="5"/>
  <c r="I497" i="5"/>
  <c r="G487" i="5"/>
  <c r="I488" i="5"/>
  <c r="F931" i="3"/>
  <c r="H931" i="3" s="1"/>
  <c r="G839" i="4" l="1"/>
  <c r="I839" i="4" s="1"/>
  <c r="I840" i="4"/>
  <c r="F981" i="3"/>
  <c r="H982" i="3"/>
  <c r="G495" i="5"/>
  <c r="I496" i="5"/>
  <c r="G486" i="5"/>
  <c r="I486" i="5" s="1"/>
  <c r="I487" i="5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E136" i="12" s="1"/>
  <c r="G787" i="15"/>
  <c r="G786" i="15" s="1"/>
  <c r="G752" i="15"/>
  <c r="G750" i="15"/>
  <c r="G739" i="15"/>
  <c r="G736" i="15"/>
  <c r="G253" i="16"/>
  <c r="G706" i="15"/>
  <c r="F593" i="14"/>
  <c r="F592" i="14" s="1"/>
  <c r="F591" i="14" s="1"/>
  <c r="G646" i="15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E109" i="12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F980" i="3" l="1"/>
  <c r="H980" i="3" s="1"/>
  <c r="H981" i="3"/>
  <c r="G494" i="5"/>
  <c r="I495" i="5"/>
  <c r="E120" i="12"/>
  <c r="E121" i="12"/>
  <c r="F531" i="14"/>
  <c r="F530" i="14" s="1"/>
  <c r="F529" i="14" s="1"/>
  <c r="F525" i="14" s="1"/>
  <c r="E101" i="12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3" i="5"/>
  <c r="I23" i="5" s="1"/>
  <c r="F281" i="3"/>
  <c r="G913" i="4"/>
  <c r="I913" i="4" s="1"/>
  <c r="F280" i="3" l="1"/>
  <c r="H280" i="3" s="1"/>
  <c r="H281" i="3"/>
  <c r="G493" i="5"/>
  <c r="I494" i="5"/>
  <c r="G250" i="16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2" i="5"/>
  <c r="I22" i="5" s="1"/>
  <c r="G24" i="5"/>
  <c r="I24" i="5" s="1"/>
  <c r="G59" i="4"/>
  <c r="I59" i="4" s="1"/>
  <c r="I493" i="5" l="1"/>
  <c r="G499" i="5"/>
  <c r="I499" i="5" s="1"/>
  <c r="G365" i="16"/>
  <c r="G364" i="16" s="1"/>
  <c r="G356" i="16" s="1"/>
  <c r="G330" i="4"/>
  <c r="I330" i="4" s="1"/>
  <c r="F957" i="14" l="1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3" i="1" l="1"/>
  <c r="C12" i="1" l="1"/>
  <c r="E13" i="1"/>
  <c r="G71" i="14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E12" i="1" l="1"/>
  <c r="F777" i="14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638" i="5"/>
  <c r="G372" i="5"/>
  <c r="G325" i="5"/>
  <c r="G637" i="5" l="1"/>
  <c r="I637" i="5" s="1"/>
  <c r="I638" i="5"/>
  <c r="G324" i="5"/>
  <c r="I325" i="5"/>
  <c r="G371" i="5"/>
  <c r="I372" i="5"/>
  <c r="G597" i="15"/>
  <c r="G596" i="15" s="1"/>
  <c r="G592" i="15" s="1"/>
  <c r="F84" i="14"/>
  <c r="F83" i="14" s="1"/>
  <c r="F82" i="14" s="1"/>
  <c r="G634" i="5"/>
  <c r="I634" i="5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645" i="3"/>
  <c r="F549" i="3"/>
  <c r="F930" i="3"/>
  <c r="F67" i="3"/>
  <c r="F85" i="3"/>
  <c r="F929" i="3" l="1"/>
  <c r="H929" i="3" s="1"/>
  <c r="H930" i="3"/>
  <c r="F66" i="3"/>
  <c r="H67" i="3"/>
  <c r="F548" i="3"/>
  <c r="H549" i="3"/>
  <c r="F84" i="3"/>
  <c r="H85" i="3"/>
  <c r="F644" i="3"/>
  <c r="H645" i="3"/>
  <c r="G636" i="5"/>
  <c r="I636" i="5" s="1"/>
  <c r="G323" i="5"/>
  <c r="I324" i="5"/>
  <c r="G370" i="5"/>
  <c r="I371" i="5"/>
  <c r="G640" i="5"/>
  <c r="I640" i="5" s="1"/>
  <c r="F928" i="3"/>
  <c r="H58" i="15"/>
  <c r="G58" i="15"/>
  <c r="H505" i="15"/>
  <c r="H504" i="15" s="1"/>
  <c r="H503" i="15" s="1"/>
  <c r="G84" i="14"/>
  <c r="G83" i="14" s="1"/>
  <c r="G82" i="14" s="1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73" i="4"/>
  <c r="G713" i="4"/>
  <c r="G559" i="4"/>
  <c r="G527" i="4"/>
  <c r="G615" i="4"/>
  <c r="I615" i="4" s="1"/>
  <c r="G618" i="4"/>
  <c r="D137" i="12"/>
  <c r="C137" i="12"/>
  <c r="D94" i="12"/>
  <c r="C94" i="12"/>
  <c r="C86" i="12"/>
  <c r="C82" i="12"/>
  <c r="C100" i="1"/>
  <c r="E100" i="1" s="1"/>
  <c r="G635" i="5" l="1"/>
  <c r="I635" i="5" s="1"/>
  <c r="G617" i="4"/>
  <c r="I617" i="4" s="1"/>
  <c r="I618" i="4"/>
  <c r="G712" i="4"/>
  <c r="I712" i="4" s="1"/>
  <c r="I713" i="4"/>
  <c r="G72" i="4"/>
  <c r="I72" i="4" s="1"/>
  <c r="I73" i="4"/>
  <c r="F927" i="3"/>
  <c r="H928" i="3"/>
  <c r="F83" i="3"/>
  <c r="H83" i="3" s="1"/>
  <c r="H84" i="3"/>
  <c r="F65" i="3"/>
  <c r="H65" i="3" s="1"/>
  <c r="H66" i="3"/>
  <c r="G526" i="4"/>
  <c r="I527" i="4"/>
  <c r="G558" i="4"/>
  <c r="I559" i="4"/>
  <c r="F643" i="3"/>
  <c r="H644" i="3"/>
  <c r="F547" i="3"/>
  <c r="H547" i="3" s="1"/>
  <c r="H548" i="3"/>
  <c r="I370" i="5"/>
  <c r="G369" i="5"/>
  <c r="G322" i="5"/>
  <c r="I323" i="5"/>
  <c r="C93" i="1"/>
  <c r="E93" i="1" s="1"/>
  <c r="G711" i="4"/>
  <c r="I711" i="4" s="1"/>
  <c r="G334" i="16"/>
  <c r="G333" i="16" s="1"/>
  <c r="G332" i="16" s="1"/>
  <c r="G331" i="16" s="1"/>
  <c r="G330" i="16" s="1"/>
  <c r="G336" i="16" s="1"/>
  <c r="G614" i="4"/>
  <c r="H322" i="16"/>
  <c r="H77" i="15"/>
  <c r="G77" i="15"/>
  <c r="I792" i="15"/>
  <c r="G613" i="4" l="1"/>
  <c r="I613" i="4" s="1"/>
  <c r="I614" i="4"/>
  <c r="G557" i="4"/>
  <c r="I558" i="4"/>
  <c r="D44" i="2"/>
  <c r="F44" i="2" s="1"/>
  <c r="H927" i="3"/>
  <c r="F642" i="3"/>
  <c r="H642" i="3" s="1"/>
  <c r="H643" i="3"/>
  <c r="G525" i="4"/>
  <c r="I525" i="4" s="1"/>
  <c r="I526" i="4"/>
  <c r="I322" i="5"/>
  <c r="G321" i="5"/>
  <c r="G368" i="5"/>
  <c r="I369" i="5"/>
  <c r="G623" i="15"/>
  <c r="G622" i="15" s="1"/>
  <c r="G996" i="15"/>
  <c r="G995" i="15" s="1"/>
  <c r="F437" i="14"/>
  <c r="F436" i="14" s="1"/>
  <c r="F435" i="14" s="1"/>
  <c r="G238" i="15"/>
  <c r="F877" i="14"/>
  <c r="F876" i="14" s="1"/>
  <c r="C89" i="1"/>
  <c r="G556" i="4" l="1"/>
  <c r="I557" i="4"/>
  <c r="C88" i="1"/>
  <c r="E88" i="1" s="1"/>
  <c r="E89" i="1"/>
  <c r="G367" i="5"/>
  <c r="I368" i="5"/>
  <c r="I321" i="5"/>
  <c r="G320" i="5"/>
  <c r="I320" i="5" s="1"/>
  <c r="G326" i="5"/>
  <c r="I326" i="5" s="1"/>
  <c r="G1202" i="4"/>
  <c r="G893" i="5"/>
  <c r="I893" i="5" s="1"/>
  <c r="F1027" i="3"/>
  <c r="H1027" i="3" s="1"/>
  <c r="F1030" i="3"/>
  <c r="H1030" i="3" s="1"/>
  <c r="F1035" i="3"/>
  <c r="H1035" i="3" s="1"/>
  <c r="H474" i="15"/>
  <c r="H494" i="16" s="1"/>
  <c r="G508" i="4"/>
  <c r="G503" i="4"/>
  <c r="G499" i="4"/>
  <c r="I499" i="4" s="1"/>
  <c r="G495" i="4"/>
  <c r="I495" i="4" s="1"/>
  <c r="G507" i="4" l="1"/>
  <c r="I507" i="4" s="1"/>
  <c r="I508" i="4"/>
  <c r="G502" i="4"/>
  <c r="I503" i="4"/>
  <c r="G555" i="4"/>
  <c r="I555" i="4" s="1"/>
  <c r="I556" i="4"/>
  <c r="G373" i="5"/>
  <c r="I373" i="5" s="1"/>
  <c r="I367" i="5"/>
  <c r="H495" i="16"/>
  <c r="H493" i="16"/>
  <c r="G497" i="4"/>
  <c r="G541" i="5"/>
  <c r="I541" i="5" s="1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1025" i="3"/>
  <c r="H1025" i="3" s="1"/>
  <c r="F1023" i="3"/>
  <c r="H1023" i="3" s="1"/>
  <c r="G481" i="15"/>
  <c r="G480" i="15" s="1"/>
  <c r="G479" i="15" s="1"/>
  <c r="G486" i="15"/>
  <c r="G485" i="15" s="1"/>
  <c r="G484" i="15" s="1"/>
  <c r="G969" i="14"/>
  <c r="G968" i="14" s="1"/>
  <c r="G967" i="14" s="1"/>
  <c r="G505" i="4"/>
  <c r="I505" i="4" s="1"/>
  <c r="G506" i="4"/>
  <c r="I506" i="4" s="1"/>
  <c r="G494" i="4" l="1"/>
  <c r="I497" i="4"/>
  <c r="G501" i="4"/>
  <c r="I501" i="4" s="1"/>
  <c r="I502" i="4"/>
  <c r="H541" i="16"/>
  <c r="H540" i="16" s="1"/>
  <c r="H539" i="16" s="1"/>
  <c r="H538" i="16" s="1"/>
  <c r="H543" i="16"/>
  <c r="H501" i="16"/>
  <c r="H499" i="16"/>
  <c r="G540" i="5"/>
  <c r="G542" i="5"/>
  <c r="I542" i="5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G493" i="4" l="1"/>
  <c r="I494" i="4"/>
  <c r="G536" i="5"/>
  <c r="I540" i="5"/>
  <c r="H496" i="16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31" i="3"/>
  <c r="F133" i="3"/>
  <c r="H128" i="15"/>
  <c r="H126" i="15"/>
  <c r="G128" i="15"/>
  <c r="G126" i="15"/>
  <c r="G124" i="4"/>
  <c r="I124" i="4" s="1"/>
  <c r="G126" i="4"/>
  <c r="I126" i="4" s="1"/>
  <c r="F130" i="3" l="1"/>
  <c r="H130" i="3" s="1"/>
  <c r="H131" i="3"/>
  <c r="F132" i="3"/>
  <c r="H132" i="3" s="1"/>
  <c r="H133" i="3"/>
  <c r="G492" i="4"/>
  <c r="I493" i="4"/>
  <c r="G535" i="5"/>
  <c r="I536" i="5"/>
  <c r="H469" i="15"/>
  <c r="H468" i="15" s="1"/>
  <c r="H1125" i="15" s="1"/>
  <c r="G123" i="4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F129" i="3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399" i="3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959" i="5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1000" i="4"/>
  <c r="H451" i="15"/>
  <c r="H450" i="15" s="1"/>
  <c r="G450" i="15"/>
  <c r="G999" i="4" l="1"/>
  <c r="I1000" i="4"/>
  <c r="F128" i="3"/>
  <c r="H129" i="3"/>
  <c r="F398" i="3"/>
  <c r="H399" i="3"/>
  <c r="G122" i="4"/>
  <c r="I123" i="4"/>
  <c r="I492" i="4"/>
  <c r="G491" i="4"/>
  <c r="G534" i="5"/>
  <c r="I534" i="5" s="1"/>
  <c r="I535" i="5"/>
  <c r="G958" i="5"/>
  <c r="I959" i="5"/>
  <c r="F397" i="3"/>
  <c r="H398" i="3"/>
  <c r="G539" i="4"/>
  <c r="I539" i="4" s="1"/>
  <c r="G121" i="4" l="1"/>
  <c r="I122" i="4"/>
  <c r="F127" i="3"/>
  <c r="H128" i="3"/>
  <c r="G490" i="4"/>
  <c r="I491" i="4"/>
  <c r="G998" i="4"/>
  <c r="I999" i="4"/>
  <c r="G957" i="5"/>
  <c r="I958" i="5"/>
  <c r="F396" i="3"/>
  <c r="H397" i="3"/>
  <c r="G158" i="14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G997" i="4" l="1"/>
  <c r="I997" i="4" s="1"/>
  <c r="I998" i="4"/>
  <c r="F126" i="3"/>
  <c r="H127" i="3"/>
  <c r="G1178" i="4"/>
  <c r="I490" i="4"/>
  <c r="I1178" i="4" s="1"/>
  <c r="G120" i="4"/>
  <c r="I120" i="4" s="1"/>
  <c r="I121" i="4"/>
  <c r="G956" i="5"/>
  <c r="I957" i="5"/>
  <c r="F395" i="3"/>
  <c r="H395" i="3" s="1"/>
  <c r="H396" i="3"/>
  <c r="D37" i="12"/>
  <c r="D35" i="12"/>
  <c r="C37" i="12"/>
  <c r="C35" i="12"/>
  <c r="C41" i="1"/>
  <c r="E41" i="1" s="1"/>
  <c r="C39" i="1"/>
  <c r="E39" i="1" s="1"/>
  <c r="D29" i="12"/>
  <c r="C29" i="12"/>
  <c r="C33" i="1"/>
  <c r="E33" i="1" s="1"/>
  <c r="C29" i="1"/>
  <c r="E29" i="1" s="1"/>
  <c r="D15" i="2" l="1"/>
  <c r="F15" i="2" s="1"/>
  <c r="H126" i="3"/>
  <c r="G955" i="5"/>
  <c r="I956" i="5"/>
  <c r="C34" i="12"/>
  <c r="C38" i="1"/>
  <c r="E38" i="1" s="1"/>
  <c r="D34" i="12"/>
  <c r="K34" i="12" s="1"/>
  <c r="F280" i="14"/>
  <c r="F279" i="14" s="1"/>
  <c r="F276" i="14" s="1"/>
  <c r="C71" i="1"/>
  <c r="E71" i="1" s="1"/>
  <c r="C73" i="1"/>
  <c r="C75" i="1"/>
  <c r="E75" i="1" s="1"/>
  <c r="D65" i="12"/>
  <c r="D67" i="12"/>
  <c r="C67" i="12"/>
  <c r="D69" i="12"/>
  <c r="C69" i="12"/>
  <c r="C65" i="12"/>
  <c r="G209" i="15"/>
  <c r="C148" i="12"/>
  <c r="D148" i="12" s="1"/>
  <c r="C147" i="12"/>
  <c r="D147" i="12" s="1"/>
  <c r="G954" i="5" l="1"/>
  <c r="I955" i="5"/>
  <c r="D64" i="12"/>
  <c r="D63" i="12" s="1"/>
  <c r="C64" i="12"/>
  <c r="C63" i="12" s="1"/>
  <c r="C70" i="1"/>
  <c r="C69" i="1" l="1"/>
  <c r="E69" i="1" s="1"/>
  <c r="E70" i="1"/>
  <c r="G953" i="5"/>
  <c r="I954" i="5"/>
  <c r="E19" i="13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G952" i="5" l="1"/>
  <c r="I952" i="5" s="1"/>
  <c r="I953" i="5"/>
  <c r="C81" i="12"/>
  <c r="D81" i="12"/>
  <c r="D58" i="12"/>
  <c r="H716" i="16"/>
  <c r="H715" i="16" s="1"/>
  <c r="H714" i="16" s="1"/>
  <c r="H713" i="16" s="1"/>
  <c r="H712" i="16" s="1"/>
  <c r="G24" i="16"/>
  <c r="D43" i="12"/>
  <c r="D42" i="12" s="1"/>
  <c r="K42" i="12" s="1"/>
  <c r="C43" i="12"/>
  <c r="C42" i="12" s="1"/>
  <c r="I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311" i="3"/>
  <c r="G675" i="4"/>
  <c r="I675" i="4" s="1"/>
  <c r="G792" i="4"/>
  <c r="I792" i="4" s="1"/>
  <c r="G865" i="4"/>
  <c r="I865" i="4" s="1"/>
  <c r="F310" i="3" l="1"/>
  <c r="H311" i="3"/>
  <c r="C98" i="12"/>
  <c r="D98" i="12"/>
  <c r="F308" i="14"/>
  <c r="F307" i="14" s="1"/>
  <c r="F306" i="14" s="1"/>
  <c r="F305" i="14" s="1"/>
  <c r="H291" i="15"/>
  <c r="H290" i="15" s="1"/>
  <c r="H289" i="15" s="1"/>
  <c r="C22" i="12"/>
  <c r="D22" i="12"/>
  <c r="G884" i="16"/>
  <c r="G97" i="5"/>
  <c r="I97" i="5" s="1"/>
  <c r="G291" i="15"/>
  <c r="G290" i="15" s="1"/>
  <c r="G289" i="15" s="1"/>
  <c r="G292" i="4"/>
  <c r="G291" i="4" l="1"/>
  <c r="I291" i="4" s="1"/>
  <c r="I292" i="4"/>
  <c r="F309" i="3"/>
  <c r="H310" i="3"/>
  <c r="D21" i="12"/>
  <c r="D9" i="12" s="1"/>
  <c r="D157" i="12" s="1"/>
  <c r="K22" i="12"/>
  <c r="K10" i="12" s="1"/>
  <c r="C21" i="12"/>
  <c r="E9" i="12" s="1"/>
  <c r="I22" i="12"/>
  <c r="I10" i="12" s="1"/>
  <c r="G290" i="4"/>
  <c r="I290" i="4" s="1"/>
  <c r="G308" i="14"/>
  <c r="G307" i="14" s="1"/>
  <c r="G306" i="14" s="1"/>
  <c r="G305" i="14" s="1"/>
  <c r="C9" i="12"/>
  <c r="G95" i="5"/>
  <c r="F308" i="3" l="1"/>
  <c r="H308" i="3" s="1"/>
  <c r="H309" i="3"/>
  <c r="G94" i="5"/>
  <c r="I95" i="5"/>
  <c r="C157" i="12"/>
  <c r="G1095" i="15" s="1"/>
  <c r="D10" i="13"/>
  <c r="E10" i="12"/>
  <c r="F9" i="12"/>
  <c r="F10" i="12"/>
  <c r="H1095" i="15"/>
  <c r="G96" i="16"/>
  <c r="G94" i="16"/>
  <c r="G93" i="16" s="1"/>
  <c r="G92" i="16" s="1"/>
  <c r="G91" i="16" s="1"/>
  <c r="G90" i="16" s="1"/>
  <c r="G93" i="5" l="1"/>
  <c r="I94" i="5"/>
  <c r="F8" i="14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502" i="3"/>
  <c r="F501" i="3" l="1"/>
  <c r="H502" i="3"/>
  <c r="I93" i="5"/>
  <c r="G92" i="5"/>
  <c r="G57" i="15"/>
  <c r="F50" i="14" s="1"/>
  <c r="H1126" i="15"/>
  <c r="G655" i="5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F500" i="3" l="1"/>
  <c r="H501" i="3"/>
  <c r="G654" i="5"/>
  <c r="I655" i="5"/>
  <c r="G91" i="5"/>
  <c r="I91" i="5" s="1"/>
  <c r="I92" i="5"/>
  <c r="G1105" i="4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G950" i="5"/>
  <c r="I950" i="5" s="1"/>
  <c r="H163" i="15"/>
  <c r="H162" i="15" s="1"/>
  <c r="G163" i="15"/>
  <c r="G162" i="15" s="1"/>
  <c r="G1104" i="4" l="1"/>
  <c r="I1105" i="4"/>
  <c r="F499" i="3"/>
  <c r="H500" i="3"/>
  <c r="G653" i="5"/>
  <c r="I654" i="5"/>
  <c r="G161" i="15"/>
  <c r="G160" i="15"/>
  <c r="H160" i="15"/>
  <c r="H161" i="15"/>
  <c r="F193" i="3"/>
  <c r="F184" i="3"/>
  <c r="H184" i="3" s="1"/>
  <c r="G823" i="5"/>
  <c r="G826" i="5"/>
  <c r="G802" i="4"/>
  <c r="G801" i="4" l="1"/>
  <c r="I802" i="4"/>
  <c r="F192" i="3"/>
  <c r="H192" i="3" s="1"/>
  <c r="H193" i="3"/>
  <c r="F498" i="3"/>
  <c r="H498" i="3" s="1"/>
  <c r="H499" i="3"/>
  <c r="G1103" i="4"/>
  <c r="I1104" i="4"/>
  <c r="G824" i="5"/>
  <c r="I824" i="5" s="1"/>
  <c r="I823" i="5"/>
  <c r="G652" i="5"/>
  <c r="I653" i="5"/>
  <c r="G825" i="5"/>
  <c r="I825" i="5" s="1"/>
  <c r="I826" i="5"/>
  <c r="G762" i="15"/>
  <c r="G761" i="15" s="1"/>
  <c r="G773" i="16"/>
  <c r="G827" i="5"/>
  <c r="I827" i="5" s="1"/>
  <c r="F42" i="3"/>
  <c r="H42" i="3" s="1"/>
  <c r="C168" i="1"/>
  <c r="E168" i="1" s="1"/>
  <c r="G1102" i="4" l="1"/>
  <c r="I1102" i="4" s="1"/>
  <c r="I1103" i="4"/>
  <c r="G800" i="4"/>
  <c r="I801" i="4"/>
  <c r="G651" i="5"/>
  <c r="I652" i="5"/>
  <c r="H773" i="16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799" i="4" l="1"/>
  <c r="I800" i="4"/>
  <c r="G650" i="5"/>
  <c r="I650" i="5" s="1"/>
  <c r="I651" i="5"/>
  <c r="H772" i="16"/>
  <c r="C27" i="1"/>
  <c r="I799" i="4" l="1"/>
  <c r="G798" i="4"/>
  <c r="C26" i="1"/>
  <c r="E26" i="1" s="1"/>
  <c r="E27" i="1"/>
  <c r="G462" i="15"/>
  <c r="H463" i="15"/>
  <c r="G38" i="17"/>
  <c r="I798" i="4" l="1"/>
  <c r="G797" i="4"/>
  <c r="I797" i="4" s="1"/>
  <c r="G853" i="14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1" i="6"/>
  <c r="G484" i="4"/>
  <c r="I484" i="4" s="1"/>
  <c r="G40" i="6" l="1"/>
  <c r="I40" i="6" s="1"/>
  <c r="I41" i="6"/>
  <c r="H126" i="16"/>
  <c r="H124" i="16"/>
  <c r="G37" i="17"/>
  <c r="G36" i="17" s="1"/>
  <c r="G35" i="17" s="1"/>
  <c r="G34" i="17" s="1"/>
  <c r="G33" i="17" s="1"/>
  <c r="G29" i="6" l="1"/>
  <c r="G22" i="6"/>
  <c r="I22" i="6" s="1"/>
  <c r="G28" i="6" l="1"/>
  <c r="I29" i="6"/>
  <c r="F44" i="14"/>
  <c r="G44" i="14" s="1"/>
  <c r="G27" i="6" l="1"/>
  <c r="I28" i="6"/>
  <c r="D19" i="13"/>
  <c r="G1082" i="15"/>
  <c r="H1082" i="15" s="1"/>
  <c r="G1023" i="15"/>
  <c r="H1023" i="15" s="1"/>
  <c r="G994" i="15"/>
  <c r="G972" i="15"/>
  <c r="G947" i="15"/>
  <c r="G943" i="15"/>
  <c r="G939" i="15"/>
  <c r="G918" i="15"/>
  <c r="H918" i="15" s="1"/>
  <c r="G915" i="15"/>
  <c r="H915" i="15" s="1"/>
  <c r="G913" i="15"/>
  <c r="H913" i="15" s="1"/>
  <c r="G910" i="15"/>
  <c r="H910" i="15" s="1"/>
  <c r="G907" i="15"/>
  <c r="H907" i="15" s="1"/>
  <c r="G905" i="15"/>
  <c r="H905" i="15" s="1"/>
  <c r="G901" i="15"/>
  <c r="H901" i="15" s="1"/>
  <c r="G898" i="15"/>
  <c r="G897" i="15" s="1"/>
  <c r="G896" i="15"/>
  <c r="H894" i="15"/>
  <c r="G280" i="14"/>
  <c r="G279" i="14" s="1"/>
  <c r="G276" i="14" s="1"/>
  <c r="G774" i="15"/>
  <c r="G710" i="15"/>
  <c r="H710" i="15" s="1"/>
  <c r="G620" i="16"/>
  <c r="G650" i="15"/>
  <c r="G643" i="15"/>
  <c r="G615" i="16"/>
  <c r="G581" i="15"/>
  <c r="G574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6" i="6" l="1"/>
  <c r="I27" i="6"/>
  <c r="G224" i="16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74" i="15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F135" i="12" s="1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854" i="5"/>
  <c r="I854" i="5" s="1"/>
  <c r="G706" i="5"/>
  <c r="I706" i="5" s="1"/>
  <c r="G678" i="5"/>
  <c r="I678" i="5" s="1"/>
  <c r="G25" i="6" l="1"/>
  <c r="I26" i="6"/>
  <c r="F183" i="14"/>
  <c r="H350" i="16"/>
  <c r="H349" i="16" s="1"/>
  <c r="H348" i="16" s="1"/>
  <c r="H347" i="16" s="1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9" i="14"/>
  <c r="G338" i="14" s="1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707" i="5"/>
  <c r="I707" i="5" s="1"/>
  <c r="G855" i="5"/>
  <c r="I855" i="5" s="1"/>
  <c r="G853" i="5"/>
  <c r="I853" i="5" s="1"/>
  <c r="G574" i="5"/>
  <c r="I574" i="5" s="1"/>
  <c r="G555" i="5"/>
  <c r="I555" i="5" s="1"/>
  <c r="G551" i="5"/>
  <c r="I551" i="5" s="1"/>
  <c r="G512" i="5"/>
  <c r="I512" i="5" s="1"/>
  <c r="G509" i="5"/>
  <c r="I509" i="5" s="1"/>
  <c r="G506" i="5"/>
  <c r="I506" i="5" s="1"/>
  <c r="G625" i="5"/>
  <c r="I625" i="5" s="1"/>
  <c r="G217" i="5"/>
  <c r="I217" i="5" s="1"/>
  <c r="F897" i="3"/>
  <c r="H897" i="3" s="1"/>
  <c r="F1009" i="3"/>
  <c r="H1009" i="3" s="1"/>
  <c r="F997" i="3"/>
  <c r="H997" i="3" s="1"/>
  <c r="G24" i="6" l="1"/>
  <c r="I24" i="6" s="1"/>
  <c r="I25" i="6"/>
  <c r="H351" i="16"/>
  <c r="G518" i="16"/>
  <c r="G517" i="16" s="1"/>
  <c r="G516" i="16" s="1"/>
  <c r="H424" i="16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518" i="16" s="1"/>
  <c r="H517" i="16" s="1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H346" i="16"/>
  <c r="H345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852" i="5"/>
  <c r="I852" i="5" s="1"/>
  <c r="G15" i="5"/>
  <c r="I15" i="5" s="1"/>
  <c r="F1029" i="3"/>
  <c r="H1029" i="3" s="1"/>
  <c r="G573" i="5"/>
  <c r="I573" i="5" s="1"/>
  <c r="G575" i="5"/>
  <c r="I575" i="5" s="1"/>
  <c r="G554" i="5"/>
  <c r="I554" i="5" s="1"/>
  <c r="G556" i="5"/>
  <c r="I556" i="5" s="1"/>
  <c r="G550" i="5"/>
  <c r="I550" i="5" s="1"/>
  <c r="G552" i="5"/>
  <c r="I552" i="5" s="1"/>
  <c r="G508" i="5"/>
  <c r="I508" i="5" s="1"/>
  <c r="G510" i="5"/>
  <c r="I510" i="5" s="1"/>
  <c r="G505" i="5"/>
  <c r="I505" i="5" s="1"/>
  <c r="G507" i="5"/>
  <c r="I507" i="5" s="1"/>
  <c r="G511" i="5"/>
  <c r="I511" i="5" s="1"/>
  <c r="G513" i="5"/>
  <c r="I513" i="5" s="1"/>
  <c r="G624" i="5"/>
  <c r="I624" i="5" s="1"/>
  <c r="G626" i="5"/>
  <c r="I626" i="5" s="1"/>
  <c r="G216" i="5"/>
  <c r="I216" i="5" s="1"/>
  <c r="G218" i="5"/>
  <c r="I218" i="5" s="1"/>
  <c r="G17" i="5"/>
  <c r="I17" i="5" s="1"/>
  <c r="F968" i="3"/>
  <c r="F961" i="3"/>
  <c r="H961" i="3" s="1"/>
  <c r="F958" i="3"/>
  <c r="H958" i="3" s="1"/>
  <c r="F955" i="3"/>
  <c r="F951" i="3"/>
  <c r="H951" i="3" s="1"/>
  <c r="F944" i="3"/>
  <c r="H944" i="3" s="1"/>
  <c r="F926" i="3"/>
  <c r="H926" i="3" s="1"/>
  <c r="F896" i="3"/>
  <c r="H896" i="3" s="1"/>
  <c r="F879" i="3"/>
  <c r="H879" i="3" s="1"/>
  <c r="F876" i="3"/>
  <c r="H876" i="3" s="1"/>
  <c r="F874" i="3"/>
  <c r="H874" i="3" s="1"/>
  <c r="F872" i="3"/>
  <c r="H872" i="3" s="1"/>
  <c r="F863" i="3"/>
  <c r="H863" i="3" s="1"/>
  <c r="F860" i="3"/>
  <c r="H860" i="3" s="1"/>
  <c r="F858" i="3"/>
  <c r="H858" i="3" s="1"/>
  <c r="F852" i="3"/>
  <c r="H852" i="3" s="1"/>
  <c r="F847" i="3"/>
  <c r="H847" i="3" s="1"/>
  <c r="F830" i="3"/>
  <c r="H830" i="3" s="1"/>
  <c r="F826" i="3"/>
  <c r="H826" i="3" s="1"/>
  <c r="F819" i="3"/>
  <c r="H819" i="3" s="1"/>
  <c r="F815" i="3"/>
  <c r="H815" i="3" s="1"/>
  <c r="F811" i="3"/>
  <c r="H811" i="3" s="1"/>
  <c r="F809" i="3"/>
  <c r="H809" i="3" s="1"/>
  <c r="F802" i="3"/>
  <c r="H802" i="3" s="1"/>
  <c r="F800" i="3"/>
  <c r="H800" i="3" s="1"/>
  <c r="F754" i="3"/>
  <c r="H754" i="3" s="1"/>
  <c r="F750" i="3"/>
  <c r="H750" i="3" s="1"/>
  <c r="F744" i="3"/>
  <c r="F741" i="3"/>
  <c r="H741" i="3" s="1"/>
  <c r="F734" i="3"/>
  <c r="H734" i="3" s="1"/>
  <c r="F731" i="3"/>
  <c r="H731" i="3" s="1"/>
  <c r="F711" i="3"/>
  <c r="H711" i="3" s="1"/>
  <c r="F705" i="3"/>
  <c r="H705" i="3" s="1"/>
  <c r="F702" i="3"/>
  <c r="H702" i="3" s="1"/>
  <c r="G319" i="4"/>
  <c r="I319" i="4" s="1"/>
  <c r="F905" i="14" l="1"/>
  <c r="H968" i="3"/>
  <c r="F698" i="14"/>
  <c r="G698" i="14" s="1"/>
  <c r="H744" i="3"/>
  <c r="F895" i="14"/>
  <c r="H955" i="3"/>
  <c r="H764" i="16"/>
  <c r="H763" i="16" s="1"/>
  <c r="H762" i="16" s="1"/>
  <c r="H761" i="16" s="1"/>
  <c r="G504" i="5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18" i="4"/>
  <c r="I318" i="4" s="1"/>
  <c r="G623" i="5"/>
  <c r="G572" i="5"/>
  <c r="I572" i="5" s="1"/>
  <c r="G215" i="5"/>
  <c r="I215" i="5" s="1"/>
  <c r="G14" i="5"/>
  <c r="I14" i="5" s="1"/>
  <c r="F710" i="3"/>
  <c r="H710" i="3" s="1"/>
  <c r="G607" i="5"/>
  <c r="F857" i="3"/>
  <c r="H857" i="3" s="1"/>
  <c r="G564" i="5"/>
  <c r="I564" i="5" s="1"/>
  <c r="F755" i="14"/>
  <c r="F829" i="3"/>
  <c r="H829" i="3" s="1"/>
  <c r="F859" i="3"/>
  <c r="F802" i="14"/>
  <c r="F701" i="3"/>
  <c r="H701" i="3" s="1"/>
  <c r="F733" i="3"/>
  <c r="H733" i="3" s="1"/>
  <c r="G567" i="5"/>
  <c r="I567" i="5" s="1"/>
  <c r="F846" i="3"/>
  <c r="H846" i="3" s="1"/>
  <c r="F1028" i="3"/>
  <c r="H1028" i="3" s="1"/>
  <c r="F704" i="3"/>
  <c r="H704" i="3" s="1"/>
  <c r="F799" i="3"/>
  <c r="H799" i="3" s="1"/>
  <c r="F825" i="3"/>
  <c r="H825" i="3" s="1"/>
  <c r="F851" i="3"/>
  <c r="H851" i="3" s="1"/>
  <c r="F895" i="3"/>
  <c r="H895" i="3" s="1"/>
  <c r="F943" i="3"/>
  <c r="H943" i="3" s="1"/>
  <c r="F814" i="3"/>
  <c r="H814" i="3" s="1"/>
  <c r="G580" i="5"/>
  <c r="I580" i="5" s="1"/>
  <c r="F740" i="3"/>
  <c r="H740" i="3" s="1"/>
  <c r="F743" i="3"/>
  <c r="H743" i="3" s="1"/>
  <c r="G42" i="5"/>
  <c r="I42" i="5" s="1"/>
  <c r="F749" i="3"/>
  <c r="H749" i="3" s="1"/>
  <c r="F753" i="3"/>
  <c r="H753" i="3" s="1"/>
  <c r="F801" i="14" l="1"/>
  <c r="H859" i="3"/>
  <c r="G608" i="5"/>
  <c r="I608" i="5" s="1"/>
  <c r="I607" i="5"/>
  <c r="G622" i="5"/>
  <c r="I622" i="5" s="1"/>
  <c r="I623" i="5"/>
  <c r="G503" i="5"/>
  <c r="I503" i="5" s="1"/>
  <c r="I504" i="5"/>
  <c r="H525" i="16"/>
  <c r="G565" i="5"/>
  <c r="I565" i="5" s="1"/>
  <c r="G317" i="4"/>
  <c r="I317" i="4" s="1"/>
  <c r="G53" i="5"/>
  <c r="I53" i="5" s="1"/>
  <c r="G668" i="5"/>
  <c r="I668" i="5" s="1"/>
  <c r="G571" i="5"/>
  <c r="G563" i="5"/>
  <c r="I563" i="5" s="1"/>
  <c r="G568" i="5"/>
  <c r="I568" i="5" s="1"/>
  <c r="G606" i="5"/>
  <c r="I606" i="5" s="1"/>
  <c r="G11" i="5"/>
  <c r="I11" i="5" s="1"/>
  <c r="G13" i="5"/>
  <c r="I13" i="5" s="1"/>
  <c r="G566" i="5"/>
  <c r="I566" i="5" s="1"/>
  <c r="F752" i="3"/>
  <c r="H752" i="3" s="1"/>
  <c r="F813" i="3"/>
  <c r="H813" i="3" s="1"/>
  <c r="F942" i="3"/>
  <c r="H942" i="3" s="1"/>
  <c r="F845" i="3"/>
  <c r="H845" i="3" s="1"/>
  <c r="F732" i="3"/>
  <c r="H732" i="3" s="1"/>
  <c r="F828" i="3"/>
  <c r="F739" i="3"/>
  <c r="H739" i="3" s="1"/>
  <c r="F742" i="3"/>
  <c r="F697" i="14"/>
  <c r="G697" i="14" s="1"/>
  <c r="F850" i="3"/>
  <c r="H850" i="3" s="1"/>
  <c r="F894" i="3"/>
  <c r="H894" i="3" s="1"/>
  <c r="F700" i="3"/>
  <c r="H700" i="3" s="1"/>
  <c r="F709" i="3"/>
  <c r="H709" i="3" s="1"/>
  <c r="G579" i="5"/>
  <c r="I579" i="5" s="1"/>
  <c r="G581" i="5"/>
  <c r="I581" i="5" s="1"/>
  <c r="G58" i="5"/>
  <c r="I58" i="5" s="1"/>
  <c r="G60" i="5"/>
  <c r="I60" i="5" s="1"/>
  <c r="G41" i="5"/>
  <c r="I41" i="5" s="1"/>
  <c r="G43" i="5"/>
  <c r="I43" i="5" s="1"/>
  <c r="G37" i="5"/>
  <c r="I37" i="5" s="1"/>
  <c r="G39" i="5"/>
  <c r="I39" i="5" s="1"/>
  <c r="G621" i="5" l="1"/>
  <c r="G620" i="5" s="1"/>
  <c r="I620" i="5" s="1"/>
  <c r="F827" i="3"/>
  <c r="H827" i="3" s="1"/>
  <c r="H828" i="3"/>
  <c r="F696" i="14"/>
  <c r="G696" i="14" s="1"/>
  <c r="G692" i="14" s="1"/>
  <c r="H742" i="3"/>
  <c r="G570" i="5"/>
  <c r="I570" i="5" s="1"/>
  <c r="I571" i="5"/>
  <c r="H313" i="15"/>
  <c r="G313" i="15"/>
  <c r="G832" i="14"/>
  <c r="G831" i="14" s="1"/>
  <c r="G830" i="14" s="1"/>
  <c r="F832" i="14"/>
  <c r="F831" i="14" s="1"/>
  <c r="F830" i="14" s="1"/>
  <c r="G758" i="14"/>
  <c r="F758" i="14"/>
  <c r="F692" i="14"/>
  <c r="G881" i="14"/>
  <c r="G880" i="14" s="1"/>
  <c r="F881" i="14"/>
  <c r="F880" i="14" s="1"/>
  <c r="G36" i="5"/>
  <c r="I36" i="5" s="1"/>
  <c r="G578" i="5"/>
  <c r="G605" i="5"/>
  <c r="I605" i="5" s="1"/>
  <c r="G40" i="5"/>
  <c r="I40" i="5" s="1"/>
  <c r="G667" i="5"/>
  <c r="I667" i="5" s="1"/>
  <c r="G562" i="5"/>
  <c r="F708" i="3"/>
  <c r="H708" i="3" s="1"/>
  <c r="F893" i="3"/>
  <c r="H893" i="3" s="1"/>
  <c r="F751" i="3"/>
  <c r="H751" i="3" s="1"/>
  <c r="F738" i="3"/>
  <c r="H738" i="3" s="1"/>
  <c r="F849" i="3"/>
  <c r="H849" i="3" s="1"/>
  <c r="F844" i="3"/>
  <c r="H844" i="3" s="1"/>
  <c r="F695" i="3"/>
  <c r="H695" i="3" s="1"/>
  <c r="F693" i="3"/>
  <c r="H693" i="3" s="1"/>
  <c r="F691" i="3"/>
  <c r="H691" i="3" s="1"/>
  <c r="F730" i="3"/>
  <c r="H730" i="3" s="1"/>
  <c r="F770" i="3"/>
  <c r="H770" i="3" s="1"/>
  <c r="F791" i="3"/>
  <c r="H791" i="3" s="1"/>
  <c r="F682" i="3"/>
  <c r="H682" i="3" s="1"/>
  <c r="F675" i="3"/>
  <c r="H675" i="3" s="1"/>
  <c r="F625" i="3"/>
  <c r="H625" i="3" s="1"/>
  <c r="F659" i="3"/>
  <c r="H659" i="3" s="1"/>
  <c r="F610" i="3"/>
  <c r="H610" i="3" s="1"/>
  <c r="F654" i="3"/>
  <c r="H654" i="3" s="1"/>
  <c r="F603" i="3"/>
  <c r="H603" i="3" s="1"/>
  <c r="F593" i="3"/>
  <c r="H593" i="3" s="1"/>
  <c r="F587" i="3"/>
  <c r="H587" i="3" s="1"/>
  <c r="F584" i="3"/>
  <c r="H584" i="3" s="1"/>
  <c r="F574" i="3"/>
  <c r="H574" i="3" s="1"/>
  <c r="F563" i="3"/>
  <c r="H563" i="3" s="1"/>
  <c r="F568" i="3"/>
  <c r="H568" i="3" s="1"/>
  <c r="F546" i="3"/>
  <c r="H546" i="3" s="1"/>
  <c r="F536" i="3"/>
  <c r="H536" i="3" s="1"/>
  <c r="F532" i="3"/>
  <c r="H532" i="3" s="1"/>
  <c r="F529" i="3"/>
  <c r="H529" i="3" s="1"/>
  <c r="F522" i="3"/>
  <c r="H522" i="3" s="1"/>
  <c r="F516" i="3"/>
  <c r="H516" i="3" s="1"/>
  <c r="F509" i="3"/>
  <c r="H509" i="3" s="1"/>
  <c r="F497" i="3"/>
  <c r="H497" i="3" s="1"/>
  <c r="F492" i="3"/>
  <c r="H492" i="3" s="1"/>
  <c r="F486" i="3"/>
  <c r="H486" i="3" s="1"/>
  <c r="F467" i="3"/>
  <c r="H467" i="3" s="1"/>
  <c r="F469" i="3"/>
  <c r="H469" i="3" s="1"/>
  <c r="F474" i="3"/>
  <c r="H474" i="3" s="1"/>
  <c r="I621" i="5" l="1"/>
  <c r="G561" i="5"/>
  <c r="I562" i="5"/>
  <c r="G569" i="5"/>
  <c r="I569" i="5" s="1"/>
  <c r="I578" i="5"/>
  <c r="D42" i="13"/>
  <c r="G604" i="5"/>
  <c r="I604" i="5" s="1"/>
  <c r="G577" i="5"/>
  <c r="I577" i="5" s="1"/>
  <c r="G791" i="14"/>
  <c r="G790" i="14" s="1"/>
  <c r="F791" i="14"/>
  <c r="F790" i="14" s="1"/>
  <c r="G662" i="14"/>
  <c r="F662" i="14"/>
  <c r="G705" i="14"/>
  <c r="F705" i="14"/>
  <c r="E42" i="13"/>
  <c r="G35" i="5"/>
  <c r="I35" i="5" s="1"/>
  <c r="F674" i="3"/>
  <c r="H674" i="3" s="1"/>
  <c r="F729" i="3"/>
  <c r="H729" i="3" s="1"/>
  <c r="F843" i="3"/>
  <c r="H843" i="3" s="1"/>
  <c r="F496" i="3"/>
  <c r="H496" i="3" s="1"/>
  <c r="G200" i="5"/>
  <c r="I200" i="5" s="1"/>
  <c r="F681" i="3"/>
  <c r="H681" i="3" s="1"/>
  <c r="F639" i="14"/>
  <c r="G639" i="14" s="1"/>
  <c r="F690" i="3"/>
  <c r="H690" i="3" s="1"/>
  <c r="F892" i="3"/>
  <c r="H892" i="3" s="1"/>
  <c r="G208" i="5"/>
  <c r="F790" i="3"/>
  <c r="H790" i="3" s="1"/>
  <c r="F692" i="3"/>
  <c r="H692" i="3" s="1"/>
  <c r="F473" i="3"/>
  <c r="H473" i="3" s="1"/>
  <c r="G175" i="5"/>
  <c r="I175" i="5" s="1"/>
  <c r="G196" i="5"/>
  <c r="G183" i="5"/>
  <c r="F485" i="3"/>
  <c r="H485" i="3" s="1"/>
  <c r="F463" i="14"/>
  <c r="G463" i="14" s="1"/>
  <c r="F567" i="3"/>
  <c r="H567" i="3" s="1"/>
  <c r="F602" i="3"/>
  <c r="H602" i="3" s="1"/>
  <c r="G318" i="5"/>
  <c r="I318" i="5" s="1"/>
  <c r="F769" i="3"/>
  <c r="H769" i="3" s="1"/>
  <c r="F694" i="3"/>
  <c r="H694" i="3" s="1"/>
  <c r="F508" i="3"/>
  <c r="H508" i="3" s="1"/>
  <c r="F441" i="3"/>
  <c r="F444" i="3"/>
  <c r="H444" i="3" s="1"/>
  <c r="F405" i="3"/>
  <c r="H405" i="3" s="1"/>
  <c r="G510" i="14"/>
  <c r="G509" i="14" s="1"/>
  <c r="G503" i="14"/>
  <c r="G502" i="14" s="1"/>
  <c r="G1006" i="4"/>
  <c r="I1006" i="4" s="1"/>
  <c r="F423" i="3"/>
  <c r="H423" i="3" s="1"/>
  <c r="F419" i="3"/>
  <c r="H419" i="3" s="1"/>
  <c r="F434" i="14" l="1"/>
  <c r="F433" i="14" s="1"/>
  <c r="F432" i="14" s="1"/>
  <c r="H441" i="3"/>
  <c r="G182" i="5"/>
  <c r="I182" i="5" s="1"/>
  <c r="I183" i="5"/>
  <c r="G195" i="5"/>
  <c r="I195" i="5" s="1"/>
  <c r="I196" i="5"/>
  <c r="G207" i="5"/>
  <c r="I207" i="5" s="1"/>
  <c r="I208" i="5"/>
  <c r="G560" i="5"/>
  <c r="I560" i="5" s="1"/>
  <c r="I561" i="5"/>
  <c r="F462" i="14"/>
  <c r="G462" i="14" s="1"/>
  <c r="F484" i="3"/>
  <c r="H484" i="3" s="1"/>
  <c r="H137" i="16"/>
  <c r="H136" i="16" s="1"/>
  <c r="H135" i="16" s="1"/>
  <c r="H134" i="16" s="1"/>
  <c r="H139" i="16"/>
  <c r="G434" i="14"/>
  <c r="H843" i="16"/>
  <c r="H842" i="16" s="1"/>
  <c r="H841" i="16" s="1"/>
  <c r="H840" i="16" s="1"/>
  <c r="H845" i="16" s="1"/>
  <c r="G1005" i="4"/>
  <c r="I1005" i="4" s="1"/>
  <c r="G201" i="5"/>
  <c r="I201" i="5" s="1"/>
  <c r="G199" i="5"/>
  <c r="I199" i="5" s="1"/>
  <c r="F689" i="3"/>
  <c r="G151" i="5"/>
  <c r="I151" i="5" s="1"/>
  <c r="G319" i="5"/>
  <c r="I319" i="5" s="1"/>
  <c r="G184" i="5"/>
  <c r="I184" i="5" s="1"/>
  <c r="G209" i="5"/>
  <c r="I209" i="5" s="1"/>
  <c r="G176" i="5"/>
  <c r="I176" i="5" s="1"/>
  <c r="G174" i="5"/>
  <c r="I174" i="5" s="1"/>
  <c r="G197" i="5"/>
  <c r="I197" i="5" s="1"/>
  <c r="G154" i="5"/>
  <c r="I154" i="5" s="1"/>
  <c r="G699" i="5"/>
  <c r="I699" i="5" s="1"/>
  <c r="F412" i="14"/>
  <c r="F507" i="3"/>
  <c r="F768" i="3"/>
  <c r="H768" i="3" s="1"/>
  <c r="F472" i="3"/>
  <c r="H472" i="3" s="1"/>
  <c r="F789" i="3"/>
  <c r="H789" i="3" s="1"/>
  <c r="D42" i="2"/>
  <c r="F42" i="2" s="1"/>
  <c r="F680" i="3"/>
  <c r="H680" i="3" s="1"/>
  <c r="F638" i="14"/>
  <c r="G638" i="14" s="1"/>
  <c r="F495" i="3"/>
  <c r="H495" i="3" s="1"/>
  <c r="F728" i="3"/>
  <c r="H728" i="3" s="1"/>
  <c r="F404" i="3"/>
  <c r="H404" i="3" s="1"/>
  <c r="F440" i="3"/>
  <c r="H440" i="3" s="1"/>
  <c r="G732" i="5"/>
  <c r="I732" i="5" s="1"/>
  <c r="F443" i="3"/>
  <c r="H443" i="3" s="1"/>
  <c r="G736" i="5"/>
  <c r="I736" i="5" s="1"/>
  <c r="F394" i="3"/>
  <c r="F390" i="3"/>
  <c r="F386" i="3"/>
  <c r="F365" i="3"/>
  <c r="F360" i="3"/>
  <c r="H360" i="3" s="1"/>
  <c r="F362" i="3"/>
  <c r="H362" i="3" s="1"/>
  <c r="F357" i="3"/>
  <c r="H357" i="3" s="1"/>
  <c r="F352" i="3"/>
  <c r="H352" i="3" s="1"/>
  <c r="F354" i="3"/>
  <c r="H354" i="3" s="1"/>
  <c r="F346" i="3"/>
  <c r="H346" i="3" s="1"/>
  <c r="F348" i="3"/>
  <c r="F342" i="3"/>
  <c r="H342" i="3" s="1"/>
  <c r="F340" i="3"/>
  <c r="H340" i="3" s="1"/>
  <c r="F277" i="3"/>
  <c r="H277" i="3" s="1"/>
  <c r="F283" i="3"/>
  <c r="H283" i="3" s="1"/>
  <c r="F307" i="3"/>
  <c r="F303" i="3"/>
  <c r="H303" i="3" s="1"/>
  <c r="F299" i="3"/>
  <c r="F316" i="3"/>
  <c r="H316" i="3" s="1"/>
  <c r="F261" i="3"/>
  <c r="H261" i="3" s="1"/>
  <c r="F265" i="3"/>
  <c r="H265" i="3" s="1"/>
  <c r="F246" i="3"/>
  <c r="H246" i="3" s="1"/>
  <c r="F234" i="3"/>
  <c r="H234" i="3" s="1"/>
  <c r="F227" i="3"/>
  <c r="H227" i="3" s="1"/>
  <c r="F60" i="3"/>
  <c r="H60" i="3" s="1"/>
  <c r="F196" i="3"/>
  <c r="H196" i="3" s="1"/>
  <c r="F190" i="3"/>
  <c r="H190" i="3" s="1"/>
  <c r="F161" i="3"/>
  <c r="H161" i="3" s="1"/>
  <c r="F220" i="3"/>
  <c r="H220" i="3" s="1"/>
  <c r="G194" i="5" l="1"/>
  <c r="I194" i="5" s="1"/>
  <c r="F383" i="14"/>
  <c r="G383" i="14" s="1"/>
  <c r="H390" i="3"/>
  <c r="F304" i="14"/>
  <c r="G304" i="14" s="1"/>
  <c r="H307" i="3"/>
  <c r="F358" i="14"/>
  <c r="G358" i="14" s="1"/>
  <c r="H365" i="3"/>
  <c r="F296" i="14"/>
  <c r="G296" i="14" s="1"/>
  <c r="H299" i="3"/>
  <c r="F387" i="14"/>
  <c r="G387" i="14" s="1"/>
  <c r="H394" i="3"/>
  <c r="F341" i="14"/>
  <c r="G341" i="14" s="1"/>
  <c r="H348" i="3"/>
  <c r="F379" i="14"/>
  <c r="G379" i="14" s="1"/>
  <c r="H386" i="3"/>
  <c r="F506" i="3"/>
  <c r="H506" i="3" s="1"/>
  <c r="H507" i="3"/>
  <c r="F688" i="3"/>
  <c r="H688" i="3" s="1"/>
  <c r="H689" i="3"/>
  <c r="G181" i="5"/>
  <c r="I181" i="5" s="1"/>
  <c r="G206" i="5"/>
  <c r="I206" i="5" s="1"/>
  <c r="G336" i="14"/>
  <c r="F341" i="3"/>
  <c r="H341" i="3" s="1"/>
  <c r="G682" i="14"/>
  <c r="G681" i="14" s="1"/>
  <c r="F682" i="14"/>
  <c r="F681" i="14" s="1"/>
  <c r="F195" i="3"/>
  <c r="H195" i="3" s="1"/>
  <c r="G1004" i="4"/>
  <c r="I1004" i="4" s="1"/>
  <c r="G698" i="5"/>
  <c r="I698" i="5" s="1"/>
  <c r="G700" i="5"/>
  <c r="I700" i="5" s="1"/>
  <c r="G153" i="5"/>
  <c r="G576" i="5"/>
  <c r="I576" i="5" s="1"/>
  <c r="G198" i="5"/>
  <c r="I198" i="5" s="1"/>
  <c r="G173" i="5"/>
  <c r="I173" i="5" s="1"/>
  <c r="F226" i="3"/>
  <c r="H226" i="3" s="1"/>
  <c r="F229" i="14"/>
  <c r="G229" i="14" s="1"/>
  <c r="F160" i="3"/>
  <c r="H160" i="3" s="1"/>
  <c r="F155" i="14"/>
  <c r="G155" i="14" s="1"/>
  <c r="F442" i="3"/>
  <c r="H442" i="3" s="1"/>
  <c r="F245" i="3"/>
  <c r="H245" i="3" s="1"/>
  <c r="F276" i="3"/>
  <c r="H276" i="3" s="1"/>
  <c r="F361" i="3"/>
  <c r="F355" i="14"/>
  <c r="G355" i="14" s="1"/>
  <c r="F727" i="3"/>
  <c r="H727" i="3" s="1"/>
  <c r="F189" i="3"/>
  <c r="H189" i="3" s="1"/>
  <c r="F260" i="3"/>
  <c r="H260" i="3" s="1"/>
  <c r="F351" i="3"/>
  <c r="F345" i="14"/>
  <c r="G345" i="14" s="1"/>
  <c r="F439" i="3"/>
  <c r="H439" i="3" s="1"/>
  <c r="G433" i="14"/>
  <c r="F403" i="3"/>
  <c r="H403" i="3" s="1"/>
  <c r="F282" i="3"/>
  <c r="H282" i="3" s="1"/>
  <c r="F356" i="3"/>
  <c r="H356" i="3" s="1"/>
  <c r="F350" i="14"/>
  <c r="G350" i="14" s="1"/>
  <c r="F339" i="3"/>
  <c r="G334" i="14"/>
  <c r="F353" i="3"/>
  <c r="F347" i="14"/>
  <c r="G347" i="14" s="1"/>
  <c r="F359" i="3"/>
  <c r="F353" i="14"/>
  <c r="G353" i="14" s="1"/>
  <c r="F679" i="3"/>
  <c r="H679" i="3" s="1"/>
  <c r="F637" i="14"/>
  <c r="F385" i="3"/>
  <c r="H385" i="3" s="1"/>
  <c r="G801" i="5"/>
  <c r="I801" i="5" s="1"/>
  <c r="F389" i="3"/>
  <c r="H389" i="3" s="1"/>
  <c r="G808" i="5"/>
  <c r="I808" i="5" s="1"/>
  <c r="G735" i="5"/>
  <c r="I735" i="5" s="1"/>
  <c r="G737" i="5"/>
  <c r="I737" i="5" s="1"/>
  <c r="F264" i="3"/>
  <c r="H264" i="3" s="1"/>
  <c r="G765" i="5"/>
  <c r="I765" i="5" s="1"/>
  <c r="F393" i="3"/>
  <c r="H393" i="3" s="1"/>
  <c r="G815" i="5"/>
  <c r="I815" i="5" s="1"/>
  <c r="G733" i="5"/>
  <c r="I733" i="5" s="1"/>
  <c r="G731" i="5"/>
  <c r="I731" i="5" s="1"/>
  <c r="F219" i="3"/>
  <c r="H219" i="3" s="1"/>
  <c r="F315" i="3"/>
  <c r="H315" i="3" s="1"/>
  <c r="G387" i="5"/>
  <c r="I387" i="5" s="1"/>
  <c r="F298" i="3"/>
  <c r="H298" i="3" s="1"/>
  <c r="G76" i="5"/>
  <c r="I76" i="5" s="1"/>
  <c r="F306" i="3"/>
  <c r="H306" i="3" s="1"/>
  <c r="F302" i="3"/>
  <c r="H302" i="3" s="1"/>
  <c r="F215" i="3"/>
  <c r="H215" i="3" s="1"/>
  <c r="F201" i="3"/>
  <c r="H201" i="3" s="1"/>
  <c r="F205" i="3"/>
  <c r="H205" i="3" s="1"/>
  <c r="F187" i="3"/>
  <c r="H187" i="3" s="1"/>
  <c r="F176" i="14"/>
  <c r="G176" i="14" s="1"/>
  <c r="F170" i="3"/>
  <c r="H170" i="3" s="1"/>
  <c r="F145" i="3"/>
  <c r="H145" i="3" s="1"/>
  <c r="F94" i="3"/>
  <c r="H94" i="3" s="1"/>
  <c r="F103" i="3"/>
  <c r="H103" i="3" s="1"/>
  <c r="F354" i="14" l="1"/>
  <c r="G354" i="14" s="1"/>
  <c r="H361" i="3"/>
  <c r="F346" i="14"/>
  <c r="G346" i="14" s="1"/>
  <c r="H353" i="3"/>
  <c r="F352" i="14"/>
  <c r="G352" i="14" s="1"/>
  <c r="H359" i="3"/>
  <c r="G333" i="14"/>
  <c r="H339" i="3"/>
  <c r="F344" i="14"/>
  <c r="G344" i="14" s="1"/>
  <c r="H351" i="3"/>
  <c r="G152" i="5"/>
  <c r="I152" i="5" s="1"/>
  <c r="I153" i="5"/>
  <c r="H131" i="16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1003" i="4"/>
  <c r="I1003" i="4" s="1"/>
  <c r="G74" i="5"/>
  <c r="I74" i="5" s="1"/>
  <c r="G816" i="5"/>
  <c r="I816" i="5" s="1"/>
  <c r="G802" i="5"/>
  <c r="I802" i="5" s="1"/>
  <c r="G734" i="5"/>
  <c r="I734" i="5" s="1"/>
  <c r="G730" i="5"/>
  <c r="I730" i="5" s="1"/>
  <c r="G809" i="5"/>
  <c r="I809" i="5" s="1"/>
  <c r="F183" i="3"/>
  <c r="H183" i="3" s="1"/>
  <c r="F263" i="3"/>
  <c r="H263" i="3" s="1"/>
  <c r="F388" i="3"/>
  <c r="H388" i="3" s="1"/>
  <c r="F382" i="14"/>
  <c r="G382" i="14" s="1"/>
  <c r="F355" i="3"/>
  <c r="F349" i="14"/>
  <c r="G349" i="14" s="1"/>
  <c r="F402" i="3"/>
  <c r="H402" i="3" s="1"/>
  <c r="F159" i="3"/>
  <c r="F154" i="14"/>
  <c r="G154" i="14" s="1"/>
  <c r="F144" i="3"/>
  <c r="H144" i="3" s="1"/>
  <c r="F392" i="3"/>
  <c r="H392" i="3" s="1"/>
  <c r="F386" i="14"/>
  <c r="G386" i="14" s="1"/>
  <c r="F384" i="3"/>
  <c r="H384" i="3" s="1"/>
  <c r="F378" i="14"/>
  <c r="G378" i="14" s="1"/>
  <c r="F169" i="3"/>
  <c r="H169" i="3" s="1"/>
  <c r="F350" i="3"/>
  <c r="F301" i="3"/>
  <c r="F305" i="3"/>
  <c r="H305" i="3" s="1"/>
  <c r="F303" i="14"/>
  <c r="G303" i="14" s="1"/>
  <c r="F314" i="3"/>
  <c r="H314" i="3" s="1"/>
  <c r="F438" i="3"/>
  <c r="H438" i="3" s="1"/>
  <c r="F186" i="3"/>
  <c r="H186" i="3" s="1"/>
  <c r="F297" i="3"/>
  <c r="H297" i="3" s="1"/>
  <c r="F295" i="14"/>
  <c r="G295" i="14" s="1"/>
  <c r="F358" i="3"/>
  <c r="F259" i="3"/>
  <c r="F275" i="3"/>
  <c r="H275" i="3" s="1"/>
  <c r="F225" i="3"/>
  <c r="H225" i="3" s="1"/>
  <c r="F228" i="14"/>
  <c r="G228" i="14" s="1"/>
  <c r="G764" i="5"/>
  <c r="I764" i="5" s="1"/>
  <c r="G766" i="5"/>
  <c r="I766" i="5" s="1"/>
  <c r="G386" i="5"/>
  <c r="I386" i="5" s="1"/>
  <c r="G388" i="5"/>
  <c r="I388" i="5" s="1"/>
  <c r="G88" i="5"/>
  <c r="I88" i="5" s="1"/>
  <c r="G90" i="5"/>
  <c r="I90" i="5" s="1"/>
  <c r="G81" i="5"/>
  <c r="I81" i="5" s="1"/>
  <c r="G83" i="5"/>
  <c r="I83" i="5" s="1"/>
  <c r="F102" i="3"/>
  <c r="H102" i="3" s="1"/>
  <c r="G421" i="5"/>
  <c r="I421" i="5" s="1"/>
  <c r="F93" i="3"/>
  <c r="H93" i="3" s="1"/>
  <c r="G407" i="5"/>
  <c r="I407" i="5" s="1"/>
  <c r="F120" i="3"/>
  <c r="H120" i="3" s="1"/>
  <c r="F125" i="3"/>
  <c r="H125" i="3" s="1"/>
  <c r="F114" i="3"/>
  <c r="H114" i="3" s="1"/>
  <c r="F111" i="3"/>
  <c r="H111" i="3" s="1"/>
  <c r="F64" i="3"/>
  <c r="H64" i="3" s="1"/>
  <c r="F59" i="3"/>
  <c r="H59" i="3" s="1"/>
  <c r="F41" i="3"/>
  <c r="H41" i="3" s="1"/>
  <c r="F20" i="3"/>
  <c r="H20" i="3" s="1"/>
  <c r="F258" i="3" l="1"/>
  <c r="H258" i="3" s="1"/>
  <c r="H259" i="3"/>
  <c r="F351" i="14"/>
  <c r="G351" i="14" s="1"/>
  <c r="H358" i="3"/>
  <c r="F348" i="14"/>
  <c r="G348" i="14" s="1"/>
  <c r="H355" i="3"/>
  <c r="F343" i="14"/>
  <c r="G343" i="14" s="1"/>
  <c r="H350" i="3"/>
  <c r="F153" i="14"/>
  <c r="G153" i="14" s="1"/>
  <c r="H159" i="3"/>
  <c r="F300" i="3"/>
  <c r="H300" i="3" s="1"/>
  <c r="H301" i="3"/>
  <c r="F313" i="3"/>
  <c r="F294" i="14"/>
  <c r="F296" i="3"/>
  <c r="H296" i="3" s="1"/>
  <c r="F302" i="14"/>
  <c r="F304" i="3"/>
  <c r="H304" i="3" s="1"/>
  <c r="G395" i="14"/>
  <c r="G394" i="14" s="1"/>
  <c r="F395" i="14"/>
  <c r="F394" i="14" s="1"/>
  <c r="G385" i="5"/>
  <c r="G763" i="5"/>
  <c r="I763" i="5" s="1"/>
  <c r="G408" i="5"/>
  <c r="I408" i="5" s="1"/>
  <c r="G729" i="5"/>
  <c r="I729" i="5" s="1"/>
  <c r="G80" i="5"/>
  <c r="G87" i="5"/>
  <c r="F40" i="3"/>
  <c r="F43" i="14"/>
  <c r="G43" i="14" s="1"/>
  <c r="F58" i="3"/>
  <c r="H58" i="3" s="1"/>
  <c r="F262" i="3"/>
  <c r="H262" i="3" s="1"/>
  <c r="F63" i="3"/>
  <c r="H63" i="3" s="1"/>
  <c r="F124" i="3"/>
  <c r="H124" i="3" s="1"/>
  <c r="F174" i="14"/>
  <c r="G174" i="14" s="1"/>
  <c r="F175" i="14"/>
  <c r="G175" i="14" s="1"/>
  <c r="F101" i="3"/>
  <c r="F274" i="3"/>
  <c r="H274" i="3" s="1"/>
  <c r="F110" i="3"/>
  <c r="H110" i="3" s="1"/>
  <c r="F224" i="3"/>
  <c r="H224" i="3" s="1"/>
  <c r="F227" i="14"/>
  <c r="F113" i="3"/>
  <c r="H113" i="3" s="1"/>
  <c r="F383" i="3"/>
  <c r="H383" i="3" s="1"/>
  <c r="F377" i="14"/>
  <c r="F19" i="3"/>
  <c r="F168" i="3"/>
  <c r="H168" i="3" s="1"/>
  <c r="F391" i="3"/>
  <c r="H391" i="3" s="1"/>
  <c r="F385" i="14"/>
  <c r="F143" i="3"/>
  <c r="H143" i="3" s="1"/>
  <c r="F401" i="3"/>
  <c r="H401" i="3" s="1"/>
  <c r="F387" i="3"/>
  <c r="H387" i="3" s="1"/>
  <c r="F381" i="14"/>
  <c r="G420" i="5"/>
  <c r="I420" i="5" s="1"/>
  <c r="G422" i="5"/>
  <c r="I422" i="5" s="1"/>
  <c r="G18" i="14" l="1"/>
  <c r="H19" i="3"/>
  <c r="F100" i="3"/>
  <c r="H100" i="3" s="1"/>
  <c r="H101" i="3"/>
  <c r="F42" i="14"/>
  <c r="G42" i="14" s="1"/>
  <c r="H40" i="3"/>
  <c r="F312" i="3"/>
  <c r="H312" i="3" s="1"/>
  <c r="H313" i="3"/>
  <c r="G86" i="5"/>
  <c r="I86" i="5" s="1"/>
  <c r="I87" i="5"/>
  <c r="G384" i="5"/>
  <c r="I384" i="5" s="1"/>
  <c r="I385" i="5"/>
  <c r="G79" i="5"/>
  <c r="I79" i="5" s="1"/>
  <c r="I80" i="5"/>
  <c r="G302" i="14"/>
  <c r="G301" i="14" s="1"/>
  <c r="F301" i="14"/>
  <c r="G294" i="14"/>
  <c r="G293" i="14" s="1"/>
  <c r="F293" i="14"/>
  <c r="G1065" i="15"/>
  <c r="G1064" i="15" s="1"/>
  <c r="F62" i="3"/>
  <c r="H62" i="3" s="1"/>
  <c r="F295" i="3"/>
  <c r="H295" i="3" s="1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85" i="5"/>
  <c r="G728" i="5"/>
  <c r="I728" i="5" s="1"/>
  <c r="G419" i="5"/>
  <c r="G762" i="5"/>
  <c r="I762" i="5" s="1"/>
  <c r="F223" i="3"/>
  <c r="H223" i="3" s="1"/>
  <c r="F123" i="3"/>
  <c r="H123" i="3" s="1"/>
  <c r="F112" i="3"/>
  <c r="H112" i="3" s="1"/>
  <c r="H495" i="15"/>
  <c r="G418" i="5" l="1"/>
  <c r="I419" i="5"/>
  <c r="G84" i="5"/>
  <c r="I84" i="5" s="1"/>
  <c r="I85" i="5"/>
  <c r="G292" i="14"/>
  <c r="G291" i="14" s="1"/>
  <c r="F292" i="14"/>
  <c r="F291" i="14" s="1"/>
  <c r="H494" i="15"/>
  <c r="H841" i="15"/>
  <c r="F144" i="14"/>
  <c r="F143" i="14" s="1"/>
  <c r="G840" i="15"/>
  <c r="H1065" i="15"/>
  <c r="H1064" i="15" s="1"/>
  <c r="G78" i="5"/>
  <c r="G383" i="5"/>
  <c r="G761" i="5"/>
  <c r="I761" i="5" s="1"/>
  <c r="G727" i="5"/>
  <c r="I727" i="5" s="1"/>
  <c r="F294" i="3"/>
  <c r="H294" i="3" s="1"/>
  <c r="F222" i="3"/>
  <c r="H222" i="3" s="1"/>
  <c r="G382" i="5" l="1"/>
  <c r="I382" i="5" s="1"/>
  <c r="I383" i="5"/>
  <c r="G417" i="5"/>
  <c r="I418" i="5"/>
  <c r="G77" i="5"/>
  <c r="I77" i="5" s="1"/>
  <c r="I78" i="5"/>
  <c r="G50" i="14"/>
  <c r="G56" i="15"/>
  <c r="F49" i="14"/>
  <c r="H840" i="15"/>
  <c r="G144" i="14"/>
  <c r="G143" i="14" s="1"/>
  <c r="G1060" i="15"/>
  <c r="G1059" i="15" s="1"/>
  <c r="F1022" i="3"/>
  <c r="H1022" i="3" s="1"/>
  <c r="F798" i="3"/>
  <c r="F118" i="3"/>
  <c r="H118" i="3" s="1"/>
  <c r="G760" i="5"/>
  <c r="I760" i="5" s="1"/>
  <c r="G381" i="5"/>
  <c r="I381" i="5" s="1"/>
  <c r="F221" i="3"/>
  <c r="H221" i="3" s="1"/>
  <c r="G1045" i="4"/>
  <c r="I1045" i="4" s="1"/>
  <c r="G966" i="4"/>
  <c r="I966" i="4" s="1"/>
  <c r="H895" i="15"/>
  <c r="F797" i="3" l="1"/>
  <c r="H797" i="3" s="1"/>
  <c r="H798" i="3"/>
  <c r="G416" i="5"/>
  <c r="I416" i="5" s="1"/>
  <c r="I417" i="5"/>
  <c r="H17" i="15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17" i="3"/>
  <c r="H117" i="3" s="1"/>
  <c r="G965" i="4"/>
  <c r="G917" i="15"/>
  <c r="H917" i="15" s="1"/>
  <c r="G1044" i="4"/>
  <c r="I1044" i="4" s="1"/>
  <c r="F323" i="3"/>
  <c r="G880" i="15"/>
  <c r="H880" i="15" s="1"/>
  <c r="F22" i="3"/>
  <c r="H22" i="3" s="1"/>
  <c r="G924" i="4"/>
  <c r="G916" i="15" l="1"/>
  <c r="H916" i="15" s="1"/>
  <c r="I965" i="4"/>
  <c r="F320" i="14"/>
  <c r="G320" i="14" s="1"/>
  <c r="H323" i="3"/>
  <c r="G879" i="15"/>
  <c r="H879" i="15" s="1"/>
  <c r="I924" i="4"/>
  <c r="H482" i="16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17" i="4"/>
  <c r="I217" i="4" s="1"/>
  <c r="H483" i="16" l="1"/>
  <c r="G216" i="4"/>
  <c r="I216" i="4" s="1"/>
  <c r="H216" i="15"/>
  <c r="H215" i="15" s="1"/>
  <c r="H214" i="15" s="1"/>
  <c r="H213" i="15" s="1"/>
  <c r="G109" i="4"/>
  <c r="I109" i="4" s="1"/>
  <c r="G106" i="4"/>
  <c r="I106" i="4" s="1"/>
  <c r="G97" i="4"/>
  <c r="I97" i="4" s="1"/>
  <c r="G215" i="4" l="1"/>
  <c r="I215" i="4" s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05" i="4"/>
  <c r="I105" i="4" s="1"/>
  <c r="G108" i="4"/>
  <c r="G111" i="15"/>
  <c r="H111" i="15" s="1"/>
  <c r="G99" i="4"/>
  <c r="I99" i="4" s="1"/>
  <c r="F96" i="3"/>
  <c r="H96" i="3" s="1"/>
  <c r="G93" i="4"/>
  <c r="I93" i="4" s="1"/>
  <c r="F90" i="3"/>
  <c r="H90" i="3" s="1"/>
  <c r="G110" i="15" l="1"/>
  <c r="H110" i="15" s="1"/>
  <c r="I108" i="4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96" i="4"/>
  <c r="G92" i="4"/>
  <c r="I92" i="4" s="1"/>
  <c r="G104" i="4"/>
  <c r="I104" i="4" s="1"/>
  <c r="F89" i="3"/>
  <c r="H89" i="3" s="1"/>
  <c r="G395" i="5"/>
  <c r="I395" i="5" s="1"/>
  <c r="F95" i="3"/>
  <c r="H95" i="3" s="1"/>
  <c r="G410" i="5"/>
  <c r="I410" i="5" s="1"/>
  <c r="G359" i="4"/>
  <c r="I359" i="4" s="1"/>
  <c r="G349" i="4"/>
  <c r="I349" i="4" s="1"/>
  <c r="G95" i="4" l="1"/>
  <c r="I95" i="4" s="1"/>
  <c r="I96" i="4"/>
  <c r="G106" i="15"/>
  <c r="H106" i="15"/>
  <c r="H361" i="16"/>
  <c r="H360" i="16" s="1"/>
  <c r="H359" i="16" s="1"/>
  <c r="H358" i="16" s="1"/>
  <c r="G91" i="4"/>
  <c r="G348" i="4"/>
  <c r="G345" i="15"/>
  <c r="H345" i="15" s="1"/>
  <c r="G358" i="4"/>
  <c r="I358" i="4" s="1"/>
  <c r="G396" i="5"/>
  <c r="I396" i="5" s="1"/>
  <c r="G411" i="5"/>
  <c r="I411" i="5" s="1"/>
  <c r="F92" i="3"/>
  <c r="G91" i="14"/>
  <c r="G90" i="14" s="1"/>
  <c r="F88" i="3"/>
  <c r="H88" i="3" s="1"/>
  <c r="G418" i="4"/>
  <c r="I418" i="4" s="1"/>
  <c r="G90" i="4" l="1"/>
  <c r="I91" i="4"/>
  <c r="F91" i="3"/>
  <c r="H91" i="3" s="1"/>
  <c r="H92" i="3"/>
  <c r="G344" i="15"/>
  <c r="H344" i="15" s="1"/>
  <c r="I348" i="4"/>
  <c r="H357" i="16"/>
  <c r="H90" i="15"/>
  <c r="G90" i="15"/>
  <c r="G357" i="4"/>
  <c r="I357" i="4" s="1"/>
  <c r="F87" i="3"/>
  <c r="H87" i="3" s="1"/>
  <c r="G45" i="6"/>
  <c r="G21" i="6"/>
  <c r="I21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49" i="5"/>
  <c r="I949" i="5" s="1"/>
  <c r="G942" i="5"/>
  <c r="I942" i="5" s="1"/>
  <c r="G875" i="5"/>
  <c r="I875" i="5" s="1"/>
  <c r="G866" i="5"/>
  <c r="I866" i="5" s="1"/>
  <c r="G861" i="5"/>
  <c r="I861" i="5" s="1"/>
  <c r="G881" i="5"/>
  <c r="I881" i="5" s="1"/>
  <c r="G871" i="5"/>
  <c r="I871" i="5" s="1"/>
  <c r="G900" i="5"/>
  <c r="I900" i="5" s="1"/>
  <c r="G850" i="5"/>
  <c r="I850" i="5" s="1"/>
  <c r="G842" i="5"/>
  <c r="I842" i="5" s="1"/>
  <c r="G838" i="5"/>
  <c r="I838" i="5" s="1"/>
  <c r="G834" i="5"/>
  <c r="I834" i="5" s="1"/>
  <c r="G830" i="5"/>
  <c r="I830" i="5" s="1"/>
  <c r="G814" i="5"/>
  <c r="I814" i="5" s="1"/>
  <c r="G807" i="5"/>
  <c r="I807" i="5" s="1"/>
  <c r="G758" i="5"/>
  <c r="I758" i="5" s="1"/>
  <c r="G717" i="5"/>
  <c r="I717" i="5" s="1"/>
  <c r="G710" i="5"/>
  <c r="I710" i="5" s="1"/>
  <c r="G725" i="5"/>
  <c r="I725" i="5" s="1"/>
  <c r="G676" i="5"/>
  <c r="I676" i="5" s="1"/>
  <c r="G664" i="5"/>
  <c r="I664" i="5" s="1"/>
  <c r="G660" i="5"/>
  <c r="I660" i="5" s="1"/>
  <c r="G463" i="5"/>
  <c r="I463" i="5" s="1"/>
  <c r="G452" i="5"/>
  <c r="G448" i="5"/>
  <c r="I448" i="5" s="1"/>
  <c r="G429" i="5"/>
  <c r="I429" i="5" s="1"/>
  <c r="G406" i="5"/>
  <c r="I406" i="5" s="1"/>
  <c r="G317" i="5"/>
  <c r="I317" i="5" s="1"/>
  <c r="G250" i="5"/>
  <c r="I250" i="5" s="1"/>
  <c r="G297" i="5"/>
  <c r="I297" i="5" s="1"/>
  <c r="G268" i="5"/>
  <c r="I268" i="5" s="1"/>
  <c r="G236" i="5"/>
  <c r="I236" i="5" s="1"/>
  <c r="G73" i="5"/>
  <c r="G57" i="5"/>
  <c r="I57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50" i="10" s="1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42" i="4"/>
  <c r="I1142" i="4" s="1"/>
  <c r="G1139" i="4"/>
  <c r="I1139" i="4" s="1"/>
  <c r="G1131" i="4"/>
  <c r="I1131" i="4" s="1"/>
  <c r="G1128" i="4"/>
  <c r="I1128" i="4" s="1"/>
  <c r="G1113" i="4"/>
  <c r="I1113" i="4" s="1"/>
  <c r="G1100" i="4"/>
  <c r="I1100" i="4" s="1"/>
  <c r="G1095" i="4"/>
  <c r="I1095" i="4" s="1"/>
  <c r="G1089" i="4"/>
  <c r="G1075" i="4"/>
  <c r="I1075" i="4" s="1"/>
  <c r="G1070" i="4"/>
  <c r="I1070" i="4" s="1"/>
  <c r="G1068" i="4"/>
  <c r="I1068" i="4" s="1"/>
  <c r="G1042" i="4"/>
  <c r="I1042" i="4" s="1"/>
  <c r="G1035" i="4"/>
  <c r="I1035" i="4" s="1"/>
  <c r="G1032" i="4"/>
  <c r="I1032" i="4" s="1"/>
  <c r="G1027" i="4"/>
  <c r="I1027" i="4" s="1"/>
  <c r="G1038" i="4"/>
  <c r="I1038" i="4" s="1"/>
  <c r="G705" i="5"/>
  <c r="I705" i="5" s="1"/>
  <c r="G1022" i="4"/>
  <c r="G692" i="5"/>
  <c r="I692" i="5" s="1"/>
  <c r="G995" i="4"/>
  <c r="I995" i="4" s="1"/>
  <c r="G991" i="4"/>
  <c r="I991" i="4" s="1"/>
  <c r="G987" i="4"/>
  <c r="I987" i="4" s="1"/>
  <c r="G935" i="15"/>
  <c r="G927" i="15"/>
  <c r="G963" i="4"/>
  <c r="G961" i="4"/>
  <c r="G958" i="4"/>
  <c r="I958" i="4" s="1"/>
  <c r="G955" i="4"/>
  <c r="G953" i="4"/>
  <c r="G949" i="4"/>
  <c r="G947" i="4"/>
  <c r="I947" i="4" s="1"/>
  <c r="G882" i="15"/>
  <c r="H882" i="15" s="1"/>
  <c r="G909" i="4"/>
  <c r="I909" i="4" s="1"/>
  <c r="G896" i="4"/>
  <c r="I896" i="4" s="1"/>
  <c r="G882" i="4"/>
  <c r="I882" i="4" s="1"/>
  <c r="F148" i="3"/>
  <c r="H148" i="3" s="1"/>
  <c r="G867" i="4"/>
  <c r="I867" i="4" s="1"/>
  <c r="G855" i="4"/>
  <c r="I855" i="4" s="1"/>
  <c r="G826" i="4"/>
  <c r="G819" i="4"/>
  <c r="I819" i="4" s="1"/>
  <c r="G816" i="4"/>
  <c r="I816" i="4" s="1"/>
  <c r="G444" i="5"/>
  <c r="I444" i="5" s="1"/>
  <c r="G437" i="5"/>
  <c r="I437" i="5" s="1"/>
  <c r="G794" i="4"/>
  <c r="I794" i="4" s="1"/>
  <c r="G776" i="4"/>
  <c r="I776" i="4" s="1"/>
  <c r="G759" i="4"/>
  <c r="I759" i="4" s="1"/>
  <c r="G750" i="4"/>
  <c r="I750" i="4" s="1"/>
  <c r="G743" i="4"/>
  <c r="I743" i="4" s="1"/>
  <c r="G727" i="4"/>
  <c r="I727" i="4" s="1"/>
  <c r="G722" i="4"/>
  <c r="I722" i="4" s="1"/>
  <c r="G693" i="4"/>
  <c r="I693" i="4" s="1"/>
  <c r="G281" i="5"/>
  <c r="I281" i="5" s="1"/>
  <c r="G671" i="4"/>
  <c r="I671" i="4" s="1"/>
  <c r="G640" i="15"/>
  <c r="G637" i="15"/>
  <c r="G661" i="4"/>
  <c r="I661" i="4" s="1"/>
  <c r="G655" i="4"/>
  <c r="I655" i="4" s="1"/>
  <c r="G652" i="4"/>
  <c r="I652" i="4" s="1"/>
  <c r="G636" i="4"/>
  <c r="I636" i="4" s="1"/>
  <c r="G631" i="4"/>
  <c r="I631" i="4" s="1"/>
  <c r="G611" i="4"/>
  <c r="I611" i="4" s="1"/>
  <c r="G601" i="4"/>
  <c r="I601" i="4" s="1"/>
  <c r="G597" i="4"/>
  <c r="I597" i="4" s="1"/>
  <c r="G571" i="15"/>
  <c r="G587" i="4"/>
  <c r="I587" i="4" s="1"/>
  <c r="G581" i="4"/>
  <c r="I581" i="4" s="1"/>
  <c r="G567" i="4"/>
  <c r="I567" i="4" s="1"/>
  <c r="G538" i="4"/>
  <c r="I538" i="4" s="1"/>
  <c r="G523" i="4"/>
  <c r="I523" i="4" s="1"/>
  <c r="G516" i="4"/>
  <c r="I516" i="4" s="1"/>
  <c r="G488" i="4"/>
  <c r="I488" i="4" s="1"/>
  <c r="G136" i="5"/>
  <c r="I136" i="5" s="1"/>
  <c r="G452" i="4"/>
  <c r="I452" i="4" s="1"/>
  <c r="G447" i="4"/>
  <c r="I447" i="4" s="1"/>
  <c r="G436" i="4"/>
  <c r="I436" i="4" s="1"/>
  <c r="G433" i="4"/>
  <c r="G431" i="4"/>
  <c r="I431" i="4" s="1"/>
  <c r="G425" i="4"/>
  <c r="I425" i="4" s="1"/>
  <c r="G420" i="4"/>
  <c r="I420" i="4" s="1"/>
  <c r="G403" i="4"/>
  <c r="I403" i="4" s="1"/>
  <c r="G399" i="4"/>
  <c r="I399" i="4" s="1"/>
  <c r="G392" i="4"/>
  <c r="I392" i="4" s="1"/>
  <c r="G388" i="4"/>
  <c r="I388" i="4" s="1"/>
  <c r="F810" i="3"/>
  <c r="H810" i="3" s="1"/>
  <c r="G354" i="4"/>
  <c r="G339" i="4"/>
  <c r="I339" i="4" s="1"/>
  <c r="G316" i="4"/>
  <c r="I316" i="4" s="1"/>
  <c r="G313" i="4"/>
  <c r="I313" i="4" s="1"/>
  <c r="G310" i="4"/>
  <c r="I310" i="4" s="1"/>
  <c r="G288" i="4"/>
  <c r="I288" i="4" s="1"/>
  <c r="G284" i="4"/>
  <c r="I284" i="4" s="1"/>
  <c r="G280" i="4"/>
  <c r="I280" i="4" s="1"/>
  <c r="G272" i="4"/>
  <c r="I272" i="4" s="1"/>
  <c r="G267" i="4"/>
  <c r="I267" i="4" s="1"/>
  <c r="G264" i="4"/>
  <c r="I264" i="4" s="1"/>
  <c r="G261" i="4"/>
  <c r="I261" i="4" s="1"/>
  <c r="G258" i="4"/>
  <c r="I258" i="4" s="1"/>
  <c r="G255" i="4"/>
  <c r="I255" i="4" s="1"/>
  <c r="F879" i="14"/>
  <c r="F878" i="14" s="1"/>
  <c r="F875" i="14" s="1"/>
  <c r="G230" i="4"/>
  <c r="I230" i="4" s="1"/>
  <c r="G224" i="4"/>
  <c r="I224" i="4" s="1"/>
  <c r="G204" i="4"/>
  <c r="I204" i="4" s="1"/>
  <c r="G200" i="4"/>
  <c r="I200" i="4" s="1"/>
  <c r="G182" i="4"/>
  <c r="I182" i="4" s="1"/>
  <c r="G163" i="4"/>
  <c r="I163" i="4" s="1"/>
  <c r="G156" i="4"/>
  <c r="I156" i="4" s="1"/>
  <c r="G151" i="4"/>
  <c r="I151" i="4" s="1"/>
  <c r="G146" i="4"/>
  <c r="I146" i="4" s="1"/>
  <c r="G142" i="4"/>
  <c r="I142" i="4" s="1"/>
  <c r="G394" i="5"/>
  <c r="I394" i="5" s="1"/>
  <c r="G137" i="4"/>
  <c r="G118" i="4"/>
  <c r="I118" i="4" s="1"/>
  <c r="G115" i="4"/>
  <c r="I115" i="4" s="1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70" i="4"/>
  <c r="G66" i="4"/>
  <c r="I66" i="4" s="1"/>
  <c r="G58" i="4"/>
  <c r="I58" i="4" s="1"/>
  <c r="G54" i="4"/>
  <c r="I54" i="4" s="1"/>
  <c r="G24" i="4"/>
  <c r="I24" i="4" s="1"/>
  <c r="G21" i="4"/>
  <c r="I21" i="4" s="1"/>
  <c r="G19" i="4"/>
  <c r="I19" i="4" s="1"/>
  <c r="G17" i="4"/>
  <c r="I17" i="4" s="1"/>
  <c r="F996" i="3"/>
  <c r="H996" i="3" s="1"/>
  <c r="F966" i="3"/>
  <c r="F960" i="3"/>
  <c r="H960" i="3" s="1"/>
  <c r="F957" i="3"/>
  <c r="H957" i="3" s="1"/>
  <c r="F941" i="3"/>
  <c r="H941" i="3" s="1"/>
  <c r="F924" i="3"/>
  <c r="F871" i="3"/>
  <c r="H871" i="3" s="1"/>
  <c r="F862" i="3"/>
  <c r="H862" i="3" s="1"/>
  <c r="F848" i="3"/>
  <c r="H848" i="3" s="1"/>
  <c r="F824" i="3"/>
  <c r="H824" i="3" s="1"/>
  <c r="F818" i="3"/>
  <c r="H818" i="3" s="1"/>
  <c r="F801" i="3"/>
  <c r="H801" i="3" s="1"/>
  <c r="F658" i="3"/>
  <c r="H658" i="3" s="1"/>
  <c r="F653" i="3"/>
  <c r="H653" i="3" s="1"/>
  <c r="F609" i="3"/>
  <c r="H609" i="3" s="1"/>
  <c r="F586" i="3"/>
  <c r="H586" i="3" s="1"/>
  <c r="F583" i="3"/>
  <c r="H583" i="3" s="1"/>
  <c r="F566" i="3"/>
  <c r="H566" i="3" s="1"/>
  <c r="F562" i="3"/>
  <c r="H562" i="3" s="1"/>
  <c r="F545" i="3"/>
  <c r="H545" i="3" s="1"/>
  <c r="F535" i="3"/>
  <c r="H535" i="3" s="1"/>
  <c r="F531" i="3"/>
  <c r="H531" i="3" s="1"/>
  <c r="F515" i="3"/>
  <c r="H515" i="3" s="1"/>
  <c r="F491" i="3"/>
  <c r="H491" i="3" s="1"/>
  <c r="F468" i="3"/>
  <c r="H468" i="3" s="1"/>
  <c r="F434" i="3"/>
  <c r="H434" i="3" s="1"/>
  <c r="F431" i="3"/>
  <c r="H431" i="3" s="1"/>
  <c r="F426" i="3"/>
  <c r="H426" i="3" s="1"/>
  <c r="F364" i="3"/>
  <c r="H364" i="3" s="1"/>
  <c r="F347" i="3"/>
  <c r="F322" i="3"/>
  <c r="F218" i="3"/>
  <c r="H218" i="3" s="1"/>
  <c r="F214" i="3"/>
  <c r="H214" i="3" s="1"/>
  <c r="F204" i="3"/>
  <c r="H204" i="3" s="1"/>
  <c r="F200" i="3"/>
  <c r="H200" i="3" s="1"/>
  <c r="F188" i="3"/>
  <c r="H188" i="3" s="1"/>
  <c r="F185" i="3"/>
  <c r="H185" i="3" s="1"/>
  <c r="F182" i="3"/>
  <c r="H182" i="3" s="1"/>
  <c r="F122" i="3"/>
  <c r="H122" i="3" s="1"/>
  <c r="F119" i="3"/>
  <c r="H119" i="3" s="1"/>
  <c r="F52" i="3"/>
  <c r="H52" i="3" s="1"/>
  <c r="F39" i="3"/>
  <c r="H39" i="3" s="1"/>
  <c r="C176" i="1"/>
  <c r="C67" i="1"/>
  <c r="E67" i="1" s="1"/>
  <c r="C65" i="1"/>
  <c r="E65" i="1" s="1"/>
  <c r="C50" i="1"/>
  <c r="E50" i="1" s="1"/>
  <c r="C48" i="1"/>
  <c r="E48" i="1" s="1"/>
  <c r="C44" i="1"/>
  <c r="E44" i="1" s="1"/>
  <c r="C36" i="1"/>
  <c r="E36" i="1" s="1"/>
  <c r="C31" i="1"/>
  <c r="G310" i="10" l="1"/>
  <c r="G408" i="10"/>
  <c r="G407" i="10" s="1"/>
  <c r="G900" i="15"/>
  <c r="H900" i="15" s="1"/>
  <c r="I949" i="4"/>
  <c r="G912" i="15"/>
  <c r="H912" i="15" s="1"/>
  <c r="I961" i="4"/>
  <c r="G973" i="15"/>
  <c r="I1022" i="4"/>
  <c r="G49" i="5"/>
  <c r="I49" i="5" s="1"/>
  <c r="I354" i="4"/>
  <c r="G904" i="15"/>
  <c r="H904" i="15" s="1"/>
  <c r="I953" i="4"/>
  <c r="G914" i="15"/>
  <c r="H914" i="15" s="1"/>
  <c r="I963" i="4"/>
  <c r="F340" i="14"/>
  <c r="G340" i="14" s="1"/>
  <c r="H347" i="3"/>
  <c r="F923" i="3"/>
  <c r="H923" i="3" s="1"/>
  <c r="H924" i="3"/>
  <c r="F903" i="14"/>
  <c r="H966" i="3"/>
  <c r="G417" i="15"/>
  <c r="H417" i="15" s="1"/>
  <c r="I433" i="4"/>
  <c r="G906" i="15"/>
  <c r="H906" i="15" s="1"/>
  <c r="I955" i="4"/>
  <c r="G1088" i="4"/>
  <c r="I1088" i="4" s="1"/>
  <c r="I1089" i="4"/>
  <c r="G44" i="6"/>
  <c r="I45" i="6"/>
  <c r="F319" i="14"/>
  <c r="G319" i="14" s="1"/>
  <c r="H322" i="3"/>
  <c r="G69" i="4"/>
  <c r="I69" i="4" s="1"/>
  <c r="I70" i="4"/>
  <c r="G136" i="4"/>
  <c r="I136" i="4" s="1"/>
  <c r="I137" i="4"/>
  <c r="G147" i="10"/>
  <c r="G982" i="10" s="1"/>
  <c r="G169" i="10"/>
  <c r="G1187" i="4"/>
  <c r="I90" i="4"/>
  <c r="I1187" i="4" s="1"/>
  <c r="C25" i="1"/>
  <c r="E25" i="1" s="1"/>
  <c r="E31" i="1"/>
  <c r="C175" i="1"/>
  <c r="E176" i="1"/>
  <c r="G72" i="5"/>
  <c r="I72" i="5" s="1"/>
  <c r="I73" i="5"/>
  <c r="G453" i="5"/>
  <c r="I453" i="5" s="1"/>
  <c r="I452" i="5"/>
  <c r="G784" i="15"/>
  <c r="I826" i="4"/>
  <c r="G116" i="10"/>
  <c r="G98" i="10" s="1"/>
  <c r="G51" i="10"/>
  <c r="G50" i="10" s="1"/>
  <c r="G49" i="10" s="1"/>
  <c r="G48" i="10" s="1"/>
  <c r="G633" i="10"/>
  <c r="G792" i="10"/>
  <c r="G791" i="10" s="1"/>
  <c r="G786" i="10" s="1"/>
  <c r="G785" i="10" s="1"/>
  <c r="G161" i="11"/>
  <c r="G299" i="10"/>
  <c r="G280" i="10" s="1"/>
  <c r="G15" i="10"/>
  <c r="G14" i="10" s="1"/>
  <c r="G13" i="10" s="1"/>
  <c r="G12" i="10" s="1"/>
  <c r="G11" i="10" s="1"/>
  <c r="G10" i="10" s="1"/>
  <c r="G238" i="10"/>
  <c r="G237" i="10" s="1"/>
  <c r="G657" i="10"/>
  <c r="G656" i="10" s="1"/>
  <c r="G65" i="10"/>
  <c r="G61" i="10" s="1"/>
  <c r="G997" i="10" s="1"/>
  <c r="G306" i="10"/>
  <c r="G391" i="10"/>
  <c r="G139" i="10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339" i="10"/>
  <c r="G338" i="10" s="1"/>
  <c r="G337" i="10" s="1"/>
  <c r="G613" i="10"/>
  <c r="G948" i="10"/>
  <c r="G947" i="10" s="1"/>
  <c r="G946" i="10" s="1"/>
  <c r="G945" i="10" s="1"/>
  <c r="F72" i="14"/>
  <c r="G220" i="16"/>
  <c r="G221" i="16" s="1"/>
  <c r="F501" i="14"/>
  <c r="G137" i="5"/>
  <c r="I137" i="5" s="1"/>
  <c r="G135" i="5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12" i="10"/>
  <c r="G694" i="10"/>
  <c r="G693" i="10" s="1"/>
  <c r="G1007" i="10"/>
  <c r="G261" i="10"/>
  <c r="G260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646" i="10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37" i="10"/>
  <c r="G849" i="10"/>
  <c r="G902" i="10"/>
  <c r="G901" i="10" s="1"/>
  <c r="G953" i="10"/>
  <c r="G162" i="10"/>
  <c r="G161" i="10" s="1"/>
  <c r="G160" i="10" s="1"/>
  <c r="G159" i="10" s="1"/>
  <c r="G983" i="10" s="1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777" i="10"/>
  <c r="G770" i="10" s="1"/>
  <c r="G996" i="10"/>
  <c r="G73" i="10"/>
  <c r="G999" i="10" s="1"/>
  <c r="G134" i="10"/>
  <c r="G998" i="10"/>
  <c r="G202" i="10"/>
  <c r="G373" i="10"/>
  <c r="G581" i="10"/>
  <c r="G580" i="10" s="1"/>
  <c r="G1005" i="10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G1019" i="15"/>
  <c r="G1018" i="15" s="1"/>
  <c r="H1077" i="15"/>
  <c r="F39" i="14"/>
  <c r="F38" i="14" s="1"/>
  <c r="F37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H86" i="15"/>
  <c r="G85" i="15"/>
  <c r="H88" i="15"/>
  <c r="G87" i="15"/>
  <c r="H81" i="15"/>
  <c r="G80" i="15"/>
  <c r="H241" i="15"/>
  <c r="G240" i="15"/>
  <c r="G237" i="15" s="1"/>
  <c r="E124" i="12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571" i="15"/>
  <c r="H640" i="15"/>
  <c r="H238" i="16" s="1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H973" i="15"/>
  <c r="H660" i="16" s="1"/>
  <c r="H661" i="16" s="1"/>
  <c r="G660" i="16"/>
  <c r="G86" i="14"/>
  <c r="F86" i="14"/>
  <c r="F85" i="14" s="1"/>
  <c r="C146" i="12"/>
  <c r="F109" i="12"/>
  <c r="G114" i="4"/>
  <c r="I114" i="4" s="1"/>
  <c r="G675" i="5"/>
  <c r="G150" i="4"/>
  <c r="G271" i="4"/>
  <c r="I271" i="4" s="1"/>
  <c r="G558" i="5"/>
  <c r="G312" i="15"/>
  <c r="G391" i="4"/>
  <c r="G419" i="4"/>
  <c r="I419" i="4" s="1"/>
  <c r="G435" i="4"/>
  <c r="I435" i="4" s="1"/>
  <c r="G721" i="4"/>
  <c r="I721" i="4" s="1"/>
  <c r="G758" i="4"/>
  <c r="I758" i="4" s="1"/>
  <c r="F378" i="3"/>
  <c r="G931" i="15"/>
  <c r="G1099" i="4"/>
  <c r="I1099" i="4" s="1"/>
  <c r="G155" i="4"/>
  <c r="G260" i="4"/>
  <c r="I260" i="4" s="1"/>
  <c r="G287" i="4"/>
  <c r="G287" i="15"/>
  <c r="H287" i="15" s="1"/>
  <c r="G635" i="4"/>
  <c r="I635" i="4" s="1"/>
  <c r="G304" i="5"/>
  <c r="I304" i="5" s="1"/>
  <c r="G726" i="4"/>
  <c r="I726" i="4" s="1"/>
  <c r="F788" i="3"/>
  <c r="H788" i="3" s="1"/>
  <c r="G866" i="4"/>
  <c r="I866" i="4" s="1"/>
  <c r="F150" i="3"/>
  <c r="G23" i="4"/>
  <c r="I23" i="4" s="1"/>
  <c r="G63" i="4"/>
  <c r="I63" i="4" s="1"/>
  <c r="F165" i="3"/>
  <c r="H165" i="3" s="1"/>
  <c r="G141" i="4"/>
  <c r="I141" i="4" s="1"/>
  <c r="G181" i="4"/>
  <c r="I181" i="4" s="1"/>
  <c r="G229" i="4"/>
  <c r="G263" i="4"/>
  <c r="G260" i="15"/>
  <c r="H260" i="15" s="1"/>
  <c r="G309" i="4"/>
  <c r="I309" i="4" s="1"/>
  <c r="G601" i="5"/>
  <c r="G487" i="4"/>
  <c r="G518" i="4"/>
  <c r="I518" i="4" s="1"/>
  <c r="G496" i="15"/>
  <c r="G537" i="4"/>
  <c r="G514" i="15"/>
  <c r="H514" i="15" s="1"/>
  <c r="G596" i="4"/>
  <c r="I596" i="4" s="1"/>
  <c r="G610" i="4"/>
  <c r="F665" i="3"/>
  <c r="H665" i="3" s="1"/>
  <c r="G749" i="4"/>
  <c r="I749" i="4" s="1"/>
  <c r="G709" i="15"/>
  <c r="H709" i="15" s="1"/>
  <c r="G793" i="4"/>
  <c r="I793" i="4" s="1"/>
  <c r="G815" i="4"/>
  <c r="I815" i="4" s="1"/>
  <c r="F975" i="3"/>
  <c r="H975" i="3" s="1"/>
  <c r="F1014" i="3"/>
  <c r="F152" i="3"/>
  <c r="H152" i="3" s="1"/>
  <c r="G908" i="4"/>
  <c r="I908" i="4" s="1"/>
  <c r="G986" i="4"/>
  <c r="I986" i="4" s="1"/>
  <c r="G938" i="15"/>
  <c r="H938" i="15" s="1"/>
  <c r="G1026" i="4"/>
  <c r="I1026" i="4" s="1"/>
  <c r="G1041" i="4"/>
  <c r="I1041" i="4" s="1"/>
  <c r="G993" i="15"/>
  <c r="H993" i="15" s="1"/>
  <c r="F15" i="3"/>
  <c r="H15" i="3" s="1"/>
  <c r="G1141" i="4"/>
  <c r="I1141" i="4" s="1"/>
  <c r="G257" i="4"/>
  <c r="I257" i="4" s="1"/>
  <c r="G338" i="4"/>
  <c r="I338" i="4" s="1"/>
  <c r="G402" i="4"/>
  <c r="G522" i="4"/>
  <c r="I522" i="4" s="1"/>
  <c r="G630" i="4"/>
  <c r="I630" i="4" s="1"/>
  <c r="G651" i="4"/>
  <c r="I651" i="4" s="1"/>
  <c r="G221" i="5"/>
  <c r="G825" i="4"/>
  <c r="H784" i="15"/>
  <c r="G994" i="4"/>
  <c r="I994" i="4" s="1"/>
  <c r="G946" i="15"/>
  <c r="H946" i="15" s="1"/>
  <c r="G60" i="4"/>
  <c r="I60" i="4" s="1"/>
  <c r="G117" i="4"/>
  <c r="I117" i="4" s="1"/>
  <c r="G203" i="4"/>
  <c r="I203" i="4" s="1"/>
  <c r="G223" i="4"/>
  <c r="I223" i="4" s="1"/>
  <c r="G279" i="4"/>
  <c r="I279" i="4" s="1"/>
  <c r="G279" i="15"/>
  <c r="H279" i="15" s="1"/>
  <c r="G597" i="5"/>
  <c r="G424" i="4"/>
  <c r="I424" i="4" s="1"/>
  <c r="G580" i="4"/>
  <c r="I580" i="4" s="1"/>
  <c r="F542" i="3"/>
  <c r="H542" i="3" s="1"/>
  <c r="G654" i="4"/>
  <c r="I654" i="4" s="1"/>
  <c r="G775" i="4"/>
  <c r="I775" i="4" s="1"/>
  <c r="G854" i="4"/>
  <c r="I854" i="4" s="1"/>
  <c r="G1034" i="4"/>
  <c r="G986" i="15"/>
  <c r="G1022" i="15"/>
  <c r="H1022" i="15" s="1"/>
  <c r="G1112" i="4"/>
  <c r="I1112" i="4" s="1"/>
  <c r="G65" i="4"/>
  <c r="I65" i="4" s="1"/>
  <c r="F167" i="3"/>
  <c r="H167" i="3" s="1"/>
  <c r="G145" i="4"/>
  <c r="I145" i="4" s="1"/>
  <c r="G199" i="4"/>
  <c r="F291" i="3"/>
  <c r="H210" i="15"/>
  <c r="G254" i="4"/>
  <c r="I254" i="4" s="1"/>
  <c r="G254" i="15"/>
  <c r="G266" i="4"/>
  <c r="I266" i="4" s="1"/>
  <c r="G283" i="4"/>
  <c r="I283" i="4" s="1"/>
  <c r="G593" i="5"/>
  <c r="I593" i="5" s="1"/>
  <c r="G387" i="4"/>
  <c r="I387" i="4" s="1"/>
  <c r="G398" i="4"/>
  <c r="I398" i="4" s="1"/>
  <c r="G451" i="4"/>
  <c r="I451" i="4" s="1"/>
  <c r="G35" i="6"/>
  <c r="G520" i="4"/>
  <c r="I520" i="4" s="1"/>
  <c r="F210" i="3"/>
  <c r="H210" i="3" s="1"/>
  <c r="G545" i="15"/>
  <c r="H545" i="15" s="1"/>
  <c r="G546" i="15"/>
  <c r="H546" i="15" s="1"/>
  <c r="G586" i="4"/>
  <c r="I586" i="4" s="1"/>
  <c r="G600" i="4"/>
  <c r="I600" i="4" s="1"/>
  <c r="G580" i="15"/>
  <c r="H580" i="15" s="1"/>
  <c r="G660" i="4"/>
  <c r="I660" i="4" s="1"/>
  <c r="G670" i="4"/>
  <c r="G642" i="15"/>
  <c r="H642" i="15" s="1"/>
  <c r="F621" i="3"/>
  <c r="H621" i="3" s="1"/>
  <c r="G692" i="4"/>
  <c r="G742" i="4"/>
  <c r="I742" i="4" s="1"/>
  <c r="G818" i="4"/>
  <c r="I818" i="4" s="1"/>
  <c r="F1004" i="3"/>
  <c r="H1004" i="3" s="1"/>
  <c r="G881" i="4"/>
  <c r="I881" i="4" s="1"/>
  <c r="F285" i="3"/>
  <c r="G873" i="15"/>
  <c r="G957" i="4"/>
  <c r="G909" i="15"/>
  <c r="H909" i="15" s="1"/>
  <c r="G990" i="4"/>
  <c r="I990" i="4" s="1"/>
  <c r="G942" i="15"/>
  <c r="H942" i="15" s="1"/>
  <c r="G714" i="5"/>
  <c r="I714" i="5" s="1"/>
  <c r="G919" i="5"/>
  <c r="G1074" i="4"/>
  <c r="I1074" i="4" s="1"/>
  <c r="G1130" i="4"/>
  <c r="G1081" i="15"/>
  <c r="H1081" i="15" s="1"/>
  <c r="G1037" i="4"/>
  <c r="I1037" i="4" s="1"/>
  <c r="G895" i="4"/>
  <c r="I895" i="4" s="1"/>
  <c r="G566" i="4"/>
  <c r="I566" i="4" s="1"/>
  <c r="G162" i="4"/>
  <c r="I162" i="4" s="1"/>
  <c r="G170" i="15"/>
  <c r="H170" i="15" s="1"/>
  <c r="G941" i="5"/>
  <c r="I941" i="5" s="1"/>
  <c r="G806" i="5"/>
  <c r="I806" i="5" s="1"/>
  <c r="G393" i="5"/>
  <c r="I393" i="5" s="1"/>
  <c r="G663" i="5"/>
  <c r="I663" i="5" s="1"/>
  <c r="G813" i="5"/>
  <c r="I813" i="5" s="1"/>
  <c r="G831" i="5"/>
  <c r="I831" i="5" s="1"/>
  <c r="G316" i="5"/>
  <c r="G948" i="5"/>
  <c r="I948" i="5" s="1"/>
  <c r="G56" i="5"/>
  <c r="I56" i="5" s="1"/>
  <c r="G20" i="6"/>
  <c r="F51" i="3"/>
  <c r="H51" i="3" s="1"/>
  <c r="F425" i="3"/>
  <c r="H425" i="3" s="1"/>
  <c r="F544" i="3"/>
  <c r="F608" i="3"/>
  <c r="H608" i="3" s="1"/>
  <c r="F817" i="3"/>
  <c r="F203" i="3"/>
  <c r="H203" i="3" s="1"/>
  <c r="F430" i="3"/>
  <c r="H430" i="3" s="1"/>
  <c r="F652" i="3"/>
  <c r="H652" i="3" s="1"/>
  <c r="F147" i="3"/>
  <c r="H147" i="3" s="1"/>
  <c r="F17" i="3"/>
  <c r="H17" i="3" s="1"/>
  <c r="F121" i="3"/>
  <c r="H121" i="3" s="1"/>
  <c r="F191" i="3"/>
  <c r="H191" i="3" s="1"/>
  <c r="F213" i="3"/>
  <c r="H213" i="3" s="1"/>
  <c r="F363" i="3"/>
  <c r="H363" i="3" s="1"/>
  <c r="F357" i="14"/>
  <c r="G357" i="14" s="1"/>
  <c r="F530" i="3"/>
  <c r="H530" i="3" s="1"/>
  <c r="F561" i="3"/>
  <c r="H561" i="3" s="1"/>
  <c r="F582" i="3"/>
  <c r="H582" i="3" s="1"/>
  <c r="F657" i="3"/>
  <c r="H657" i="3" s="1"/>
  <c r="F861" i="3"/>
  <c r="H861" i="3" s="1"/>
  <c r="F940" i="3"/>
  <c r="H940" i="3" s="1"/>
  <c r="F995" i="3"/>
  <c r="H995" i="3" s="1"/>
  <c r="F199" i="3"/>
  <c r="H199" i="3" s="1"/>
  <c r="G202" i="14"/>
  <c r="G201" i="14" s="1"/>
  <c r="G200" i="14" s="1"/>
  <c r="F959" i="3"/>
  <c r="H959" i="3" s="1"/>
  <c r="F514" i="3"/>
  <c r="H514" i="3" s="1"/>
  <c r="F823" i="3"/>
  <c r="H823" i="3" s="1"/>
  <c r="F859" i="14"/>
  <c r="F38" i="3"/>
  <c r="H38" i="3" s="1"/>
  <c r="F194" i="3"/>
  <c r="H194" i="3" s="1"/>
  <c r="F217" i="3"/>
  <c r="H217" i="3" s="1"/>
  <c r="G219" i="14"/>
  <c r="G218" i="14" s="1"/>
  <c r="F534" i="3"/>
  <c r="H534" i="3" s="1"/>
  <c r="F565" i="3"/>
  <c r="H565" i="3" s="1"/>
  <c r="F585" i="3"/>
  <c r="H585" i="3" s="1"/>
  <c r="F956" i="3"/>
  <c r="H956" i="3" s="1"/>
  <c r="F86" i="3"/>
  <c r="H86" i="3" s="1"/>
  <c r="C54" i="1"/>
  <c r="E54" i="1" s="1"/>
  <c r="C43" i="1"/>
  <c r="E43" i="1" s="1"/>
  <c r="F433" i="3"/>
  <c r="H433" i="3" s="1"/>
  <c r="G721" i="5"/>
  <c r="I721" i="5" s="1"/>
  <c r="C62" i="1"/>
  <c r="E62" i="1" s="1"/>
  <c r="C61" i="1"/>
  <c r="E61" i="1" s="1"/>
  <c r="C35" i="1"/>
  <c r="E35" i="1" s="1"/>
  <c r="C64" i="1"/>
  <c r="E64" i="1" s="1"/>
  <c r="C47" i="1"/>
  <c r="E47" i="1" s="1"/>
  <c r="C20" i="1"/>
  <c r="E20" i="1" s="1"/>
  <c r="G899" i="5"/>
  <c r="I899" i="5" s="1"/>
  <c r="G901" i="5"/>
  <c r="I901" i="5" s="1"/>
  <c r="G880" i="5"/>
  <c r="I880" i="5" s="1"/>
  <c r="G882" i="5"/>
  <c r="I882" i="5" s="1"/>
  <c r="G870" i="5"/>
  <c r="I870" i="5" s="1"/>
  <c r="G872" i="5"/>
  <c r="I872" i="5" s="1"/>
  <c r="G874" i="5"/>
  <c r="I874" i="5" s="1"/>
  <c r="G876" i="5"/>
  <c r="I876" i="5" s="1"/>
  <c r="G865" i="5"/>
  <c r="I865" i="5" s="1"/>
  <c r="G867" i="5"/>
  <c r="I867" i="5" s="1"/>
  <c r="G860" i="5"/>
  <c r="I860" i="5" s="1"/>
  <c r="G862" i="5"/>
  <c r="I862" i="5" s="1"/>
  <c r="G849" i="5"/>
  <c r="I849" i="5" s="1"/>
  <c r="G851" i="5"/>
  <c r="I851" i="5" s="1"/>
  <c r="G837" i="5"/>
  <c r="I837" i="5" s="1"/>
  <c r="G839" i="5"/>
  <c r="I839" i="5" s="1"/>
  <c r="G822" i="5"/>
  <c r="I822" i="5" s="1"/>
  <c r="G833" i="5"/>
  <c r="I833" i="5" s="1"/>
  <c r="G835" i="5"/>
  <c r="I835" i="5" s="1"/>
  <c r="G841" i="5"/>
  <c r="I841" i="5" s="1"/>
  <c r="G843" i="5"/>
  <c r="I843" i="5" s="1"/>
  <c r="G829" i="5"/>
  <c r="I829" i="5" s="1"/>
  <c r="G800" i="5"/>
  <c r="I800" i="5" s="1"/>
  <c r="G757" i="5"/>
  <c r="I757" i="5" s="1"/>
  <c r="G759" i="5"/>
  <c r="I759" i="5" s="1"/>
  <c r="G724" i="5"/>
  <c r="I724" i="5" s="1"/>
  <c r="G726" i="5"/>
  <c r="I726" i="5" s="1"/>
  <c r="G709" i="5"/>
  <c r="I709" i="5" s="1"/>
  <c r="G711" i="5"/>
  <c r="I711" i="5" s="1"/>
  <c r="G716" i="5"/>
  <c r="I716" i="5" s="1"/>
  <c r="G718" i="5"/>
  <c r="I718" i="5" s="1"/>
  <c r="G691" i="5"/>
  <c r="I691" i="5" s="1"/>
  <c r="G693" i="5"/>
  <c r="I693" i="5" s="1"/>
  <c r="G704" i="5"/>
  <c r="I704" i="5" s="1"/>
  <c r="G659" i="5"/>
  <c r="I659" i="5" s="1"/>
  <c r="G661" i="5"/>
  <c r="I661" i="5" s="1"/>
  <c r="G462" i="5"/>
  <c r="I462" i="5" s="1"/>
  <c r="G464" i="5"/>
  <c r="I464" i="5" s="1"/>
  <c r="G451" i="5"/>
  <c r="I451" i="5" s="1"/>
  <c r="G443" i="5"/>
  <c r="I443" i="5" s="1"/>
  <c r="G445" i="5"/>
  <c r="I445" i="5" s="1"/>
  <c r="G447" i="5"/>
  <c r="I447" i="5" s="1"/>
  <c r="G449" i="5"/>
  <c r="I449" i="5" s="1"/>
  <c r="G436" i="5"/>
  <c r="I436" i="5" s="1"/>
  <c r="G438" i="5"/>
  <c r="I438" i="5" s="1"/>
  <c r="G428" i="5"/>
  <c r="I428" i="5" s="1"/>
  <c r="G430" i="5"/>
  <c r="I430" i="5" s="1"/>
  <c r="G280" i="5"/>
  <c r="I280" i="5" s="1"/>
  <c r="G282" i="5"/>
  <c r="I282" i="5" s="1"/>
  <c r="G249" i="5"/>
  <c r="I249" i="5" s="1"/>
  <c r="G251" i="5"/>
  <c r="I251" i="5" s="1"/>
  <c r="G296" i="5"/>
  <c r="I296" i="5" s="1"/>
  <c r="G298" i="5"/>
  <c r="I298" i="5" s="1"/>
  <c r="G267" i="5"/>
  <c r="I267" i="5" s="1"/>
  <c r="G269" i="5"/>
  <c r="I269" i="5" s="1"/>
  <c r="G235" i="5"/>
  <c r="I235" i="5" s="1"/>
  <c r="G237" i="5"/>
  <c r="I237" i="5" s="1"/>
  <c r="G54" i="5"/>
  <c r="I54" i="5" s="1"/>
  <c r="G864" i="4"/>
  <c r="I864" i="4" s="1"/>
  <c r="F1006" i="3"/>
  <c r="H1006" i="3" s="1"/>
  <c r="G467" i="5"/>
  <c r="I467" i="5" s="1"/>
  <c r="F971" i="3"/>
  <c r="H971" i="3" s="1"/>
  <c r="G860" i="4"/>
  <c r="I860" i="4" s="1"/>
  <c r="F1002" i="3"/>
  <c r="H1002" i="3" s="1"/>
  <c r="G852" i="4"/>
  <c r="I852" i="4" s="1"/>
  <c r="F994" i="3"/>
  <c r="H994" i="3" s="1"/>
  <c r="G887" i="5"/>
  <c r="I887" i="5" s="1"/>
  <c r="F988" i="3"/>
  <c r="H988" i="3" s="1"/>
  <c r="G484" i="5"/>
  <c r="F1016" i="3"/>
  <c r="H1016" i="3" s="1"/>
  <c r="F937" i="3"/>
  <c r="H937" i="3" s="1"/>
  <c r="F875" i="3"/>
  <c r="H875" i="3" s="1"/>
  <c r="F904" i="3"/>
  <c r="H904" i="3" s="1"/>
  <c r="F885" i="3"/>
  <c r="H885" i="3" s="1"/>
  <c r="G39" i="6"/>
  <c r="F939" i="3"/>
  <c r="H939" i="3" s="1"/>
  <c r="G323" i="4"/>
  <c r="I323" i="4" s="1"/>
  <c r="F715" i="3"/>
  <c r="H715" i="3" s="1"/>
  <c r="F707" i="3"/>
  <c r="H707" i="3" s="1"/>
  <c r="G326" i="4"/>
  <c r="I326" i="4" s="1"/>
  <c r="F718" i="3"/>
  <c r="H718" i="3" s="1"/>
  <c r="G329" i="4"/>
  <c r="I329" i="4" s="1"/>
  <c r="F721" i="3"/>
  <c r="H721" i="3" s="1"/>
  <c r="F748" i="3"/>
  <c r="H748" i="3" s="1"/>
  <c r="F796" i="3"/>
  <c r="G765" i="4"/>
  <c r="I765" i="4" s="1"/>
  <c r="F759" i="3"/>
  <c r="H759" i="3" s="1"/>
  <c r="G789" i="4"/>
  <c r="I789" i="4" s="1"/>
  <c r="F786" i="3"/>
  <c r="H786" i="3" s="1"/>
  <c r="G578" i="4"/>
  <c r="I578" i="4" s="1"/>
  <c r="F513" i="3"/>
  <c r="H513" i="3" s="1"/>
  <c r="G272" i="5"/>
  <c r="I272" i="5" s="1"/>
  <c r="F539" i="3"/>
  <c r="H539" i="3" s="1"/>
  <c r="G242" i="5"/>
  <c r="I242" i="5" s="1"/>
  <c r="F597" i="3"/>
  <c r="H597" i="3" s="1"/>
  <c r="F617" i="3"/>
  <c r="G740" i="4"/>
  <c r="I740" i="4" s="1"/>
  <c r="F672" i="3"/>
  <c r="H672" i="3" s="1"/>
  <c r="G228" i="5"/>
  <c r="I228" i="5" s="1"/>
  <c r="F526" i="3"/>
  <c r="H526" i="3" s="1"/>
  <c r="G658" i="4"/>
  <c r="I658" i="4" s="1"/>
  <c r="F590" i="3"/>
  <c r="H590" i="3" s="1"/>
  <c r="F600" i="3"/>
  <c r="H600" i="3" s="1"/>
  <c r="G285" i="5"/>
  <c r="I285" i="5" s="1"/>
  <c r="F613" i="3"/>
  <c r="H613" i="3" s="1"/>
  <c r="G783" i="4"/>
  <c r="F780" i="3"/>
  <c r="H780" i="3" s="1"/>
  <c r="G1072" i="4"/>
  <c r="F471" i="3"/>
  <c r="H471" i="3" s="1"/>
  <c r="G649" i="4"/>
  <c r="I649" i="4" s="1"/>
  <c r="F581" i="3"/>
  <c r="H581" i="3" s="1"/>
  <c r="G254" i="5"/>
  <c r="I254" i="5" s="1"/>
  <c r="F606" i="3"/>
  <c r="H606" i="3" s="1"/>
  <c r="G746" i="4"/>
  <c r="I746" i="4" s="1"/>
  <c r="F678" i="3"/>
  <c r="H678" i="3" s="1"/>
  <c r="G773" i="4"/>
  <c r="I773" i="4" s="1"/>
  <c r="F767" i="3"/>
  <c r="H767" i="3" s="1"/>
  <c r="G1079" i="4"/>
  <c r="I1079" i="4" s="1"/>
  <c r="F481" i="3"/>
  <c r="G584" i="4"/>
  <c r="I584" i="4" s="1"/>
  <c r="F519" i="3"/>
  <c r="H519" i="3" s="1"/>
  <c r="G290" i="5"/>
  <c r="I290" i="5" s="1"/>
  <c r="F686" i="3"/>
  <c r="H686" i="3" s="1"/>
  <c r="G771" i="4"/>
  <c r="I771" i="4" s="1"/>
  <c r="F765" i="3"/>
  <c r="H765" i="3" s="1"/>
  <c r="G787" i="4"/>
  <c r="I787" i="4" s="1"/>
  <c r="F784" i="3"/>
  <c r="H784" i="3" s="1"/>
  <c r="G1097" i="4"/>
  <c r="I1097" i="4" s="1"/>
  <c r="F494" i="3"/>
  <c r="H494" i="3" s="1"/>
  <c r="G179" i="4"/>
  <c r="I179" i="4" s="1"/>
  <c r="F243" i="3"/>
  <c r="H243" i="3" s="1"/>
  <c r="G533" i="4"/>
  <c r="F156" i="3"/>
  <c r="H156" i="3" s="1"/>
  <c r="F370" i="3"/>
  <c r="H370" i="3" s="1"/>
  <c r="F417" i="3"/>
  <c r="H417" i="3" s="1"/>
  <c r="F420" i="3"/>
  <c r="F244" i="3"/>
  <c r="H244" i="3" s="1"/>
  <c r="F237" i="3"/>
  <c r="H237" i="3" s="1"/>
  <c r="G926" i="4"/>
  <c r="I926" i="4" s="1"/>
  <c r="F325" i="3"/>
  <c r="H325" i="3" s="1"/>
  <c r="G550" i="4"/>
  <c r="I550" i="4" s="1"/>
  <c r="F328" i="3"/>
  <c r="H328" i="3" s="1"/>
  <c r="G932" i="4"/>
  <c r="I932" i="4" s="1"/>
  <c r="F331" i="3"/>
  <c r="H331" i="3" s="1"/>
  <c r="F374" i="3"/>
  <c r="F240" i="3"/>
  <c r="H240" i="3" s="1"/>
  <c r="F241" i="3"/>
  <c r="H241" i="3" s="1"/>
  <c r="G212" i="4"/>
  <c r="I212" i="4" s="1"/>
  <c r="F293" i="3"/>
  <c r="H293" i="3" s="1"/>
  <c r="F271" i="3"/>
  <c r="H271" i="3" s="1"/>
  <c r="F382" i="3"/>
  <c r="F176" i="3"/>
  <c r="H176" i="3" s="1"/>
  <c r="G76" i="4"/>
  <c r="I76" i="4" s="1"/>
  <c r="F70" i="3"/>
  <c r="H70" i="3" s="1"/>
  <c r="G78" i="4"/>
  <c r="I78" i="4" s="1"/>
  <c r="F72" i="3"/>
  <c r="H72" i="3" s="1"/>
  <c r="G86" i="4"/>
  <c r="I86" i="4" s="1"/>
  <c r="F80" i="3"/>
  <c r="H80" i="3" s="1"/>
  <c r="G81" i="4"/>
  <c r="I81" i="4" s="1"/>
  <c r="F75" i="3"/>
  <c r="H75" i="3" s="1"/>
  <c r="G83" i="4"/>
  <c r="I83" i="4" s="1"/>
  <c r="F77" i="3"/>
  <c r="H77" i="3" s="1"/>
  <c r="G1137" i="4"/>
  <c r="I1137" i="4" s="1"/>
  <c r="F109" i="3"/>
  <c r="H109" i="3" s="1"/>
  <c r="G88" i="4"/>
  <c r="I88" i="4" s="1"/>
  <c r="F82" i="3"/>
  <c r="H82" i="3" s="1"/>
  <c r="G238" i="4"/>
  <c r="I238" i="4" s="1"/>
  <c r="F673" i="3"/>
  <c r="H673" i="3" s="1"/>
  <c r="F57" i="3"/>
  <c r="H57" i="3" s="1"/>
  <c r="F345" i="3"/>
  <c r="H345" i="3" s="1"/>
  <c r="G885" i="4"/>
  <c r="I885" i="4" s="1"/>
  <c r="G983" i="4"/>
  <c r="I983" i="4" s="1"/>
  <c r="G1024" i="4"/>
  <c r="I1024" i="4" s="1"/>
  <c r="G303" i="4"/>
  <c r="I303" i="4" s="1"/>
  <c r="G458" i="4"/>
  <c r="I458" i="4" s="1"/>
  <c r="G754" i="4"/>
  <c r="I754" i="4" s="1"/>
  <c r="F242" i="3"/>
  <c r="H242" i="3" s="1"/>
  <c r="G604" i="4"/>
  <c r="I604" i="4" s="1"/>
  <c r="F950" i="3"/>
  <c r="H950" i="3" s="1"/>
  <c r="G177" i="4"/>
  <c r="I177" i="4" s="1"/>
  <c r="G210" i="4"/>
  <c r="I210" i="4" s="1"/>
  <c r="G478" i="4"/>
  <c r="G665" i="4"/>
  <c r="I665" i="4" s="1"/>
  <c r="G889" i="4"/>
  <c r="I889" i="4" s="1"/>
  <c r="G903" i="4"/>
  <c r="I903" i="4" s="1"/>
  <c r="G430" i="4"/>
  <c r="I430" i="4" s="1"/>
  <c r="G299" i="4"/>
  <c r="I299" i="4" s="1"/>
  <c r="G975" i="4"/>
  <c r="I975" i="4" s="1"/>
  <c r="F457" i="3"/>
  <c r="H457" i="3" s="1"/>
  <c r="F1008" i="3"/>
  <c r="H1008" i="3" s="1"/>
  <c r="G236" i="4"/>
  <c r="I236" i="4" s="1"/>
  <c r="G247" i="4"/>
  <c r="I247" i="4" s="1"/>
  <c r="G315" i="4"/>
  <c r="I315" i="4" s="1"/>
  <c r="G482" i="4"/>
  <c r="I482" i="4" s="1"/>
  <c r="G791" i="4"/>
  <c r="I791" i="4" s="1"/>
  <c r="G829" i="4"/>
  <c r="I829" i="4" s="1"/>
  <c r="G887" i="4"/>
  <c r="I887" i="4" s="1"/>
  <c r="F422" i="3"/>
  <c r="H422" i="3" s="1"/>
  <c r="F969" i="3"/>
  <c r="H969" i="3" s="1"/>
  <c r="F429" i="3"/>
  <c r="H429" i="3" s="1"/>
  <c r="F466" i="3"/>
  <c r="H466" i="3" s="1"/>
  <c r="F461" i="14"/>
  <c r="G461" i="14" s="1"/>
  <c r="F954" i="3"/>
  <c r="H954" i="3" s="1"/>
  <c r="G173" i="4"/>
  <c r="I173" i="4" s="1"/>
  <c r="G445" i="4"/>
  <c r="I445" i="4" s="1"/>
  <c r="G449" i="4"/>
  <c r="I449" i="4" s="1"/>
  <c r="G674" i="4"/>
  <c r="I674" i="4" s="1"/>
  <c r="G681" i="4"/>
  <c r="I681" i="4" s="1"/>
  <c r="G809" i="4"/>
  <c r="I809" i="4" s="1"/>
  <c r="G813" i="4"/>
  <c r="I813" i="4" s="1"/>
  <c r="G952" i="4"/>
  <c r="G1015" i="4"/>
  <c r="I1015" i="4" s="1"/>
  <c r="G51" i="5"/>
  <c r="I51" i="5" s="1"/>
  <c r="G355" i="4"/>
  <c r="G232" i="5"/>
  <c r="I232" i="5" s="1"/>
  <c r="G594" i="4"/>
  <c r="I594" i="4" s="1"/>
  <c r="F521" i="3"/>
  <c r="H521" i="3" s="1"/>
  <c r="G276" i="5"/>
  <c r="I276" i="5" s="1"/>
  <c r="F528" i="3"/>
  <c r="H528" i="3" s="1"/>
  <c r="G941" i="4"/>
  <c r="G934" i="5"/>
  <c r="I934" i="5" s="1"/>
  <c r="G543" i="4"/>
  <c r="I543" i="4" s="1"/>
  <c r="G733" i="4"/>
  <c r="I733" i="4" s="1"/>
  <c r="F664" i="3"/>
  <c r="H664" i="3" s="1"/>
  <c r="G862" i="4"/>
  <c r="I862" i="4" s="1"/>
  <c r="G929" i="4"/>
  <c r="I929" i="4" s="1"/>
  <c r="F48" i="3"/>
  <c r="H48" i="3" s="1"/>
  <c r="F54" i="3"/>
  <c r="H54" i="3" s="1"/>
  <c r="F601" i="3"/>
  <c r="H601" i="3" s="1"/>
  <c r="G16" i="4"/>
  <c r="I16" i="4" s="1"/>
  <c r="G525" i="5"/>
  <c r="I525" i="5" s="1"/>
  <c r="G373" i="4"/>
  <c r="I373" i="4" s="1"/>
  <c r="G67" i="5"/>
  <c r="I67" i="5" s="1"/>
  <c r="G471" i="4"/>
  <c r="I471" i="4" s="1"/>
  <c r="G149" i="5"/>
  <c r="I149" i="5" s="1"/>
  <c r="G574" i="4"/>
  <c r="I574" i="4" s="1"/>
  <c r="G607" i="4"/>
  <c r="I607" i="4" s="1"/>
  <c r="G29" i="5"/>
  <c r="I29" i="5" s="1"/>
  <c r="G132" i="4"/>
  <c r="I132" i="4" s="1"/>
  <c r="G668" i="4"/>
  <c r="I668" i="4" s="1"/>
  <c r="G246" i="5"/>
  <c r="I246" i="5" s="1"/>
  <c r="G689" i="4"/>
  <c r="I689" i="4" s="1"/>
  <c r="F592" i="3"/>
  <c r="H592" i="3" s="1"/>
  <c r="G384" i="4"/>
  <c r="I384" i="4" s="1"/>
  <c r="G833" i="4"/>
  <c r="I833" i="4" s="1"/>
  <c r="G971" i="4"/>
  <c r="I971" i="4" s="1"/>
  <c r="G1126" i="4"/>
  <c r="I1126" i="4" s="1"/>
  <c r="F37" i="3"/>
  <c r="H37" i="3" s="1"/>
  <c r="G946" i="4"/>
  <c r="I946" i="4" s="1"/>
  <c r="G960" i="4"/>
  <c r="F414" i="3"/>
  <c r="H414" i="3" s="1"/>
  <c r="G134" i="4"/>
  <c r="I134" i="4" s="1"/>
  <c r="G353" i="4"/>
  <c r="I353" i="4" s="1"/>
  <c r="G528" i="5"/>
  <c r="I528" i="5" s="1"/>
  <c r="G375" i="4"/>
  <c r="I375" i="4" s="1"/>
  <c r="F812" i="3"/>
  <c r="H812" i="3" s="1"/>
  <c r="G346" i="4"/>
  <c r="I346" i="4" s="1"/>
  <c r="G56" i="4"/>
  <c r="I56" i="4" s="1"/>
  <c r="F50" i="3"/>
  <c r="H50" i="3" s="1"/>
  <c r="G409" i="5"/>
  <c r="G170" i="4"/>
  <c r="I170" i="4" s="1"/>
  <c r="F233" i="3"/>
  <c r="H233" i="3" s="1"/>
  <c r="G301" i="4"/>
  <c r="I301" i="4" s="1"/>
  <c r="G522" i="5"/>
  <c r="I522" i="5" s="1"/>
  <c r="G371" i="4"/>
  <c r="I371" i="4" s="1"/>
  <c r="F808" i="3"/>
  <c r="H808" i="3" s="1"/>
  <c r="G382" i="4"/>
  <c r="I382" i="4" s="1"/>
  <c r="G553" i="4"/>
  <c r="F573" i="3"/>
  <c r="H573" i="3" s="1"/>
  <c r="G261" i="5"/>
  <c r="I261" i="5" s="1"/>
  <c r="G481" i="5"/>
  <c r="I481" i="5" s="1"/>
  <c r="G872" i="4"/>
  <c r="I872" i="4" s="1"/>
  <c r="G591" i="4"/>
  <c r="I591" i="4" s="1"/>
  <c r="G642" i="4"/>
  <c r="I642" i="4" s="1"/>
  <c r="G678" i="4"/>
  <c r="I678" i="4" s="1"/>
  <c r="G26" i="5"/>
  <c r="I26" i="5" s="1"/>
  <c r="G915" i="4"/>
  <c r="I915" i="4" s="1"/>
  <c r="G979" i="4"/>
  <c r="G1018" i="4"/>
  <c r="I1018" i="4" s="1"/>
  <c r="G696" i="5"/>
  <c r="I696" i="5" s="1"/>
  <c r="G846" i="4"/>
  <c r="I846" i="4" s="1"/>
  <c r="G874" i="4"/>
  <c r="I874" i="4" s="1"/>
  <c r="G917" i="4"/>
  <c r="G1020" i="4"/>
  <c r="G1030" i="4"/>
  <c r="I1030" i="4" s="1"/>
  <c r="F878" i="3"/>
  <c r="H878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F856" i="3"/>
  <c r="H856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971" i="15" l="1"/>
  <c r="H971" i="15" s="1"/>
  <c r="I1020" i="4"/>
  <c r="G552" i="4"/>
  <c r="I552" i="4" s="1"/>
  <c r="I553" i="4"/>
  <c r="F616" i="3"/>
  <c r="H617" i="3"/>
  <c r="F282" i="14"/>
  <c r="G282" i="14" s="1"/>
  <c r="H285" i="3"/>
  <c r="G198" i="4"/>
  <c r="I198" i="4" s="1"/>
  <c r="I199" i="4"/>
  <c r="G872" i="15"/>
  <c r="I917" i="4"/>
  <c r="F480" i="3"/>
  <c r="H480" i="3" s="1"/>
  <c r="H481" i="3"/>
  <c r="G34" i="6"/>
  <c r="I35" i="6"/>
  <c r="G401" i="4"/>
  <c r="I401" i="4" s="1"/>
  <c r="I402" i="4"/>
  <c r="F149" i="3"/>
  <c r="H149" i="3" s="1"/>
  <c r="H150" i="3"/>
  <c r="G930" i="15"/>
  <c r="H930" i="15" s="1"/>
  <c r="I979" i="4"/>
  <c r="G911" i="15"/>
  <c r="H911" i="15" s="1"/>
  <c r="I960" i="4"/>
  <c r="G352" i="4"/>
  <c r="I352" i="4" s="1"/>
  <c r="I355" i="4"/>
  <c r="G475" i="4"/>
  <c r="I475" i="4" s="1"/>
  <c r="I478" i="4"/>
  <c r="G780" i="4"/>
  <c r="I780" i="4" s="1"/>
  <c r="I783" i="4"/>
  <c r="F816" i="3"/>
  <c r="H817" i="3"/>
  <c r="G908" i="15"/>
  <c r="H908" i="15" s="1"/>
  <c r="I957" i="4"/>
  <c r="G138" i="16"/>
  <c r="I487" i="4"/>
  <c r="G259" i="15"/>
  <c r="I263" i="4"/>
  <c r="G153" i="4"/>
  <c r="I153" i="4" s="1"/>
  <c r="I1201" i="4" s="1"/>
  <c r="I155" i="4"/>
  <c r="G390" i="4"/>
  <c r="I390" i="4" s="1"/>
  <c r="I391" i="4"/>
  <c r="G149" i="4"/>
  <c r="I149" i="4" s="1"/>
  <c r="I150" i="4"/>
  <c r="G121" i="10"/>
  <c r="G655" i="10"/>
  <c r="G645" i="10" s="1"/>
  <c r="G940" i="4"/>
  <c r="I940" i="4" s="1"/>
  <c r="I941" i="4"/>
  <c r="F413" i="14"/>
  <c r="H420" i="3"/>
  <c r="G532" i="4"/>
  <c r="I532" i="4" s="1"/>
  <c r="I533" i="4"/>
  <c r="F543" i="3"/>
  <c r="H543" i="3" s="1"/>
  <c r="H544" i="3"/>
  <c r="G641" i="15"/>
  <c r="H641" i="15" s="1"/>
  <c r="I670" i="4"/>
  <c r="G609" i="4"/>
  <c r="I609" i="4" s="1"/>
  <c r="I610" i="4"/>
  <c r="G286" i="4"/>
  <c r="I286" i="4" s="1"/>
  <c r="I287" i="4"/>
  <c r="G903" i="15"/>
  <c r="I952" i="4"/>
  <c r="F375" i="14"/>
  <c r="G375" i="14" s="1"/>
  <c r="H382" i="3"/>
  <c r="G38" i="6"/>
  <c r="I39" i="6"/>
  <c r="G691" i="4"/>
  <c r="I691" i="4" s="1"/>
  <c r="I692" i="4"/>
  <c r="F1013" i="3"/>
  <c r="H1013" i="3" s="1"/>
  <c r="H1014" i="3"/>
  <c r="F371" i="14"/>
  <c r="G371" i="14" s="1"/>
  <c r="H378" i="3"/>
  <c r="F367" i="14"/>
  <c r="G367" i="14" s="1"/>
  <c r="H374" i="3"/>
  <c r="F795" i="3"/>
  <c r="H795" i="3" s="1"/>
  <c r="H796" i="3"/>
  <c r="G19" i="6"/>
  <c r="I20" i="6"/>
  <c r="G1080" i="15"/>
  <c r="I1130" i="4"/>
  <c r="F290" i="3"/>
  <c r="H290" i="3" s="1"/>
  <c r="H291" i="3"/>
  <c r="G985" i="15"/>
  <c r="I1034" i="4"/>
  <c r="G513" i="15"/>
  <c r="H513" i="15" s="1"/>
  <c r="I537" i="4"/>
  <c r="G228" i="4"/>
  <c r="I228" i="4" s="1"/>
  <c r="I229" i="4"/>
  <c r="G43" i="6"/>
  <c r="I44" i="6"/>
  <c r="C170" i="1"/>
  <c r="E170" i="1" s="1"/>
  <c r="E175" i="1"/>
  <c r="D18" i="13"/>
  <c r="F18" i="2"/>
  <c r="G559" i="5"/>
  <c r="I559" i="5" s="1"/>
  <c r="I558" i="5"/>
  <c r="G485" i="5"/>
  <c r="I485" i="5" s="1"/>
  <c r="I484" i="5"/>
  <c r="G405" i="5"/>
  <c r="I405" i="5" s="1"/>
  <c r="I409" i="5"/>
  <c r="G315" i="5"/>
  <c r="I315" i="5" s="1"/>
  <c r="I316" i="5"/>
  <c r="G596" i="5"/>
  <c r="I596" i="5" s="1"/>
  <c r="I597" i="5"/>
  <c r="G918" i="5"/>
  <c r="I918" i="5" s="1"/>
  <c r="I919" i="5"/>
  <c r="G222" i="5"/>
  <c r="I222" i="5" s="1"/>
  <c r="I221" i="5"/>
  <c r="G134" i="5"/>
  <c r="I135" i="5"/>
  <c r="G602" i="5"/>
  <c r="I602" i="5" s="1"/>
  <c r="I601" i="5"/>
  <c r="G674" i="5"/>
  <c r="I674" i="5" s="1"/>
  <c r="I675" i="5"/>
  <c r="G1067" i="4"/>
  <c r="I1067" i="4" s="1"/>
  <c r="I1072" i="4"/>
  <c r="G783" i="15"/>
  <c r="G782" i="15" s="1"/>
  <c r="I825" i="4"/>
  <c r="G279" i="10"/>
  <c r="G1001" i="10" s="1"/>
  <c r="G984" i="10"/>
  <c r="G1000" i="10"/>
  <c r="K1169" i="4"/>
  <c r="G1171" i="4"/>
  <c r="G1021" i="15"/>
  <c r="H1021" i="15" s="1"/>
  <c r="G1078" i="4"/>
  <c r="I1078" i="4" s="1"/>
  <c r="G282" i="4"/>
  <c r="I282" i="4" s="1"/>
  <c r="G358" i="10"/>
  <c r="G733" i="10"/>
  <c r="G725" i="10" s="1"/>
  <c r="G704" i="10" s="1"/>
  <c r="G989" i="10" s="1"/>
  <c r="G848" i="10"/>
  <c r="G847" i="10" s="1"/>
  <c r="G236" i="10"/>
  <c r="G235" i="10" s="1"/>
  <c r="G195" i="10"/>
  <c r="G1006" i="10"/>
  <c r="G900" i="10"/>
  <c r="G899" i="10" s="1"/>
  <c r="E123" i="12"/>
  <c r="G207" i="15"/>
  <c r="G1109" i="15" s="1"/>
  <c r="F181" i="3"/>
  <c r="G278" i="15"/>
  <c r="G278" i="4"/>
  <c r="I278" i="4" s="1"/>
  <c r="G219" i="16"/>
  <c r="G218" i="16" s="1"/>
  <c r="G217" i="16" s="1"/>
  <c r="G216" i="16" s="1"/>
  <c r="G990" i="10"/>
  <c r="G926" i="10"/>
  <c r="G925" i="10" s="1"/>
  <c r="G390" i="10"/>
  <c r="G994" i="10" s="1"/>
  <c r="G381" i="4"/>
  <c r="I381" i="4" s="1"/>
  <c r="G826" i="10"/>
  <c r="G800" i="10" s="1"/>
  <c r="G675" i="10"/>
  <c r="G674" i="10" s="1"/>
  <c r="G298" i="4"/>
  <c r="G30" i="10"/>
  <c r="G29" i="10" s="1"/>
  <c r="G615" i="15"/>
  <c r="F31" i="14"/>
  <c r="H32" i="14"/>
  <c r="G548" i="14"/>
  <c r="H220" i="16"/>
  <c r="H221" i="16" s="1"/>
  <c r="G501" i="14"/>
  <c r="G500" i="14" s="1"/>
  <c r="G499" i="14" s="1"/>
  <c r="F500" i="14"/>
  <c r="F499" i="14" s="1"/>
  <c r="H1080" i="15"/>
  <c r="G1069" i="15"/>
  <c r="G370" i="4"/>
  <c r="F567" i="14"/>
  <c r="F543" i="14" s="1"/>
  <c r="H252" i="16"/>
  <c r="H251" i="16" s="1"/>
  <c r="H250" i="16" s="1"/>
  <c r="H254" i="16"/>
  <c r="G770" i="4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137" i="16"/>
  <c r="G136" i="16" s="1"/>
  <c r="G135" i="16" s="1"/>
  <c r="G134" i="16" s="1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G226" i="15"/>
  <c r="G225" i="15" s="1"/>
  <c r="G227" i="4"/>
  <c r="G570" i="14"/>
  <c r="G569" i="14" s="1"/>
  <c r="G568" i="14" s="1"/>
  <c r="G87" i="16"/>
  <c r="G86" i="16" s="1"/>
  <c r="G85" i="16" s="1"/>
  <c r="G89" i="16"/>
  <c r="G912" i="4"/>
  <c r="I912" i="4" s="1"/>
  <c r="G546" i="10"/>
  <c r="G459" i="10"/>
  <c r="G995" i="10"/>
  <c r="G507" i="10"/>
  <c r="G978" i="10"/>
  <c r="G97" i="10"/>
  <c r="G56" i="10" s="1"/>
  <c r="G154" i="4"/>
  <c r="I154" i="4" s="1"/>
  <c r="G786" i="4"/>
  <c r="G1066" i="4"/>
  <c r="I1066" i="4" s="1"/>
  <c r="G429" i="4"/>
  <c r="G53" i="4"/>
  <c r="I53" i="4" s="1"/>
  <c r="H209" i="15"/>
  <c r="G288" i="14"/>
  <c r="G287" i="14" s="1"/>
  <c r="G515" i="4"/>
  <c r="I515" i="4" s="1"/>
  <c r="F241" i="14"/>
  <c r="G579" i="15"/>
  <c r="H579" i="15" s="1"/>
  <c r="G444" i="4"/>
  <c r="I444" i="4" s="1"/>
  <c r="G176" i="4"/>
  <c r="I176" i="4" s="1"/>
  <c r="G113" i="4"/>
  <c r="I113" i="4" s="1"/>
  <c r="G884" i="4"/>
  <c r="G235" i="4"/>
  <c r="I235" i="4" s="1"/>
  <c r="G859" i="4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9" i="14"/>
  <c r="G38" i="14" s="1"/>
  <c r="G37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F124" i="12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F140" i="12" s="1"/>
  <c r="G69" i="14"/>
  <c r="G68" i="14" s="1"/>
  <c r="G67" i="14" s="1"/>
  <c r="G253" i="15"/>
  <c r="G253" i="4"/>
  <c r="H725" i="16"/>
  <c r="G148" i="4"/>
  <c r="G84" i="15"/>
  <c r="E129" i="12" s="1"/>
  <c r="G74" i="15"/>
  <c r="E140" i="12" s="1"/>
  <c r="H497" i="15"/>
  <c r="F52" i="14"/>
  <c r="F51" i="14" s="1"/>
  <c r="G79" i="15"/>
  <c r="E122" i="12" s="1"/>
  <c r="F118" i="14"/>
  <c r="G633" i="4"/>
  <c r="I633" i="4" s="1"/>
  <c r="G486" i="4"/>
  <c r="I486" i="4" s="1"/>
  <c r="G337" i="4"/>
  <c r="I337" i="4" s="1"/>
  <c r="G634" i="4"/>
  <c r="I634" i="4" s="1"/>
  <c r="G557" i="5"/>
  <c r="F166" i="3"/>
  <c r="H166" i="3" s="1"/>
  <c r="F377" i="3"/>
  <c r="G311" i="5"/>
  <c r="F541" i="3"/>
  <c r="G85" i="14"/>
  <c r="G220" i="5"/>
  <c r="F151" i="3"/>
  <c r="H151" i="3" s="1"/>
  <c r="G757" i="4"/>
  <c r="I757" i="4" s="1"/>
  <c r="G565" i="4"/>
  <c r="F620" i="3"/>
  <c r="G787" i="5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F136" i="12" s="1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74" i="5"/>
  <c r="F787" i="3"/>
  <c r="H787" i="3" s="1"/>
  <c r="G672" i="16"/>
  <c r="H320" i="15"/>
  <c r="F134" i="12" s="1"/>
  <c r="G549" i="16"/>
  <c r="H323" i="15"/>
  <c r="F121" i="12" s="1"/>
  <c r="G553" i="16"/>
  <c r="G452" i="16"/>
  <c r="H67" i="16"/>
  <c r="H65" i="16"/>
  <c r="H64" i="16" s="1"/>
  <c r="H63" i="16" s="1"/>
  <c r="H62" i="16" s="1"/>
  <c r="H61" i="16" s="1"/>
  <c r="H60" i="16" s="1"/>
  <c r="H312" i="15"/>
  <c r="H514" i="16" s="1"/>
  <c r="H513" i="16" s="1"/>
  <c r="H509" i="16" s="1"/>
  <c r="H504" i="16" s="1"/>
  <c r="H503" i="16" s="1"/>
  <c r="H502" i="16" s="1"/>
  <c r="G514" i="16"/>
  <c r="H259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H903" i="15"/>
  <c r="H902" i="15" s="1"/>
  <c r="G902" i="15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D146" i="12"/>
  <c r="D145" i="12" s="1"/>
  <c r="C145" i="12"/>
  <c r="G698" i="16"/>
  <c r="G697" i="16" s="1"/>
  <c r="G696" i="16" s="1"/>
  <c r="F209" i="3"/>
  <c r="G598" i="5"/>
  <c r="I598" i="5" s="1"/>
  <c r="G821" i="5"/>
  <c r="I821" i="5" s="1"/>
  <c r="F284" i="3"/>
  <c r="H284" i="3" s="1"/>
  <c r="G713" i="5"/>
  <c r="F164" i="3"/>
  <c r="H164" i="3" s="1"/>
  <c r="G756" i="4"/>
  <c r="I756" i="4" s="1"/>
  <c r="G305" i="5"/>
  <c r="I305" i="5" s="1"/>
  <c r="G269" i="4"/>
  <c r="I269" i="4" s="1"/>
  <c r="G270" i="4"/>
  <c r="I270" i="4" s="1"/>
  <c r="G336" i="4"/>
  <c r="I336" i="4" s="1"/>
  <c r="G715" i="5"/>
  <c r="I715" i="5" s="1"/>
  <c r="G303" i="5"/>
  <c r="F116" i="3"/>
  <c r="H116" i="3" s="1"/>
  <c r="G594" i="5"/>
  <c r="I594" i="5" s="1"/>
  <c r="G592" i="5"/>
  <c r="G600" i="5"/>
  <c r="G71" i="5"/>
  <c r="I71" i="5" s="1"/>
  <c r="G55" i="5"/>
  <c r="I55" i="5" s="1"/>
  <c r="G1029" i="4"/>
  <c r="I1029" i="4" s="1"/>
  <c r="G590" i="4"/>
  <c r="G570" i="15"/>
  <c r="H570" i="15" s="1"/>
  <c r="G677" i="4"/>
  <c r="I677" i="4" s="1"/>
  <c r="G649" i="15"/>
  <c r="H649" i="15" s="1"/>
  <c r="G1201" i="4"/>
  <c r="G169" i="4"/>
  <c r="I169" i="4" s="1"/>
  <c r="G573" i="4"/>
  <c r="H892" i="15"/>
  <c r="H893" i="15"/>
  <c r="G673" i="4"/>
  <c r="I673" i="4" s="1"/>
  <c r="G246" i="4"/>
  <c r="G974" i="4"/>
  <c r="I974" i="4" s="1"/>
  <c r="G926" i="15"/>
  <c r="H926" i="15" s="1"/>
  <c r="G457" i="4"/>
  <c r="I457" i="4" s="1"/>
  <c r="G931" i="4"/>
  <c r="I931" i="4" s="1"/>
  <c r="G923" i="4"/>
  <c r="G881" i="15"/>
  <c r="H881" i="15" s="1"/>
  <c r="G641" i="4"/>
  <c r="G345" i="4"/>
  <c r="I345" i="4" s="1"/>
  <c r="G1125" i="4"/>
  <c r="G688" i="4"/>
  <c r="G732" i="4"/>
  <c r="G593" i="4"/>
  <c r="I593" i="4" s="1"/>
  <c r="G573" i="15"/>
  <c r="H573" i="15" s="1"/>
  <c r="G812" i="4"/>
  <c r="G773" i="15"/>
  <c r="H773" i="15" s="1"/>
  <c r="G664" i="4"/>
  <c r="G636" i="15"/>
  <c r="H636" i="15" s="1"/>
  <c r="G745" i="4"/>
  <c r="I745" i="4" s="1"/>
  <c r="G577" i="4"/>
  <c r="G328" i="4"/>
  <c r="I328" i="4" s="1"/>
  <c r="G851" i="4"/>
  <c r="G989" i="4"/>
  <c r="I989" i="4" s="1"/>
  <c r="G941" i="15"/>
  <c r="G386" i="4"/>
  <c r="I386" i="4" s="1"/>
  <c r="G1111" i="4"/>
  <c r="I1111" i="4" s="1"/>
  <c r="G423" i="4"/>
  <c r="I423" i="4" s="1"/>
  <c r="G202" i="4"/>
  <c r="I202" i="4" s="1"/>
  <c r="G993" i="4"/>
  <c r="I993" i="4" s="1"/>
  <c r="G945" i="15"/>
  <c r="G629" i="4"/>
  <c r="I629" i="4" s="1"/>
  <c r="G1040" i="4"/>
  <c r="I1040" i="4" s="1"/>
  <c r="G992" i="15"/>
  <c r="G985" i="4"/>
  <c r="I985" i="4" s="1"/>
  <c r="G937" i="15"/>
  <c r="G748" i="4"/>
  <c r="I748" i="4" s="1"/>
  <c r="G708" i="15"/>
  <c r="G140" i="4"/>
  <c r="I140" i="4" s="1"/>
  <c r="G62" i="4"/>
  <c r="G725" i="4"/>
  <c r="I725" i="4" s="1"/>
  <c r="G286" i="15"/>
  <c r="G285" i="15" s="1"/>
  <c r="G720" i="4"/>
  <c r="I720" i="4" s="1"/>
  <c r="G417" i="4"/>
  <c r="I417" i="4" s="1"/>
  <c r="G845" i="4"/>
  <c r="I845" i="4" s="1"/>
  <c r="G970" i="4"/>
  <c r="I970" i="4" s="1"/>
  <c r="G470" i="4"/>
  <c r="I470" i="4" s="1"/>
  <c r="G15" i="4"/>
  <c r="I15" i="4" s="1"/>
  <c r="G928" i="4"/>
  <c r="I928" i="4" s="1"/>
  <c r="G542" i="4"/>
  <c r="I542" i="4" s="1"/>
  <c r="G808" i="4"/>
  <c r="G603" i="4"/>
  <c r="I603" i="4" s="1"/>
  <c r="G753" i="4"/>
  <c r="I753" i="4" s="1"/>
  <c r="G1023" i="4"/>
  <c r="I1023" i="4" s="1"/>
  <c r="G1136" i="4"/>
  <c r="I1136" i="4" s="1"/>
  <c r="G549" i="4"/>
  <c r="I549" i="4" s="1"/>
  <c r="G657" i="4"/>
  <c r="I657" i="4" s="1"/>
  <c r="G322" i="4"/>
  <c r="I322" i="4" s="1"/>
  <c r="G832" i="4"/>
  <c r="I832" i="4" s="1"/>
  <c r="G667" i="4"/>
  <c r="G639" i="15"/>
  <c r="H639" i="15" s="1"/>
  <c r="G606" i="4"/>
  <c r="I606" i="4" s="1"/>
  <c r="G1014" i="4"/>
  <c r="I1014" i="4" s="1"/>
  <c r="G680" i="4"/>
  <c r="I680" i="4" s="1"/>
  <c r="G172" i="4"/>
  <c r="I172" i="4" s="1"/>
  <c r="G828" i="4"/>
  <c r="I828" i="4" s="1"/>
  <c r="G312" i="4"/>
  <c r="G311" i="15"/>
  <c r="H311" i="15" s="1"/>
  <c r="G902" i="4"/>
  <c r="I902" i="4" s="1"/>
  <c r="G982" i="4"/>
  <c r="I982" i="4" s="1"/>
  <c r="G934" i="15"/>
  <c r="H934" i="15" s="1"/>
  <c r="G1094" i="4"/>
  <c r="G583" i="4"/>
  <c r="I583" i="4" s="1"/>
  <c r="G648" i="4"/>
  <c r="I648" i="4" s="1"/>
  <c r="G325" i="4"/>
  <c r="I325" i="4" s="1"/>
  <c r="G159" i="5"/>
  <c r="I159" i="5" s="1"/>
  <c r="G397" i="4"/>
  <c r="I397" i="4" s="1"/>
  <c r="G144" i="4"/>
  <c r="G222" i="4"/>
  <c r="I222" i="4" s="1"/>
  <c r="G907" i="4"/>
  <c r="I907" i="4" s="1"/>
  <c r="F14" i="3"/>
  <c r="H14" i="3" s="1"/>
  <c r="G161" i="5"/>
  <c r="I161" i="5" s="1"/>
  <c r="G764" i="4"/>
  <c r="I764" i="4" s="1"/>
  <c r="G662" i="5"/>
  <c r="I662" i="5" s="1"/>
  <c r="G894" i="4"/>
  <c r="I894" i="4" s="1"/>
  <c r="G66" i="5"/>
  <c r="I66" i="5" s="1"/>
  <c r="G933" i="5"/>
  <c r="I933" i="5" s="1"/>
  <c r="G266" i="5"/>
  <c r="I266" i="5" s="1"/>
  <c r="G658" i="5"/>
  <c r="I658" i="5" s="1"/>
  <c r="G690" i="5"/>
  <c r="I690" i="5" s="1"/>
  <c r="G799" i="5"/>
  <c r="I799" i="5" s="1"/>
  <c r="G869" i="5"/>
  <c r="I869" i="5" s="1"/>
  <c r="G859" i="5"/>
  <c r="I859" i="5" s="1"/>
  <c r="G873" i="5"/>
  <c r="I873" i="5" s="1"/>
  <c r="G879" i="5"/>
  <c r="I879" i="5" s="1"/>
  <c r="G892" i="5"/>
  <c r="I892" i="5" s="1"/>
  <c r="G279" i="5"/>
  <c r="I279" i="5" s="1"/>
  <c r="G435" i="5"/>
  <c r="G442" i="5"/>
  <c r="I442" i="5" s="1"/>
  <c r="G461" i="5"/>
  <c r="I461" i="5" s="1"/>
  <c r="G595" i="5"/>
  <c r="I595" i="5" s="1"/>
  <c r="G848" i="5"/>
  <c r="I848" i="5" s="1"/>
  <c r="G864" i="5"/>
  <c r="I864" i="5" s="1"/>
  <c r="G898" i="5"/>
  <c r="I898" i="5" s="1"/>
  <c r="G756" i="5"/>
  <c r="G828" i="5"/>
  <c r="I828" i="5" s="1"/>
  <c r="G840" i="5"/>
  <c r="I840" i="5" s="1"/>
  <c r="G947" i="5"/>
  <c r="I947" i="5" s="1"/>
  <c r="G812" i="5"/>
  <c r="I812" i="5" s="1"/>
  <c r="G392" i="5"/>
  <c r="I392" i="5" s="1"/>
  <c r="G940" i="5"/>
  <c r="I940" i="5" s="1"/>
  <c r="G148" i="5"/>
  <c r="G295" i="5"/>
  <c r="G248" i="5"/>
  <c r="I248" i="5" s="1"/>
  <c r="G427" i="5"/>
  <c r="G446" i="5"/>
  <c r="I446" i="5" s="1"/>
  <c r="G450" i="5"/>
  <c r="I450" i="5" s="1"/>
  <c r="G234" i="5"/>
  <c r="I234" i="5" s="1"/>
  <c r="G708" i="5"/>
  <c r="I708" i="5" s="1"/>
  <c r="G723" i="5"/>
  <c r="I723" i="5" s="1"/>
  <c r="G832" i="5"/>
  <c r="I832" i="5" s="1"/>
  <c r="G836" i="5"/>
  <c r="I836" i="5" s="1"/>
  <c r="G917" i="5"/>
  <c r="I917" i="5" s="1"/>
  <c r="G805" i="5"/>
  <c r="I805" i="5" s="1"/>
  <c r="G161" i="4"/>
  <c r="I161" i="4" s="1"/>
  <c r="G169" i="15"/>
  <c r="F232" i="3"/>
  <c r="H232" i="3" s="1"/>
  <c r="F527" i="3"/>
  <c r="H527" i="3" s="1"/>
  <c r="F967" i="3"/>
  <c r="F74" i="3"/>
  <c r="H74" i="3" s="1"/>
  <c r="F525" i="3"/>
  <c r="H525" i="3" s="1"/>
  <c r="F938" i="3"/>
  <c r="H938" i="3" s="1"/>
  <c r="F428" i="3"/>
  <c r="H428" i="3" s="1"/>
  <c r="F685" i="3"/>
  <c r="H685" i="3" s="1"/>
  <c r="F677" i="3"/>
  <c r="H677" i="3" s="1"/>
  <c r="F612" i="3"/>
  <c r="H612" i="3" s="1"/>
  <c r="F720" i="3"/>
  <c r="H720" i="3" s="1"/>
  <c r="F1015" i="3"/>
  <c r="H1015" i="3" s="1"/>
  <c r="F198" i="3"/>
  <c r="H198" i="3" s="1"/>
  <c r="F651" i="3"/>
  <c r="H651" i="3" s="1"/>
  <c r="F424" i="3"/>
  <c r="H424" i="3" s="1"/>
  <c r="F855" i="3"/>
  <c r="H855" i="3" s="1"/>
  <c r="F877" i="3"/>
  <c r="H877" i="3" s="1"/>
  <c r="F572" i="3"/>
  <c r="F807" i="3"/>
  <c r="H807" i="3" s="1"/>
  <c r="F754" i="14"/>
  <c r="F413" i="3"/>
  <c r="H413" i="3" s="1"/>
  <c r="F53" i="3"/>
  <c r="H53" i="3" s="1"/>
  <c r="F663" i="3"/>
  <c r="F520" i="3"/>
  <c r="H520" i="3" s="1"/>
  <c r="F953" i="3"/>
  <c r="F894" i="14"/>
  <c r="F421" i="3"/>
  <c r="H421" i="3" s="1"/>
  <c r="F81" i="3"/>
  <c r="H81" i="3" s="1"/>
  <c r="F76" i="3"/>
  <c r="H76" i="3" s="1"/>
  <c r="F79" i="3"/>
  <c r="H79" i="3" s="1"/>
  <c r="F69" i="3"/>
  <c r="H69" i="3" s="1"/>
  <c r="F327" i="3"/>
  <c r="H327" i="3" s="1"/>
  <c r="F236" i="3"/>
  <c r="H236" i="3" s="1"/>
  <c r="F671" i="3"/>
  <c r="H671" i="3" s="1"/>
  <c r="F714" i="3"/>
  <c r="H714" i="3" s="1"/>
  <c r="F873" i="3"/>
  <c r="H873" i="3" s="1"/>
  <c r="F432" i="3"/>
  <c r="H432" i="3" s="1"/>
  <c r="F108" i="3"/>
  <c r="H108" i="3" s="1"/>
  <c r="F71" i="3"/>
  <c r="H71" i="3" s="1"/>
  <c r="F330" i="3"/>
  <c r="H330" i="3" s="1"/>
  <c r="F324" i="3"/>
  <c r="H324" i="3" s="1"/>
  <c r="F322" i="14"/>
  <c r="G322" i="14" s="1"/>
  <c r="F155" i="3"/>
  <c r="F49" i="3"/>
  <c r="H49" i="3" s="1"/>
  <c r="F36" i="3"/>
  <c r="H36" i="3" s="1"/>
  <c r="F591" i="3"/>
  <c r="H591" i="3" s="1"/>
  <c r="F456" i="3"/>
  <c r="H456" i="3" s="1"/>
  <c r="F56" i="3"/>
  <c r="H56" i="3" s="1"/>
  <c r="F270" i="3"/>
  <c r="H270" i="3" s="1"/>
  <c r="F416" i="3"/>
  <c r="H416" i="3" s="1"/>
  <c r="F783" i="3"/>
  <c r="H783" i="3" s="1"/>
  <c r="F477" i="3"/>
  <c r="H477" i="3" s="1"/>
  <c r="F605" i="3"/>
  <c r="H605" i="3" s="1"/>
  <c r="F470" i="3"/>
  <c r="H470" i="3" s="1"/>
  <c r="F599" i="3"/>
  <c r="H599" i="3" s="1"/>
  <c r="F596" i="3"/>
  <c r="H596" i="3" s="1"/>
  <c r="F758" i="3"/>
  <c r="H758" i="3" s="1"/>
  <c r="F706" i="3"/>
  <c r="H706" i="3" s="1"/>
  <c r="F661" i="14"/>
  <c r="G661" i="14" s="1"/>
  <c r="F903" i="3"/>
  <c r="H903" i="3" s="1"/>
  <c r="F1034" i="3"/>
  <c r="H1034" i="3" s="1"/>
  <c r="F993" i="3"/>
  <c r="H993" i="3" s="1"/>
  <c r="F1005" i="3"/>
  <c r="H1005" i="3" s="1"/>
  <c r="F216" i="3"/>
  <c r="H216" i="3" s="1"/>
  <c r="F922" i="3"/>
  <c r="H922" i="3" s="1"/>
  <c r="F212" i="3"/>
  <c r="H212" i="3" s="1"/>
  <c r="F47" i="3"/>
  <c r="H47" i="3" s="1"/>
  <c r="F949" i="3"/>
  <c r="F344" i="3"/>
  <c r="H344" i="3" s="1"/>
  <c r="F292" i="3"/>
  <c r="H292" i="3" s="1"/>
  <c r="F338" i="3"/>
  <c r="H338" i="3" s="1"/>
  <c r="G335" i="14"/>
  <c r="F493" i="3"/>
  <c r="H493" i="3" s="1"/>
  <c r="F764" i="3"/>
  <c r="H764" i="3" s="1"/>
  <c r="F766" i="3"/>
  <c r="H766" i="3" s="1"/>
  <c r="F779" i="3"/>
  <c r="F538" i="3"/>
  <c r="H538" i="3" s="1"/>
  <c r="F785" i="3"/>
  <c r="H785" i="3" s="1"/>
  <c r="F717" i="3"/>
  <c r="H717" i="3" s="1"/>
  <c r="F884" i="3"/>
  <c r="H884" i="3" s="1"/>
  <c r="F936" i="3"/>
  <c r="H936" i="3" s="1"/>
  <c r="F987" i="3"/>
  <c r="H987" i="3" s="1"/>
  <c r="F1001" i="3"/>
  <c r="H1001" i="3" s="1"/>
  <c r="F1026" i="3"/>
  <c r="H1026" i="3" s="1"/>
  <c r="F564" i="3"/>
  <c r="H564" i="3" s="1"/>
  <c r="F656" i="3"/>
  <c r="H656" i="3" s="1"/>
  <c r="F560" i="3"/>
  <c r="H560" i="3" s="1"/>
  <c r="F349" i="3"/>
  <c r="H349" i="3" s="1"/>
  <c r="F356" i="14"/>
  <c r="F202" i="3"/>
  <c r="H202" i="3" s="1"/>
  <c r="C19" i="1"/>
  <c r="C46" i="1"/>
  <c r="E46" i="1" s="1"/>
  <c r="F381" i="3"/>
  <c r="H381" i="3" s="1"/>
  <c r="G794" i="5"/>
  <c r="I794" i="5" s="1"/>
  <c r="F373" i="3"/>
  <c r="H373" i="3" s="1"/>
  <c r="G780" i="5"/>
  <c r="I780" i="5" s="1"/>
  <c r="F369" i="3"/>
  <c r="H369" i="3" s="1"/>
  <c r="G773" i="5"/>
  <c r="I773" i="5" s="1"/>
  <c r="G722" i="5"/>
  <c r="I722" i="5" s="1"/>
  <c r="G720" i="5"/>
  <c r="I720" i="5" s="1"/>
  <c r="F418" i="3"/>
  <c r="G702" i="5"/>
  <c r="I702" i="5" s="1"/>
  <c r="G886" i="5"/>
  <c r="I886" i="5" s="1"/>
  <c r="G888" i="5"/>
  <c r="I888" i="5" s="1"/>
  <c r="G695" i="5"/>
  <c r="I695" i="5" s="1"/>
  <c r="G697" i="5"/>
  <c r="I697" i="5" s="1"/>
  <c r="G521" i="5"/>
  <c r="I521" i="5" s="1"/>
  <c r="G523" i="5"/>
  <c r="I523" i="5" s="1"/>
  <c r="G524" i="5"/>
  <c r="I524" i="5" s="1"/>
  <c r="G526" i="5"/>
  <c r="I526" i="5" s="1"/>
  <c r="G527" i="5"/>
  <c r="I527" i="5" s="1"/>
  <c r="G529" i="5"/>
  <c r="I529" i="5" s="1"/>
  <c r="G483" i="5"/>
  <c r="I483" i="5" s="1"/>
  <c r="G480" i="5"/>
  <c r="I480" i="5" s="1"/>
  <c r="G482" i="5"/>
  <c r="I482" i="5" s="1"/>
  <c r="G466" i="5"/>
  <c r="I466" i="5" s="1"/>
  <c r="G468" i="5"/>
  <c r="I468" i="5" s="1"/>
  <c r="G260" i="5"/>
  <c r="I260" i="5" s="1"/>
  <c r="G262" i="5"/>
  <c r="I262" i="5" s="1"/>
  <c r="G289" i="5"/>
  <c r="I289" i="5" s="1"/>
  <c r="G291" i="5"/>
  <c r="I291" i="5" s="1"/>
  <c r="G284" i="5"/>
  <c r="I284" i="5" s="1"/>
  <c r="G286" i="5"/>
  <c r="I286" i="5" s="1"/>
  <c r="G253" i="5"/>
  <c r="I253" i="5" s="1"/>
  <c r="G255" i="5"/>
  <c r="I255" i="5" s="1"/>
  <c r="G241" i="5"/>
  <c r="I241" i="5" s="1"/>
  <c r="G243" i="5"/>
  <c r="I243" i="5" s="1"/>
  <c r="G245" i="5"/>
  <c r="I245" i="5" s="1"/>
  <c r="G247" i="5"/>
  <c r="I247" i="5" s="1"/>
  <c r="G271" i="5"/>
  <c r="I271" i="5" s="1"/>
  <c r="G273" i="5"/>
  <c r="I273" i="5" s="1"/>
  <c r="G275" i="5"/>
  <c r="I275" i="5" s="1"/>
  <c r="G277" i="5"/>
  <c r="I277" i="5" s="1"/>
  <c r="G227" i="5"/>
  <c r="I227" i="5" s="1"/>
  <c r="G229" i="5"/>
  <c r="I229" i="5" s="1"/>
  <c r="G231" i="5"/>
  <c r="I231" i="5" s="1"/>
  <c r="G233" i="5"/>
  <c r="I233" i="5" s="1"/>
  <c r="G25" i="5"/>
  <c r="I25" i="5" s="1"/>
  <c r="G27" i="5"/>
  <c r="I27" i="5" s="1"/>
  <c r="G28" i="5"/>
  <c r="I28" i="5" s="1"/>
  <c r="G30" i="5"/>
  <c r="I30" i="5" s="1"/>
  <c r="G673" i="5"/>
  <c r="I673" i="5" s="1"/>
  <c r="G739" i="4"/>
  <c r="I739" i="4" s="1"/>
  <c r="G213" i="5"/>
  <c r="I213" i="5" s="1"/>
  <c r="F580" i="3"/>
  <c r="H580" i="3" s="1"/>
  <c r="G192" i="5"/>
  <c r="I192" i="5" s="1"/>
  <c r="F512" i="3"/>
  <c r="H512" i="3" s="1"/>
  <c r="G171" i="5"/>
  <c r="I171" i="5" s="1"/>
  <c r="F518" i="3"/>
  <c r="H518" i="3" s="1"/>
  <c r="G179" i="5"/>
  <c r="I179" i="5" s="1"/>
  <c r="F589" i="3"/>
  <c r="H589" i="3" s="1"/>
  <c r="G204" i="5"/>
  <c r="I204" i="5" s="1"/>
  <c r="F747" i="3"/>
  <c r="H747" i="3" s="1"/>
  <c r="F965" i="3"/>
  <c r="H965" i="3" s="1"/>
  <c r="F1003" i="3"/>
  <c r="H1003" i="3" s="1"/>
  <c r="F1007" i="3"/>
  <c r="H1007" i="3" s="1"/>
  <c r="F239" i="3"/>
  <c r="H239" i="3" s="1"/>
  <c r="G209" i="4"/>
  <c r="I209" i="4" s="1"/>
  <c r="G85" i="4"/>
  <c r="I85" i="4" s="1"/>
  <c r="G75" i="4"/>
  <c r="I75" i="4" s="1"/>
  <c r="G951" i="4"/>
  <c r="I951" i="4" s="1"/>
  <c r="I1165" i="4" s="1"/>
  <c r="G80" i="4"/>
  <c r="I80" i="4" s="1"/>
  <c r="I985" i="10"/>
  <c r="F175" i="3"/>
  <c r="H175" i="3" s="1"/>
  <c r="F1024" i="3"/>
  <c r="H1024" i="3" s="1"/>
  <c r="G978" i="4"/>
  <c r="I978" i="4" s="1"/>
  <c r="G131" i="4"/>
  <c r="I131" i="4" s="1"/>
  <c r="G1017" i="4"/>
  <c r="I1017" i="4" s="1"/>
  <c r="G871" i="4"/>
  <c r="I871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F411" i="14" l="1"/>
  <c r="H418" i="3"/>
  <c r="F952" i="3"/>
  <c r="H952" i="3" s="1"/>
  <c r="H953" i="3"/>
  <c r="G308" i="4"/>
  <c r="I308" i="4" s="1"/>
  <c r="I312" i="4"/>
  <c r="G807" i="4"/>
  <c r="I807" i="4" s="1"/>
  <c r="I808" i="4"/>
  <c r="G850" i="4"/>
  <c r="I850" i="4" s="1"/>
  <c r="I851" i="4"/>
  <c r="G1119" i="4"/>
  <c r="I1119" i="4" s="1"/>
  <c r="I1125" i="4"/>
  <c r="G878" i="15"/>
  <c r="I923" i="4"/>
  <c r="G252" i="4"/>
  <c r="I252" i="4" s="1"/>
  <c r="I253" i="4"/>
  <c r="F180" i="3"/>
  <c r="H180" i="3" s="1"/>
  <c r="H181" i="3"/>
  <c r="F776" i="3"/>
  <c r="H779" i="3"/>
  <c r="F948" i="3"/>
  <c r="H948" i="3" s="1"/>
  <c r="H949" i="3"/>
  <c r="G146" i="15"/>
  <c r="I144" i="4"/>
  <c r="G635" i="15"/>
  <c r="I664" i="4"/>
  <c r="G245" i="4"/>
  <c r="I246" i="4"/>
  <c r="G572" i="4"/>
  <c r="I572" i="4" s="1"/>
  <c r="I573" i="4"/>
  <c r="F619" i="3"/>
  <c r="H620" i="3"/>
  <c r="F370" i="14"/>
  <c r="G370" i="14" s="1"/>
  <c r="H377" i="3"/>
  <c r="G858" i="4"/>
  <c r="I859" i="4"/>
  <c r="G428" i="4"/>
  <c r="I428" i="4" s="1"/>
  <c r="I429" i="4"/>
  <c r="G28" i="10"/>
  <c r="G769" i="4"/>
  <c r="I769" i="4" s="1"/>
  <c r="I770" i="4"/>
  <c r="G369" i="4"/>
  <c r="I369" i="4" s="1"/>
  <c r="I370" i="4"/>
  <c r="G297" i="4"/>
  <c r="I297" i="4" s="1"/>
  <c r="I298" i="4"/>
  <c r="L792" i="3"/>
  <c r="H816" i="3"/>
  <c r="G33" i="6"/>
  <c r="I34" i="6"/>
  <c r="F154" i="3"/>
  <c r="H154" i="3" s="1"/>
  <c r="H155" i="3"/>
  <c r="F662" i="3"/>
  <c r="H662" i="3" s="1"/>
  <c r="H663" i="3"/>
  <c r="F904" i="14"/>
  <c r="H967" i="3"/>
  <c r="F503" i="14"/>
  <c r="F502" i="14" s="1"/>
  <c r="I577" i="4"/>
  <c r="G731" i="4"/>
  <c r="I731" i="4" s="1"/>
  <c r="I732" i="4"/>
  <c r="G640" i="4"/>
  <c r="I640" i="4" s="1"/>
  <c r="I641" i="4"/>
  <c r="G564" i="4"/>
  <c r="I564" i="4" s="1"/>
  <c r="I565" i="4"/>
  <c r="G1200" i="4"/>
  <c r="I148" i="4"/>
  <c r="I1200" i="4" s="1"/>
  <c r="F571" i="3"/>
  <c r="H571" i="3" s="1"/>
  <c r="H572" i="3"/>
  <c r="G1093" i="4"/>
  <c r="I1093" i="4" s="1"/>
  <c r="I1094" i="4"/>
  <c r="G638" i="15"/>
  <c r="H638" i="15" s="1"/>
  <c r="I667" i="4"/>
  <c r="H64" i="15"/>
  <c r="I62" i="4"/>
  <c r="G811" i="4"/>
  <c r="I811" i="4" s="1"/>
  <c r="I812" i="4"/>
  <c r="G687" i="4"/>
  <c r="I687" i="4" s="1"/>
  <c r="I688" i="4"/>
  <c r="G569" i="15"/>
  <c r="H569" i="15" s="1"/>
  <c r="I590" i="4"/>
  <c r="F208" i="3"/>
  <c r="H208" i="3" s="1"/>
  <c r="H209" i="3"/>
  <c r="F540" i="3"/>
  <c r="H540" i="3" s="1"/>
  <c r="H541" i="3"/>
  <c r="G880" i="4"/>
  <c r="I880" i="4" s="1"/>
  <c r="I884" i="4"/>
  <c r="G785" i="4"/>
  <c r="I785" i="4" s="1"/>
  <c r="I786" i="4"/>
  <c r="G1188" i="4"/>
  <c r="I227" i="4"/>
  <c r="I1188" i="4" s="1"/>
  <c r="G42" i="6"/>
  <c r="I42" i="6" s="1"/>
  <c r="I43" i="6"/>
  <c r="G18" i="6"/>
  <c r="I19" i="6"/>
  <c r="G37" i="6"/>
  <c r="I38" i="6"/>
  <c r="I1171" i="4"/>
  <c r="F615" i="3"/>
  <c r="H616" i="3"/>
  <c r="E19" i="1"/>
  <c r="C11" i="1"/>
  <c r="G404" i="5"/>
  <c r="G147" i="5"/>
  <c r="I148" i="5"/>
  <c r="G599" i="5"/>
  <c r="I599" i="5" s="1"/>
  <c r="I600" i="5"/>
  <c r="G473" i="5"/>
  <c r="I473" i="5" s="1"/>
  <c r="I474" i="5"/>
  <c r="G553" i="5"/>
  <c r="I557" i="5"/>
  <c r="G591" i="5"/>
  <c r="I592" i="5"/>
  <c r="G788" i="5"/>
  <c r="I788" i="5" s="1"/>
  <c r="I787" i="5"/>
  <c r="G310" i="5"/>
  <c r="I310" i="5" s="1"/>
  <c r="I311" i="5"/>
  <c r="G398" i="5"/>
  <c r="I398" i="5" s="1"/>
  <c r="I404" i="5"/>
  <c r="G133" i="5"/>
  <c r="I134" i="5"/>
  <c r="G434" i="5"/>
  <c r="I434" i="5" s="1"/>
  <c r="I435" i="5"/>
  <c r="G219" i="5"/>
  <c r="I219" i="5" s="1"/>
  <c r="I220" i="5"/>
  <c r="G302" i="5"/>
  <c r="I303" i="5"/>
  <c r="G712" i="5"/>
  <c r="I712" i="5" s="1"/>
  <c r="I713" i="5"/>
  <c r="G426" i="5"/>
  <c r="I426" i="5" s="1"/>
  <c r="I427" i="5"/>
  <c r="G294" i="5"/>
  <c r="I294" i="5" s="1"/>
  <c r="I295" i="5"/>
  <c r="G755" i="5"/>
  <c r="I755" i="5" s="1"/>
  <c r="I756" i="5"/>
  <c r="H783" i="15"/>
  <c r="G784" i="10"/>
  <c r="G278" i="10"/>
  <c r="G277" i="10" s="1"/>
  <c r="G1003" i="10"/>
  <c r="G1165" i="4"/>
  <c r="G441" i="5"/>
  <c r="L1167" i="4"/>
  <c r="G763" i="4"/>
  <c r="G648" i="15"/>
  <c r="G647" i="15" s="1"/>
  <c r="G676" i="4"/>
  <c r="I676" i="4" s="1"/>
  <c r="G139" i="4"/>
  <c r="I139" i="4" s="1"/>
  <c r="F197" i="3"/>
  <c r="H197" i="3" s="1"/>
  <c r="G389" i="10"/>
  <c r="G388" i="10" s="1"/>
  <c r="G988" i="10" s="1"/>
  <c r="G506" i="10"/>
  <c r="G986" i="10" s="1"/>
  <c r="G922" i="4"/>
  <c r="I922" i="4" s="1"/>
  <c r="G208" i="4"/>
  <c r="I208" i="4" s="1"/>
  <c r="I1162" i="4" s="1"/>
  <c r="G820" i="5"/>
  <c r="I820" i="5" s="1"/>
  <c r="H100" i="16"/>
  <c r="H99" i="16" s="1"/>
  <c r="H98" i="16" s="1"/>
  <c r="H97" i="16" s="1"/>
  <c r="H278" i="15"/>
  <c r="H277" i="15" s="1"/>
  <c r="G277" i="15"/>
  <c r="G276" i="15" s="1"/>
  <c r="G275" i="15" s="1"/>
  <c r="G1009" i="10"/>
  <c r="G594" i="14"/>
  <c r="G593" i="14" s="1"/>
  <c r="G592" i="14" s="1"/>
  <c r="G591" i="14" s="1"/>
  <c r="G1013" i="4"/>
  <c r="H48" i="14"/>
  <c r="G72" i="14"/>
  <c r="F120" i="12"/>
  <c r="G644" i="4"/>
  <c r="I644" i="4" s="1"/>
  <c r="G31" i="14"/>
  <c r="I32" i="14"/>
  <c r="G576" i="4"/>
  <c r="I576" i="4" s="1"/>
  <c r="G177" i="16"/>
  <c r="H219" i="16"/>
  <c r="H218" i="16" s="1"/>
  <c r="H217" i="16" s="1"/>
  <c r="H216" i="16" s="1"/>
  <c r="F666" i="14"/>
  <c r="G321" i="4"/>
  <c r="I321" i="4" s="1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G572" i="15"/>
  <c r="H572" i="15" s="1"/>
  <c r="F510" i="14"/>
  <c r="F509" i="14" s="1"/>
  <c r="G84" i="16"/>
  <c r="G83" i="16" s="1"/>
  <c r="G70" i="16"/>
  <c r="G69" i="16" s="1"/>
  <c r="G21" i="5"/>
  <c r="I21" i="5" s="1"/>
  <c r="H84" i="15"/>
  <c r="F129" i="12" s="1"/>
  <c r="G673" i="10"/>
  <c r="F281" i="14"/>
  <c r="G281" i="14" s="1"/>
  <c r="F279" i="3"/>
  <c r="G985" i="10"/>
  <c r="G748" i="10"/>
  <c r="G839" i="15"/>
  <c r="G27" i="10"/>
  <c r="G981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68" i="4"/>
  <c r="I68" i="4" s="1"/>
  <c r="G599" i="4"/>
  <c r="I599" i="4" s="1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717" i="14"/>
  <c r="G738" i="4"/>
  <c r="I738" i="4" s="1"/>
  <c r="I1168" i="4" s="1"/>
  <c r="H183" i="15"/>
  <c r="H182" i="15" s="1"/>
  <c r="G77" i="14"/>
  <c r="H183" i="16"/>
  <c r="H182" i="16" s="1"/>
  <c r="H177" i="16" s="1"/>
  <c r="H79" i="15"/>
  <c r="F122" i="12" s="1"/>
  <c r="G52" i="4"/>
  <c r="I52" i="4" s="1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G226" i="4"/>
  <c r="I226" i="4" s="1"/>
  <c r="G168" i="4"/>
  <c r="I168" i="4" s="1"/>
  <c r="H29" i="16"/>
  <c r="G955" i="14"/>
  <c r="F955" i="14"/>
  <c r="F376" i="3"/>
  <c r="F163" i="3"/>
  <c r="H163" i="3" s="1"/>
  <c r="F146" i="3"/>
  <c r="H146" i="3" s="1"/>
  <c r="G786" i="5"/>
  <c r="G160" i="16"/>
  <c r="G312" i="5"/>
  <c r="I312" i="5" s="1"/>
  <c r="G475" i="5"/>
  <c r="I475" i="5" s="1"/>
  <c r="F115" i="3"/>
  <c r="H115" i="3" s="1"/>
  <c r="G939" i="4"/>
  <c r="H160" i="16"/>
  <c r="G514" i="4"/>
  <c r="G1196" i="4"/>
  <c r="G652" i="16"/>
  <c r="F13" i="3"/>
  <c r="G277" i="4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G589" i="4"/>
  <c r="I589" i="4" s="1"/>
  <c r="H600" i="15"/>
  <c r="H599" i="15" s="1"/>
  <c r="G600" i="15"/>
  <c r="G599" i="15" s="1"/>
  <c r="H635" i="15"/>
  <c r="G634" i="15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H878" i="15"/>
  <c r="H877" i="15" s="1"/>
  <c r="H876" i="15" s="1"/>
  <c r="H875" i="15" s="1"/>
  <c r="G877" i="15"/>
  <c r="G876" i="15" s="1"/>
  <c r="G875" i="15" s="1"/>
  <c r="G891" i="15"/>
  <c r="G890" i="15" s="1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4" i="12"/>
  <c r="D144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1000" i="3"/>
  <c r="G1118" i="4"/>
  <c r="I1118" i="4" s="1"/>
  <c r="G548" i="4"/>
  <c r="F763" i="3"/>
  <c r="G663" i="4"/>
  <c r="I663" i="4" s="1"/>
  <c r="F78" i="3"/>
  <c r="H78" i="3" s="1"/>
  <c r="G70" i="5"/>
  <c r="G158" i="5"/>
  <c r="G391" i="5"/>
  <c r="I391" i="5" s="1"/>
  <c r="G105" i="5"/>
  <c r="I105" i="5" s="1"/>
  <c r="G103" i="5"/>
  <c r="G779" i="4"/>
  <c r="G981" i="4"/>
  <c r="I981" i="4" s="1"/>
  <c r="G933" i="15"/>
  <c r="H1148" i="15"/>
  <c r="G1148" i="15"/>
  <c r="H1149" i="15"/>
  <c r="G1149" i="15"/>
  <c r="G380" i="4"/>
  <c r="G831" i="4"/>
  <c r="G469" i="4"/>
  <c r="I469" i="4" s="1"/>
  <c r="G844" i="4"/>
  <c r="I844" i="4" s="1"/>
  <c r="G214" i="4"/>
  <c r="I214" i="4" s="1"/>
  <c r="I1186" i="4" s="1"/>
  <c r="G628" i="4"/>
  <c r="I628" i="4" s="1"/>
  <c r="G1110" i="4"/>
  <c r="I1110" i="4" s="1"/>
  <c r="G344" i="4"/>
  <c r="I344" i="4" s="1"/>
  <c r="G531" i="4"/>
  <c r="I531" i="4" s="1"/>
  <c r="G870" i="4"/>
  <c r="G234" i="4"/>
  <c r="G130" i="4"/>
  <c r="I130" i="4" s="1"/>
  <c r="G977" i="4"/>
  <c r="I977" i="4" s="1"/>
  <c r="G929" i="15"/>
  <c r="G351" i="4"/>
  <c r="I351" i="4" s="1"/>
  <c r="G901" i="4"/>
  <c r="I901" i="4" s="1"/>
  <c r="G824" i="4"/>
  <c r="I824" i="4" s="1"/>
  <c r="G1136" i="15"/>
  <c r="G772" i="15"/>
  <c r="G443" i="4"/>
  <c r="F337" i="3"/>
  <c r="G175" i="4"/>
  <c r="I175" i="4" s="1"/>
  <c r="G221" i="4"/>
  <c r="I221" i="4" s="1"/>
  <c r="G1135" i="4"/>
  <c r="I1135" i="4" s="1"/>
  <c r="G752" i="4"/>
  <c r="I752" i="4" s="1"/>
  <c r="G474" i="4"/>
  <c r="G541" i="4"/>
  <c r="I541" i="4" s="1"/>
  <c r="G14" i="4"/>
  <c r="I14" i="4" s="1"/>
  <c r="G969" i="4"/>
  <c r="I969" i="4" s="1"/>
  <c r="H920" i="15"/>
  <c r="G719" i="4"/>
  <c r="I719" i="4" s="1"/>
  <c r="G724" i="4"/>
  <c r="I724" i="4" s="1"/>
  <c r="G422" i="4"/>
  <c r="I422" i="4" s="1"/>
  <c r="G456" i="4"/>
  <c r="G973" i="4"/>
  <c r="I973" i="4" s="1"/>
  <c r="G925" i="15"/>
  <c r="G112" i="4"/>
  <c r="I112" i="4" s="1"/>
  <c r="G893" i="4"/>
  <c r="I893" i="4" s="1"/>
  <c r="G868" i="5"/>
  <c r="I868" i="5" s="1"/>
  <c r="G885" i="5"/>
  <c r="I885" i="5" s="1"/>
  <c r="G939" i="5"/>
  <c r="I939" i="5" s="1"/>
  <c r="G314" i="5"/>
  <c r="G240" i="5"/>
  <c r="I240" i="5" s="1"/>
  <c r="G465" i="5"/>
  <c r="I465" i="5" s="1"/>
  <c r="G230" i="5"/>
  <c r="I230" i="5" s="1"/>
  <c r="G288" i="5"/>
  <c r="I288" i="5" s="1"/>
  <c r="G160" i="4"/>
  <c r="I160" i="4" s="1"/>
  <c r="G916" i="5"/>
  <c r="I916" i="5" s="1"/>
  <c r="G811" i="5"/>
  <c r="I811" i="5" s="1"/>
  <c r="G946" i="5"/>
  <c r="I946" i="5" s="1"/>
  <c r="G226" i="5"/>
  <c r="I226" i="5" s="1"/>
  <c r="G259" i="5"/>
  <c r="G270" i="5"/>
  <c r="I270" i="5" s="1"/>
  <c r="G863" i="5"/>
  <c r="I863" i="5" s="1"/>
  <c r="G932" i="5"/>
  <c r="I932" i="5" s="1"/>
  <c r="F46" i="3"/>
  <c r="H46" i="3" s="1"/>
  <c r="F68" i="3"/>
  <c r="H68" i="3" s="1"/>
  <c r="G274" i="5"/>
  <c r="I274" i="5" s="1"/>
  <c r="G244" i="5"/>
  <c r="I244" i="5" s="1"/>
  <c r="G252" i="5"/>
  <c r="I252" i="5" s="1"/>
  <c r="G283" i="5"/>
  <c r="G719" i="5"/>
  <c r="I719" i="5" s="1"/>
  <c r="G897" i="5"/>
  <c r="I897" i="5" s="1"/>
  <c r="G847" i="5"/>
  <c r="I847" i="5" s="1"/>
  <c r="G891" i="5"/>
  <c r="I891" i="5" s="1"/>
  <c r="G878" i="5"/>
  <c r="I878" i="5" s="1"/>
  <c r="G858" i="5"/>
  <c r="I858" i="5" s="1"/>
  <c r="G798" i="5"/>
  <c r="I798" i="5" s="1"/>
  <c r="G657" i="5"/>
  <c r="I657" i="5" s="1"/>
  <c r="G65" i="5"/>
  <c r="I65" i="5" s="1"/>
  <c r="F746" i="3"/>
  <c r="H746" i="3" s="1"/>
  <c r="F372" i="3"/>
  <c r="H372" i="3" s="1"/>
  <c r="F366" i="14"/>
  <c r="G366" i="14" s="1"/>
  <c r="F207" i="3"/>
  <c r="H207" i="3" s="1"/>
  <c r="F655" i="3"/>
  <c r="H655" i="3" s="1"/>
  <c r="F703" i="3"/>
  <c r="F660" i="14"/>
  <c r="G660" i="14" s="1"/>
  <c r="F595" i="3"/>
  <c r="H595" i="3" s="1"/>
  <c r="F235" i="3"/>
  <c r="H235" i="3" s="1"/>
  <c r="F719" i="3"/>
  <c r="H719" i="3" s="1"/>
  <c r="F676" i="3"/>
  <c r="H676" i="3" s="1"/>
  <c r="F427" i="3"/>
  <c r="H427" i="3" s="1"/>
  <c r="F415" i="3"/>
  <c r="H415" i="3" s="1"/>
  <c r="F782" i="3"/>
  <c r="H782" i="3" s="1"/>
  <c r="F935" i="3"/>
  <c r="F588" i="3"/>
  <c r="H588" i="3" s="1"/>
  <c r="F511" i="3"/>
  <c r="H511" i="3" s="1"/>
  <c r="F579" i="3"/>
  <c r="H579" i="3" s="1"/>
  <c r="F368" i="3"/>
  <c r="H368" i="3" s="1"/>
  <c r="F380" i="3"/>
  <c r="H380" i="3" s="1"/>
  <c r="F374" i="14"/>
  <c r="G374" i="14" s="1"/>
  <c r="F517" i="3"/>
  <c r="H517" i="3" s="1"/>
  <c r="F238" i="3"/>
  <c r="H238" i="3" s="1"/>
  <c r="F716" i="3"/>
  <c r="H716" i="3" s="1"/>
  <c r="F1033" i="3"/>
  <c r="H1033" i="3" s="1"/>
  <c r="F329" i="3"/>
  <c r="H329" i="3" s="1"/>
  <c r="F713" i="3"/>
  <c r="H713" i="3" s="1"/>
  <c r="F806" i="3"/>
  <c r="G275" i="14"/>
  <c r="G270" i="14" s="1"/>
  <c r="G269" i="14" s="1"/>
  <c r="F465" i="3"/>
  <c r="H465" i="3" s="1"/>
  <c r="F73" i="3"/>
  <c r="F559" i="3"/>
  <c r="H559" i="3" s="1"/>
  <c r="F986" i="3"/>
  <c r="H986" i="3" s="1"/>
  <c r="F883" i="3"/>
  <c r="H883" i="3" s="1"/>
  <c r="F537" i="3"/>
  <c r="H537" i="3" s="1"/>
  <c r="F490" i="3"/>
  <c r="H490" i="3" s="1"/>
  <c r="F289" i="3"/>
  <c r="H289" i="3" s="1"/>
  <c r="F211" i="3"/>
  <c r="H211" i="3" s="1"/>
  <c r="F992" i="3"/>
  <c r="H992" i="3" s="1"/>
  <c r="F902" i="3"/>
  <c r="H902" i="3" s="1"/>
  <c r="F757" i="3"/>
  <c r="F598" i="3"/>
  <c r="H598" i="3" s="1"/>
  <c r="F604" i="3"/>
  <c r="H604" i="3" s="1"/>
  <c r="F269" i="3"/>
  <c r="H269" i="3" s="1"/>
  <c r="F55" i="3"/>
  <c r="H55" i="3" s="1"/>
  <c r="F455" i="3"/>
  <c r="H455" i="3" s="1"/>
  <c r="F35" i="3"/>
  <c r="F321" i="3"/>
  <c r="H321" i="3" s="1"/>
  <c r="F321" i="14"/>
  <c r="G321" i="14" s="1"/>
  <c r="F107" i="3"/>
  <c r="H107" i="3" s="1"/>
  <c r="F870" i="3"/>
  <c r="H870" i="3" s="1"/>
  <c r="F670" i="3"/>
  <c r="H670" i="3" s="1"/>
  <c r="F326" i="3"/>
  <c r="H326" i="3" s="1"/>
  <c r="F893" i="14"/>
  <c r="F412" i="3"/>
  <c r="H412" i="3" s="1"/>
  <c r="F854" i="3"/>
  <c r="H854" i="3" s="1"/>
  <c r="F650" i="3"/>
  <c r="H650" i="3" s="1"/>
  <c r="F1012" i="3"/>
  <c r="H1012" i="3" s="1"/>
  <c r="F611" i="3"/>
  <c r="H611" i="3" s="1"/>
  <c r="F684" i="3"/>
  <c r="H684" i="3" s="1"/>
  <c r="F524" i="3"/>
  <c r="H524" i="3" s="1"/>
  <c r="G781" i="5"/>
  <c r="I781" i="5" s="1"/>
  <c r="G779" i="5"/>
  <c r="I779" i="5" s="1"/>
  <c r="G703" i="5"/>
  <c r="I703" i="5" s="1"/>
  <c r="G701" i="5"/>
  <c r="I701" i="5" s="1"/>
  <c r="G774" i="5"/>
  <c r="I774" i="5" s="1"/>
  <c r="G772" i="5"/>
  <c r="I772" i="5" s="1"/>
  <c r="G795" i="5"/>
  <c r="I795" i="5" s="1"/>
  <c r="G793" i="5"/>
  <c r="I793" i="5" s="1"/>
  <c r="G479" i="5"/>
  <c r="I479" i="5" s="1"/>
  <c r="G520" i="5"/>
  <c r="G390" i="5"/>
  <c r="I390" i="5" s="1"/>
  <c r="G212" i="5"/>
  <c r="I212" i="5" s="1"/>
  <c r="G214" i="5"/>
  <c r="I214" i="5" s="1"/>
  <c r="G191" i="5"/>
  <c r="I191" i="5" s="1"/>
  <c r="G193" i="5"/>
  <c r="I193" i="5" s="1"/>
  <c r="G203" i="5"/>
  <c r="I203" i="5" s="1"/>
  <c r="G205" i="5"/>
  <c r="I205" i="5" s="1"/>
  <c r="G178" i="5"/>
  <c r="I178" i="5" s="1"/>
  <c r="G180" i="5"/>
  <c r="I180" i="5" s="1"/>
  <c r="G170" i="5"/>
  <c r="I170" i="5" s="1"/>
  <c r="G172" i="5"/>
  <c r="I172" i="5" s="1"/>
  <c r="G48" i="5"/>
  <c r="I48" i="5" s="1"/>
  <c r="G50" i="5"/>
  <c r="I50" i="5" s="1"/>
  <c r="G804" i="5"/>
  <c r="I804" i="5" s="1"/>
  <c r="G34" i="5"/>
  <c r="I34" i="5" s="1"/>
  <c r="F1021" i="3"/>
  <c r="H1021" i="3" s="1"/>
  <c r="F174" i="3"/>
  <c r="G911" i="4"/>
  <c r="I911" i="4" s="1"/>
  <c r="G906" i="4"/>
  <c r="I988" i="10"/>
  <c r="I989" i="10"/>
  <c r="I987" i="10"/>
  <c r="G534" i="11"/>
  <c r="G220" i="10" l="1"/>
  <c r="I1192" i="4"/>
  <c r="F29" i="3"/>
  <c r="H29" i="3" s="1"/>
  <c r="H35" i="3"/>
  <c r="F63" i="14"/>
  <c r="H73" i="3"/>
  <c r="L891" i="3"/>
  <c r="H935" i="3"/>
  <c r="G455" i="4"/>
  <c r="I455" i="4" s="1"/>
  <c r="I456" i="4"/>
  <c r="G473" i="4"/>
  <c r="I473" i="4" s="1"/>
  <c r="I474" i="4"/>
  <c r="G869" i="4"/>
  <c r="I869" i="4" s="1"/>
  <c r="I870" i="4"/>
  <c r="G1177" i="4"/>
  <c r="I831" i="4"/>
  <c r="I1177" i="4" s="1"/>
  <c r="G778" i="4"/>
  <c r="I778" i="4" s="1"/>
  <c r="I779" i="4"/>
  <c r="F762" i="3"/>
  <c r="H762" i="3" s="1"/>
  <c r="H763" i="3"/>
  <c r="F12" i="3"/>
  <c r="H13" i="3"/>
  <c r="I18" i="6"/>
  <c r="G32" i="6"/>
  <c r="I33" i="6"/>
  <c r="G563" i="4"/>
  <c r="I563" i="4" s="1"/>
  <c r="F699" i="3"/>
  <c r="H699" i="3" s="1"/>
  <c r="H703" i="3"/>
  <c r="F336" i="3"/>
  <c r="H336" i="3" s="1"/>
  <c r="H337" i="3"/>
  <c r="G368" i="4"/>
  <c r="I368" i="4" s="1"/>
  <c r="I380" i="4"/>
  <c r="G547" i="4"/>
  <c r="I547" i="4" s="1"/>
  <c r="I548" i="4"/>
  <c r="G938" i="4"/>
  <c r="I938" i="4" s="1"/>
  <c r="I939" i="4"/>
  <c r="F375" i="3"/>
  <c r="H375" i="3" s="1"/>
  <c r="H376" i="3"/>
  <c r="G590" i="5"/>
  <c r="G589" i="5" s="1"/>
  <c r="G857" i="4"/>
  <c r="I857" i="4" s="1"/>
  <c r="I858" i="4"/>
  <c r="F618" i="3"/>
  <c r="H618" i="3" s="1"/>
  <c r="H619" i="3"/>
  <c r="G244" i="4"/>
  <c r="I244" i="4" s="1"/>
  <c r="I245" i="4"/>
  <c r="F772" i="3"/>
  <c r="H772" i="3" s="1"/>
  <c r="H776" i="3"/>
  <c r="I1196" i="4"/>
  <c r="G1183" i="4"/>
  <c r="I906" i="4"/>
  <c r="I1183" i="4" s="1"/>
  <c r="F173" i="3"/>
  <c r="H173" i="3" s="1"/>
  <c r="H174" i="3"/>
  <c r="F756" i="3"/>
  <c r="H756" i="3" s="1"/>
  <c r="H757" i="3"/>
  <c r="G438" i="4"/>
  <c r="I438" i="4" s="1"/>
  <c r="I443" i="4"/>
  <c r="G762" i="4"/>
  <c r="I762" i="4" s="1"/>
  <c r="I763" i="4"/>
  <c r="G36" i="6"/>
  <c r="I36" i="6" s="1"/>
  <c r="I37" i="6"/>
  <c r="F794" i="3"/>
  <c r="H794" i="3" s="1"/>
  <c r="H806" i="3"/>
  <c r="F206" i="3"/>
  <c r="H206" i="3" s="1"/>
  <c r="I1155" i="4"/>
  <c r="G1174" i="4"/>
  <c r="I234" i="4"/>
  <c r="I1174" i="4" s="1"/>
  <c r="F999" i="3"/>
  <c r="H1000" i="3"/>
  <c r="H634" i="15"/>
  <c r="G276" i="4"/>
  <c r="I276" i="4" s="1"/>
  <c r="I277" i="4"/>
  <c r="G513" i="4"/>
  <c r="I513" i="4" s="1"/>
  <c r="I514" i="4"/>
  <c r="F278" i="3"/>
  <c r="H278" i="3" s="1"/>
  <c r="H279" i="3"/>
  <c r="G1008" i="4"/>
  <c r="I1013" i="4"/>
  <c r="G1077" i="4"/>
  <c r="I1077" i="4" s="1"/>
  <c r="F614" i="3"/>
  <c r="H614" i="3" s="1"/>
  <c r="H615" i="3"/>
  <c r="C187" i="1"/>
  <c r="E11" i="1"/>
  <c r="G472" i="5"/>
  <c r="I472" i="5" s="1"/>
  <c r="G309" i="5"/>
  <c r="G308" i="5" s="1"/>
  <c r="I308" i="5" s="1"/>
  <c r="G519" i="5"/>
  <c r="I519" i="5" s="1"/>
  <c r="I520" i="5"/>
  <c r="G69" i="5"/>
  <c r="I69" i="5" s="1"/>
  <c r="I70" i="5"/>
  <c r="G258" i="5"/>
  <c r="I258" i="5" s="1"/>
  <c r="I259" i="5"/>
  <c r="G785" i="5"/>
  <c r="I785" i="5" s="1"/>
  <c r="I786" i="5"/>
  <c r="I590" i="5"/>
  <c r="G301" i="5"/>
  <c r="I301" i="5" s="1"/>
  <c r="I302" i="5"/>
  <c r="G549" i="5"/>
  <c r="I553" i="5"/>
  <c r="G440" i="5"/>
  <c r="I441" i="5"/>
  <c r="G102" i="5"/>
  <c r="I103" i="5"/>
  <c r="G278" i="5"/>
  <c r="I278" i="5" s="1"/>
  <c r="I283" i="5"/>
  <c r="G313" i="5"/>
  <c r="I313" i="5" s="1"/>
  <c r="I314" i="5"/>
  <c r="G157" i="5"/>
  <c r="I157" i="5" s="1"/>
  <c r="I158" i="5"/>
  <c r="G132" i="5"/>
  <c r="I133" i="5"/>
  <c r="J591" i="5"/>
  <c r="I591" i="5"/>
  <c r="G146" i="5"/>
  <c r="I146" i="5" s="1"/>
  <c r="I147" i="5"/>
  <c r="G987" i="10"/>
  <c r="G991" i="10" s="1"/>
  <c r="G498" i="10"/>
  <c r="G975" i="10" s="1"/>
  <c r="G977" i="10" s="1"/>
  <c r="G1148" i="4"/>
  <c r="G1168" i="4"/>
  <c r="G1155" i="4"/>
  <c r="L317" i="3"/>
  <c r="F453" i="3"/>
  <c r="H453" i="3" s="1"/>
  <c r="H648" i="15"/>
  <c r="H647" i="15" s="1"/>
  <c r="K1168" i="4"/>
  <c r="G806" i="4"/>
  <c r="I806" i="4" s="1"/>
  <c r="I1190" i="4" s="1"/>
  <c r="K1171" i="4"/>
  <c r="K1166" i="4"/>
  <c r="G1162" i="4"/>
  <c r="K1164" i="4"/>
  <c r="G571" i="4"/>
  <c r="I571" i="4" s="1"/>
  <c r="G639" i="4"/>
  <c r="F320" i="3"/>
  <c r="H320" i="3" s="1"/>
  <c r="H30" i="16"/>
  <c r="F123" i="12"/>
  <c r="H207" i="15"/>
  <c r="H1109" i="15" s="1"/>
  <c r="G1140" i="15"/>
  <c r="G730" i="4"/>
  <c r="I730" i="4" s="1"/>
  <c r="H1140" i="15"/>
  <c r="F10" i="14"/>
  <c r="D12" i="13" s="1"/>
  <c r="G543" i="14"/>
  <c r="G542" i="14" s="1"/>
  <c r="G610" i="15"/>
  <c r="G609" i="15" s="1"/>
  <c r="F542" i="14"/>
  <c r="D34" i="13" s="1"/>
  <c r="F411" i="3"/>
  <c r="G1192" i="4"/>
  <c r="G647" i="16"/>
  <c r="G646" i="16" s="1"/>
  <c r="G645" i="16" s="1"/>
  <c r="G644" i="16" s="1"/>
  <c r="H959" i="15"/>
  <c r="G959" i="15"/>
  <c r="G570" i="4"/>
  <c r="I570" i="4" s="1"/>
  <c r="G12" i="14"/>
  <c r="G11" i="14" s="1"/>
  <c r="G10" i="14" s="1"/>
  <c r="E12" i="13" s="1"/>
  <c r="F162" i="3"/>
  <c r="H162" i="3" s="1"/>
  <c r="H64" i="14"/>
  <c r="H215" i="16"/>
  <c r="F575" i="3"/>
  <c r="H575" i="3" s="1"/>
  <c r="G568" i="15"/>
  <c r="H1112" i="15"/>
  <c r="G367" i="4"/>
  <c r="I367" i="4" s="1"/>
  <c r="H276" i="15"/>
  <c r="H275" i="15" s="1"/>
  <c r="H274" i="15" s="1"/>
  <c r="H273" i="15" s="1"/>
  <c r="G296" i="4"/>
  <c r="H568" i="15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21" i="15"/>
  <c r="G720" i="15" s="1"/>
  <c r="H70" i="15"/>
  <c r="G51" i="4"/>
  <c r="H839" i="15"/>
  <c r="H835" i="15" s="1"/>
  <c r="H834" i="15" s="1"/>
  <c r="H833" i="15" s="1"/>
  <c r="H832" i="15" s="1"/>
  <c r="H444" i="16"/>
  <c r="H443" i="16" s="1"/>
  <c r="H442" i="16" s="1"/>
  <c r="H441" i="16" s="1"/>
  <c r="H440" i="16" s="1"/>
  <c r="H556" i="16"/>
  <c r="H555" i="16" s="1"/>
  <c r="H548" i="16"/>
  <c r="H547" i="16" s="1"/>
  <c r="G343" i="4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155" i="16"/>
  <c r="H154" i="16" s="1"/>
  <c r="H153" i="16" s="1"/>
  <c r="H142" i="16" s="1"/>
  <c r="H141" i="16" s="1"/>
  <c r="H860" i="16"/>
  <c r="G233" i="4"/>
  <c r="H451" i="16"/>
  <c r="H450" i="16" s="1"/>
  <c r="H449" i="16" s="1"/>
  <c r="H448" i="16" s="1"/>
  <c r="H447" i="16" s="1"/>
  <c r="G167" i="4"/>
  <c r="G197" i="4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61" i="3"/>
  <c r="G207" i="4"/>
  <c r="F369" i="14"/>
  <c r="F368" i="14" s="1"/>
  <c r="F47" i="14"/>
  <c r="F142" i="3"/>
  <c r="H142" i="3" s="1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921" i="4"/>
  <c r="G849" i="4"/>
  <c r="I849" i="4" s="1"/>
  <c r="G819" i="5"/>
  <c r="G225" i="5"/>
  <c r="I225" i="5" s="1"/>
  <c r="G111" i="4"/>
  <c r="I111" i="4" s="1"/>
  <c r="G220" i="4"/>
  <c r="I220" i="4" s="1"/>
  <c r="G968" i="4"/>
  <c r="G275" i="4"/>
  <c r="I275" i="4" s="1"/>
  <c r="H1131" i="15"/>
  <c r="G1131" i="15"/>
  <c r="G13" i="4"/>
  <c r="G1134" i="4"/>
  <c r="I1134" i="4" s="1"/>
  <c r="G512" i="4"/>
  <c r="I512" i="4" s="1"/>
  <c r="G129" i="4"/>
  <c r="G530" i="4"/>
  <c r="I530" i="4" s="1"/>
  <c r="G1109" i="4"/>
  <c r="I1109" i="4" s="1"/>
  <c r="G1186" i="4"/>
  <c r="G843" i="4"/>
  <c r="G546" i="4"/>
  <c r="I546" i="4" s="1"/>
  <c r="G1117" i="4"/>
  <c r="I1117" i="4" s="1"/>
  <c r="G1065" i="4"/>
  <c r="I1065" i="4" s="1"/>
  <c r="G540" i="4"/>
  <c r="I540" i="4" s="1"/>
  <c r="I1199" i="4" s="1"/>
  <c r="G900" i="4"/>
  <c r="I900" i="4" s="1"/>
  <c r="G468" i="4"/>
  <c r="G768" i="4"/>
  <c r="I768" i="4" s="1"/>
  <c r="G1198" i="4"/>
  <c r="G797" i="5"/>
  <c r="G879" i="4"/>
  <c r="I879" i="4" s="1"/>
  <c r="G892" i="4"/>
  <c r="I892" i="4" s="1"/>
  <c r="F510" i="3"/>
  <c r="H510" i="3" s="1"/>
  <c r="G239" i="5"/>
  <c r="I239" i="5" s="1"/>
  <c r="G803" i="5"/>
  <c r="I803" i="5" s="1"/>
  <c r="G169" i="5"/>
  <c r="I169" i="5" s="1"/>
  <c r="G202" i="5"/>
  <c r="I202" i="5" s="1"/>
  <c r="G211" i="5"/>
  <c r="G478" i="5"/>
  <c r="I478" i="5" s="1"/>
  <c r="G896" i="5"/>
  <c r="I896" i="5" s="1"/>
  <c r="G884" i="5"/>
  <c r="I884" i="5" s="1"/>
  <c r="G771" i="5"/>
  <c r="I771" i="5" s="1"/>
  <c r="G778" i="5"/>
  <c r="I778" i="5" s="1"/>
  <c r="G857" i="5"/>
  <c r="I857" i="5" s="1"/>
  <c r="G810" i="5"/>
  <c r="I810" i="5" s="1"/>
  <c r="G792" i="5"/>
  <c r="I792" i="5" s="1"/>
  <c r="G694" i="5"/>
  <c r="G931" i="5"/>
  <c r="I931" i="5" s="1"/>
  <c r="G944" i="5"/>
  <c r="I944" i="5" s="1"/>
  <c r="G945" i="5"/>
  <c r="I945" i="5" s="1"/>
  <c r="G293" i="5"/>
  <c r="I293" i="5" s="1"/>
  <c r="G159" i="4"/>
  <c r="I159" i="4" s="1"/>
  <c r="G656" i="5"/>
  <c r="G894" i="5"/>
  <c r="I894" i="5" s="1"/>
  <c r="G890" i="5"/>
  <c r="I890" i="5" s="1"/>
  <c r="G425" i="5"/>
  <c r="I425" i="5" s="1"/>
  <c r="G287" i="5"/>
  <c r="I287" i="5" s="1"/>
  <c r="G938" i="5"/>
  <c r="I938" i="5" s="1"/>
  <c r="G20" i="5"/>
  <c r="I20" i="5" s="1"/>
  <c r="G915" i="5"/>
  <c r="I915" i="5" s="1"/>
  <c r="G177" i="5"/>
  <c r="I177" i="5" s="1"/>
  <c r="G190" i="5"/>
  <c r="I190" i="5" s="1"/>
  <c r="G265" i="5"/>
  <c r="I265" i="5" s="1"/>
  <c r="G64" i="5"/>
  <c r="I64" i="5" s="1"/>
  <c r="G877" i="5"/>
  <c r="I877" i="5" s="1"/>
  <c r="G846" i="5"/>
  <c r="I846" i="5" s="1"/>
  <c r="G471" i="5"/>
  <c r="I471" i="5" s="1"/>
  <c r="G784" i="5"/>
  <c r="I784" i="5" s="1"/>
  <c r="G502" i="5"/>
  <c r="G460" i="5"/>
  <c r="I460" i="5" s="1"/>
  <c r="F934" i="3"/>
  <c r="H934" i="3" s="1"/>
  <c r="F476" i="3"/>
  <c r="H476" i="3" s="1"/>
  <c r="F683" i="3"/>
  <c r="H683" i="3" s="1"/>
  <c r="F1011" i="3"/>
  <c r="F318" i="14"/>
  <c r="H7" i="14" s="1"/>
  <c r="F755" i="3"/>
  <c r="H755" i="3" s="1"/>
  <c r="F991" i="3"/>
  <c r="H991" i="3" s="1"/>
  <c r="F288" i="3"/>
  <c r="F985" i="3"/>
  <c r="H985" i="3" s="1"/>
  <c r="F273" i="3"/>
  <c r="H273" i="3" s="1"/>
  <c r="F1032" i="3"/>
  <c r="H1032" i="3" s="1"/>
  <c r="F712" i="3"/>
  <c r="F761" i="3"/>
  <c r="H761" i="3" s="1"/>
  <c r="F379" i="3"/>
  <c r="H379" i="3" s="1"/>
  <c r="F373" i="14"/>
  <c r="F781" i="3"/>
  <c r="H781" i="3" s="1"/>
  <c r="F371" i="3"/>
  <c r="H371" i="3" s="1"/>
  <c r="F365" i="14"/>
  <c r="F745" i="3"/>
  <c r="H745" i="3" s="1"/>
  <c r="F669" i="3"/>
  <c r="H669" i="3" s="1"/>
  <c r="F153" i="3"/>
  <c r="H153" i="3" s="1"/>
  <c r="F594" i="3"/>
  <c r="H594" i="3" s="1"/>
  <c r="F231" i="3"/>
  <c r="H231" i="3" s="1"/>
  <c r="F533" i="3"/>
  <c r="H533" i="3" s="1"/>
  <c r="F523" i="3"/>
  <c r="H523" i="3" s="1"/>
  <c r="F607" i="3"/>
  <c r="H607" i="3" s="1"/>
  <c r="F624" i="3"/>
  <c r="H624" i="3" s="1"/>
  <c r="F869" i="3"/>
  <c r="F106" i="3"/>
  <c r="H106" i="3" s="1"/>
  <c r="F108" i="14"/>
  <c r="F454" i="3"/>
  <c r="H454" i="3" s="1"/>
  <c r="F268" i="3"/>
  <c r="H268" i="3" s="1"/>
  <c r="F901" i="3"/>
  <c r="H901" i="3" s="1"/>
  <c r="F489" i="3"/>
  <c r="H489" i="3" s="1"/>
  <c r="F882" i="3"/>
  <c r="H882" i="3" s="1"/>
  <c r="F464" i="3"/>
  <c r="H464" i="3" s="1"/>
  <c r="F45" i="3"/>
  <c r="H45" i="3" s="1"/>
  <c r="F367" i="3"/>
  <c r="H367" i="3" s="1"/>
  <c r="G33" i="5"/>
  <c r="I33" i="5" s="1"/>
  <c r="G47" i="5"/>
  <c r="I47" i="5" s="1"/>
  <c r="G12" i="5"/>
  <c r="I12" i="5" s="1"/>
  <c r="F1020" i="3"/>
  <c r="H1020" i="3" s="1"/>
  <c r="I981" i="10"/>
  <c r="G905" i="4"/>
  <c r="I905" i="4" s="1"/>
  <c r="G128" i="4" l="1"/>
  <c r="I128" i="4" s="1"/>
  <c r="I129" i="4"/>
  <c r="F864" i="3"/>
  <c r="H864" i="3" s="1"/>
  <c r="H869" i="3"/>
  <c r="F687" i="3"/>
  <c r="H687" i="3" s="1"/>
  <c r="H712" i="3"/>
  <c r="L255" i="3"/>
  <c r="H288" i="3"/>
  <c r="F1010" i="3"/>
  <c r="H1010" i="3" s="1"/>
  <c r="H1011" i="3"/>
  <c r="G467" i="4"/>
  <c r="I467" i="4" s="1"/>
  <c r="I468" i="4"/>
  <c r="G295" i="4"/>
  <c r="I295" i="4" s="1"/>
  <c r="I296" i="4"/>
  <c r="F998" i="3"/>
  <c r="H998" i="3" s="1"/>
  <c r="H999" i="3"/>
  <c r="G31" i="6"/>
  <c r="I32" i="6"/>
  <c r="G12" i="4"/>
  <c r="I12" i="4" s="1"/>
  <c r="I13" i="4"/>
  <c r="G937" i="4"/>
  <c r="I937" i="4" s="1"/>
  <c r="I968" i="4"/>
  <c r="I1195" i="4" s="1"/>
  <c r="H1104" i="15"/>
  <c r="G232" i="4"/>
  <c r="I233" i="4"/>
  <c r="G342" i="4"/>
  <c r="I342" i="4" s="1"/>
  <c r="I343" i="4"/>
  <c r="I309" i="5"/>
  <c r="I1148" i="4"/>
  <c r="I1191" i="4"/>
  <c r="F11" i="3"/>
  <c r="H11" i="3" s="1"/>
  <c r="H12" i="3"/>
  <c r="G1197" i="4"/>
  <c r="I843" i="4"/>
  <c r="I1197" i="4" s="1"/>
  <c r="G206" i="4"/>
  <c r="I206" i="4" s="1"/>
  <c r="I207" i="4"/>
  <c r="G196" i="4"/>
  <c r="I196" i="4" s="1"/>
  <c r="I197" i="4"/>
  <c r="I1194" i="4" s="1"/>
  <c r="G562" i="4"/>
  <c r="I562" i="4" s="1"/>
  <c r="G920" i="4"/>
  <c r="I920" i="4" s="1"/>
  <c r="I921" i="4"/>
  <c r="G295" i="15"/>
  <c r="G294" i="15" s="1"/>
  <c r="L10" i="3"/>
  <c r="H61" i="3"/>
  <c r="G166" i="4"/>
  <c r="I166" i="4" s="1"/>
  <c r="I167" i="4"/>
  <c r="G50" i="4"/>
  <c r="I50" i="4" s="1"/>
  <c r="I51" i="4"/>
  <c r="G638" i="4"/>
  <c r="I638" i="4" s="1"/>
  <c r="I639" i="4"/>
  <c r="I1185" i="4" s="1"/>
  <c r="H610" i="15"/>
  <c r="H609" i="15" s="1"/>
  <c r="G1193" i="4"/>
  <c r="I1008" i="4"/>
  <c r="I1193" i="4" s="1"/>
  <c r="I1181" i="4"/>
  <c r="G649" i="5"/>
  <c r="I656" i="5"/>
  <c r="G818" i="5"/>
  <c r="I818" i="5" s="1"/>
  <c r="I819" i="5"/>
  <c r="G131" i="5"/>
  <c r="I132" i="5"/>
  <c r="G439" i="5"/>
  <c r="I439" i="5" s="1"/>
  <c r="I440" i="5"/>
  <c r="G689" i="5"/>
  <c r="I694" i="5"/>
  <c r="G257" i="5"/>
  <c r="I257" i="5" s="1"/>
  <c r="I502" i="5"/>
  <c r="G796" i="5"/>
  <c r="I796" i="5" s="1"/>
  <c r="I797" i="5"/>
  <c r="G210" i="5"/>
  <c r="I210" i="5" s="1"/>
  <c r="I211" i="5"/>
  <c r="G145" i="5"/>
  <c r="I145" i="5" s="1"/>
  <c r="G101" i="5"/>
  <c r="I101" i="5" s="1"/>
  <c r="I102" i="5"/>
  <c r="I549" i="5"/>
  <c r="G548" i="5"/>
  <c r="G588" i="5"/>
  <c r="I588" i="5" s="1"/>
  <c r="I589" i="5"/>
  <c r="F406" i="3"/>
  <c r="H406" i="3" s="1"/>
  <c r="H411" i="3"/>
  <c r="L1168" i="4"/>
  <c r="G1181" i="4"/>
  <c r="F505" i="3"/>
  <c r="H505" i="3" s="1"/>
  <c r="G1115" i="15"/>
  <c r="G766" i="15"/>
  <c r="G765" i="15" s="1"/>
  <c r="G1124" i="15"/>
  <c r="H1097" i="15"/>
  <c r="G1097" i="15"/>
  <c r="G359" i="15"/>
  <c r="F661" i="3"/>
  <c r="G140" i="16"/>
  <c r="I13" i="14"/>
  <c r="I64" i="14"/>
  <c r="G168" i="5"/>
  <c r="I168" i="5" s="1"/>
  <c r="G185" i="5"/>
  <c r="I185" i="5" s="1"/>
  <c r="G550" i="15"/>
  <c r="G549" i="15" s="1"/>
  <c r="G53" i="15"/>
  <c r="G52" i="15" s="1"/>
  <c r="G32" i="15" s="1"/>
  <c r="G1191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64" i="5"/>
  <c r="I264" i="5" s="1"/>
  <c r="H721" i="15"/>
  <c r="H720" i="15" s="1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194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29" i="4"/>
  <c r="I529" i="4" s="1"/>
  <c r="G369" i="14"/>
  <c r="G368" i="14" s="1"/>
  <c r="G805" i="4"/>
  <c r="I805" i="4" s="1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318" i="14"/>
  <c r="G317" i="14" s="1"/>
  <c r="G316" i="14" s="1"/>
  <c r="G315" i="14" s="1"/>
  <c r="E28" i="13" s="1"/>
  <c r="F317" i="14"/>
  <c r="F316" i="14" s="1"/>
  <c r="F315" i="14" s="1"/>
  <c r="D28" i="13" s="1"/>
  <c r="G457" i="14"/>
  <c r="F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1064" i="4"/>
  <c r="I1064" i="4" s="1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224" i="5"/>
  <c r="I224" i="5" s="1"/>
  <c r="G238" i="5"/>
  <c r="I238" i="5" s="1"/>
  <c r="G545" i="4"/>
  <c r="I545" i="4" s="1"/>
  <c r="G1108" i="4"/>
  <c r="I1108" i="4" s="1"/>
  <c r="G454" i="4"/>
  <c r="G767" i="4"/>
  <c r="I767" i="4" s="1"/>
  <c r="G878" i="4"/>
  <c r="I878" i="4" s="1"/>
  <c r="G243" i="4"/>
  <c r="G219" i="4"/>
  <c r="I219" i="4" s="1"/>
  <c r="G165" i="4"/>
  <c r="I165" i="4" s="1"/>
  <c r="H1124" i="15"/>
  <c r="G1199" i="4"/>
  <c r="G1195" i="4"/>
  <c r="G33" i="4"/>
  <c r="I33" i="4" s="1"/>
  <c r="H1146" i="15"/>
  <c r="G1146" i="15"/>
  <c r="G899" i="4"/>
  <c r="I899" i="4" s="1"/>
  <c r="H1134" i="15"/>
  <c r="G1134" i="15"/>
  <c r="G848" i="4"/>
  <c r="I848" i="4" s="1"/>
  <c r="G1133" i="4"/>
  <c r="G274" i="4"/>
  <c r="I274" i="4" s="1"/>
  <c r="G300" i="5"/>
  <c r="G891" i="4"/>
  <c r="I891" i="4" s="1"/>
  <c r="G100" i="5"/>
  <c r="G46" i="5"/>
  <c r="I46" i="5" s="1"/>
  <c r="G845" i="5"/>
  <c r="I845" i="5" s="1"/>
  <c r="G158" i="4"/>
  <c r="I158" i="4" s="1"/>
  <c r="I1156" i="4" s="1"/>
  <c r="G951" i="5"/>
  <c r="I951" i="5" s="1"/>
  <c r="G770" i="5"/>
  <c r="I770" i="5" s="1"/>
  <c r="G883" i="5"/>
  <c r="I883" i="5" s="1"/>
  <c r="G895" i="5"/>
  <c r="I895" i="5" s="1"/>
  <c r="G477" i="5"/>
  <c r="I477" i="5" s="1"/>
  <c r="G470" i="5"/>
  <c r="I470" i="5" s="1"/>
  <c r="G783" i="5"/>
  <c r="I783" i="5" s="1"/>
  <c r="G63" i="5"/>
  <c r="I63" i="5" s="1"/>
  <c r="G914" i="5"/>
  <c r="G423" i="5"/>
  <c r="I423" i="5" s="1"/>
  <c r="G424" i="5"/>
  <c r="I424" i="5" s="1"/>
  <c r="G292" i="5"/>
  <c r="I292" i="5" s="1"/>
  <c r="G256" i="5"/>
  <c r="I256" i="5" s="1"/>
  <c r="G307" i="5"/>
  <c r="G459" i="5"/>
  <c r="I459" i="5" s="1"/>
  <c r="G19" i="5"/>
  <c r="I19" i="5" s="1"/>
  <c r="G936" i="5"/>
  <c r="I936" i="5" s="1"/>
  <c r="G937" i="5"/>
  <c r="I937" i="5" s="1"/>
  <c r="G930" i="5"/>
  <c r="I930" i="5" s="1"/>
  <c r="G791" i="5"/>
  <c r="I791" i="5" s="1"/>
  <c r="G518" i="5"/>
  <c r="G433" i="5"/>
  <c r="I433" i="5" s="1"/>
  <c r="G889" i="5"/>
  <c r="I889" i="5" s="1"/>
  <c r="G777" i="5"/>
  <c r="I777" i="5" s="1"/>
  <c r="G397" i="5"/>
  <c r="F28" i="3"/>
  <c r="H28" i="3" s="1"/>
  <c r="F366" i="3"/>
  <c r="F272" i="3"/>
  <c r="H272" i="3" s="1"/>
  <c r="F990" i="3"/>
  <c r="H990" i="3" s="1"/>
  <c r="F933" i="3"/>
  <c r="H933" i="3" s="1"/>
  <c r="F1019" i="3"/>
  <c r="H1019" i="3" s="1"/>
  <c r="F463" i="3"/>
  <c r="H463" i="3" s="1"/>
  <c r="F267" i="3"/>
  <c r="H267" i="3" s="1"/>
  <c r="F230" i="3"/>
  <c r="F319" i="3"/>
  <c r="H319" i="3" s="1"/>
  <c r="F475" i="3"/>
  <c r="H475" i="3" s="1"/>
  <c r="F257" i="3"/>
  <c r="H257" i="3" s="1"/>
  <c r="F881" i="3"/>
  <c r="H881" i="3" s="1"/>
  <c r="F900" i="3"/>
  <c r="F984" i="3"/>
  <c r="H984" i="3" s="1"/>
  <c r="F105" i="3"/>
  <c r="H105" i="3" s="1"/>
  <c r="F623" i="3"/>
  <c r="H623" i="3" s="1"/>
  <c r="F172" i="3"/>
  <c r="F141" i="3"/>
  <c r="H141" i="3" s="1"/>
  <c r="F737" i="3"/>
  <c r="H737" i="3" s="1"/>
  <c r="F771" i="3"/>
  <c r="H771" i="3" s="1"/>
  <c r="F1031" i="3"/>
  <c r="H1031" i="3" s="1"/>
  <c r="F287" i="3"/>
  <c r="H287" i="3" s="1"/>
  <c r="F44" i="3"/>
  <c r="H44" i="3" s="1"/>
  <c r="H1142" i="15"/>
  <c r="G1142" i="15"/>
  <c r="G603" i="5"/>
  <c r="I603" i="5" s="1"/>
  <c r="I1157" i="4" l="1"/>
  <c r="I1158" i="4" s="1"/>
  <c r="F400" i="3"/>
  <c r="G242" i="4"/>
  <c r="I242" i="4" s="1"/>
  <c r="I243" i="4"/>
  <c r="G11" i="4"/>
  <c r="I11" i="4" s="1"/>
  <c r="G1139" i="15"/>
  <c r="G30" i="6"/>
  <c r="I31" i="6"/>
  <c r="F229" i="3"/>
  <c r="H229" i="3" s="1"/>
  <c r="H230" i="3"/>
  <c r="G1116" i="4"/>
  <c r="I1116" i="4" s="1"/>
  <c r="I1133" i="4"/>
  <c r="G427" i="4"/>
  <c r="I427" i="4" s="1"/>
  <c r="I454" i="4"/>
  <c r="D11" i="2"/>
  <c r="F11" i="2" s="1"/>
  <c r="F660" i="3"/>
  <c r="H660" i="3" s="1"/>
  <c r="H661" i="3"/>
  <c r="I1184" i="4"/>
  <c r="I1203" i="4" s="1"/>
  <c r="I962" i="5" s="1"/>
  <c r="F171" i="3"/>
  <c r="H171" i="3" s="1"/>
  <c r="H172" i="3"/>
  <c r="F899" i="3"/>
  <c r="H899" i="3" s="1"/>
  <c r="H900" i="3"/>
  <c r="F335" i="3"/>
  <c r="H335" i="3" s="1"/>
  <c r="H366" i="3"/>
  <c r="G195" i="4"/>
  <c r="I195" i="4" s="1"/>
  <c r="K1170" i="4"/>
  <c r="I232" i="4"/>
  <c r="G501" i="5"/>
  <c r="I518" i="5"/>
  <c r="G913" i="5"/>
  <c r="I913" i="5" s="1"/>
  <c r="I914" i="5"/>
  <c r="G99" i="5"/>
  <c r="I100" i="5"/>
  <c r="G688" i="5"/>
  <c r="I689" i="5"/>
  <c r="G110" i="5"/>
  <c r="I110" i="5" s="1"/>
  <c r="I131" i="5"/>
  <c r="G648" i="5"/>
  <c r="I648" i="5" s="1"/>
  <c r="I649" i="5"/>
  <c r="G299" i="5"/>
  <c r="I299" i="5" s="1"/>
  <c r="I300" i="5"/>
  <c r="G389" i="5"/>
  <c r="I389" i="5" s="1"/>
  <c r="I397" i="5"/>
  <c r="G817" i="5"/>
  <c r="I817" i="5" s="1"/>
  <c r="G306" i="5"/>
  <c r="I306" i="5" s="1"/>
  <c r="I307" i="5"/>
  <c r="G547" i="5"/>
  <c r="I548" i="5"/>
  <c r="D30" i="2"/>
  <c r="F30" i="2" s="1"/>
  <c r="H400" i="3"/>
  <c r="G1157" i="4"/>
  <c r="G1102" i="15"/>
  <c r="G1103" i="15" s="1"/>
  <c r="G358" i="15"/>
  <c r="G357" i="15" s="1"/>
  <c r="G1116" i="15" s="1"/>
  <c r="G1117" i="15" s="1"/>
  <c r="F622" i="3"/>
  <c r="G764" i="15"/>
  <c r="G31" i="15"/>
  <c r="D14" i="13"/>
  <c r="I45" i="14"/>
  <c r="I7" i="14"/>
  <c r="H32" i="15"/>
  <c r="H31" i="15" s="1"/>
  <c r="H45" i="14"/>
  <c r="G548" i="15"/>
  <c r="I1098" i="15"/>
  <c r="H1139" i="15"/>
  <c r="J1098" i="15"/>
  <c r="G804" i="4"/>
  <c r="I804" i="4" s="1"/>
  <c r="I1175" i="4" s="1"/>
  <c r="I1176" i="4" s="1"/>
  <c r="G1132" i="15"/>
  <c r="J518" i="5"/>
  <c r="G167" i="5"/>
  <c r="G223" i="5"/>
  <c r="I223" i="5" s="1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462" i="3"/>
  <c r="H462" i="3" s="1"/>
  <c r="G680" i="5"/>
  <c r="G341" i="4"/>
  <c r="H1143" i="15"/>
  <c r="G1143" i="15"/>
  <c r="G1002" i="4"/>
  <c r="I1002" i="4" s="1"/>
  <c r="G877" i="4"/>
  <c r="I877" i="4" s="1"/>
  <c r="G898" i="4"/>
  <c r="G729" i="4"/>
  <c r="I729" i="4" s="1"/>
  <c r="H1147" i="15"/>
  <c r="G1147" i="15"/>
  <c r="G511" i="4"/>
  <c r="I511" i="4" s="1"/>
  <c r="G1107" i="4"/>
  <c r="I1107" i="4" s="1"/>
  <c r="G761" i="4"/>
  <c r="I761" i="4" s="1"/>
  <c r="G1185" i="4"/>
  <c r="G466" i="4"/>
  <c r="I466" i="4" s="1"/>
  <c r="G1184" i="4"/>
  <c r="G776" i="5"/>
  <c r="I776" i="5" s="1"/>
  <c r="G18" i="5"/>
  <c r="I18" i="5" s="1"/>
  <c r="G469" i="5"/>
  <c r="I469" i="5" s="1"/>
  <c r="G432" i="5"/>
  <c r="I432" i="5" s="1"/>
  <c r="G928" i="5"/>
  <c r="I928" i="5" s="1"/>
  <c r="G929" i="5"/>
  <c r="I929" i="5" s="1"/>
  <c r="G943" i="5"/>
  <c r="I943" i="5" s="1"/>
  <c r="G754" i="5"/>
  <c r="I754" i="5" s="1"/>
  <c r="G769" i="5"/>
  <c r="I769" i="5" s="1"/>
  <c r="G45" i="5"/>
  <c r="I45" i="5" s="1"/>
  <c r="G62" i="5"/>
  <c r="I62" i="5" s="1"/>
  <c r="G856" i="5"/>
  <c r="I856" i="5" s="1"/>
  <c r="G782" i="5"/>
  <c r="I782" i="5" s="1"/>
  <c r="G790" i="5"/>
  <c r="I790" i="5" s="1"/>
  <c r="G458" i="5"/>
  <c r="I458" i="5" s="1"/>
  <c r="G476" i="5"/>
  <c r="I476" i="5" s="1"/>
  <c r="G1156" i="4"/>
  <c r="G263" i="5"/>
  <c r="I263" i="5" s="1"/>
  <c r="D25" i="2"/>
  <c r="F25" i="2" s="1"/>
  <c r="F256" i="3"/>
  <c r="H256" i="3" s="1"/>
  <c r="F318" i="3"/>
  <c r="H318" i="3" s="1"/>
  <c r="F266" i="3"/>
  <c r="H266" i="3" s="1"/>
  <c r="F1018" i="3"/>
  <c r="H1018" i="3" s="1"/>
  <c r="F989" i="3"/>
  <c r="H989" i="3" s="1"/>
  <c r="F760" i="3"/>
  <c r="H760" i="3" s="1"/>
  <c r="F793" i="3"/>
  <c r="H793" i="3" s="1"/>
  <c r="F104" i="3"/>
  <c r="H104" i="3" s="1"/>
  <c r="F43" i="3"/>
  <c r="H43" i="3" s="1"/>
  <c r="F286" i="3"/>
  <c r="H286" i="3" s="1"/>
  <c r="F736" i="3"/>
  <c r="H736" i="3" s="1"/>
  <c r="F974" i="3"/>
  <c r="H974" i="3" s="1"/>
  <c r="F880" i="3"/>
  <c r="F932" i="3"/>
  <c r="H932" i="3" s="1"/>
  <c r="F27" i="3"/>
  <c r="H27" i="3" s="1"/>
  <c r="I991" i="10"/>
  <c r="F853" i="3" l="1"/>
  <c r="H853" i="3" s="1"/>
  <c r="H880" i="3"/>
  <c r="G1160" i="4"/>
  <c r="G1161" i="4" s="1"/>
  <c r="I898" i="4"/>
  <c r="I1160" i="4" s="1"/>
  <c r="I1161" i="4" s="1"/>
  <c r="I30" i="6"/>
  <c r="G48" i="6"/>
  <c r="I48" i="6" s="1"/>
  <c r="F898" i="3"/>
  <c r="H898" i="3" s="1"/>
  <c r="G294" i="4"/>
  <c r="I294" i="4" s="1"/>
  <c r="I341" i="4"/>
  <c r="G32" i="4"/>
  <c r="I32" i="4" s="1"/>
  <c r="F570" i="3"/>
  <c r="H570" i="3" s="1"/>
  <c r="H622" i="3"/>
  <c r="G166" i="5"/>
  <c r="I166" i="5" s="1"/>
  <c r="I167" i="5"/>
  <c r="G546" i="5"/>
  <c r="I546" i="5" s="1"/>
  <c r="I547" i="5"/>
  <c r="J502" i="5"/>
  <c r="I680" i="5"/>
  <c r="G687" i="5"/>
  <c r="I687" i="5" s="1"/>
  <c r="I688" i="5"/>
  <c r="G98" i="5"/>
  <c r="I98" i="5" s="1"/>
  <c r="I99" i="5"/>
  <c r="G500" i="5"/>
  <c r="I500" i="5" s="1"/>
  <c r="I501" i="5"/>
  <c r="G1158" i="4"/>
  <c r="G919" i="4"/>
  <c r="G431" i="5"/>
  <c r="I431" i="5" s="1"/>
  <c r="G844" i="5"/>
  <c r="I844" i="5" s="1"/>
  <c r="G537" i="15"/>
  <c r="G1113" i="15"/>
  <c r="G1114" i="15" s="1"/>
  <c r="G756" i="15"/>
  <c r="G1122" i="15"/>
  <c r="G1123" i="15" s="1"/>
  <c r="G831" i="15"/>
  <c r="G1110" i="15"/>
  <c r="G510" i="4"/>
  <c r="I510" i="4" s="1"/>
  <c r="G136" i="14"/>
  <c r="G9" i="14" s="1"/>
  <c r="F829" i="14"/>
  <c r="H830" i="14" s="1"/>
  <c r="H1102" i="15"/>
  <c r="E43" i="13"/>
  <c r="E41" i="13" s="1"/>
  <c r="I830" i="14"/>
  <c r="D37" i="13"/>
  <c r="G366" i="4"/>
  <c r="I366" i="4" s="1"/>
  <c r="I1169" i="4" s="1"/>
  <c r="I1170" i="4" s="1"/>
  <c r="G569" i="4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D27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504" i="3"/>
  <c r="G1190" i="4"/>
  <c r="G1203" i="4" s="1"/>
  <c r="G1141" i="15"/>
  <c r="H1141" i="15"/>
  <c r="G1115" i="4"/>
  <c r="I1115" i="4" s="1"/>
  <c r="G241" i="4"/>
  <c r="H1133" i="15"/>
  <c r="G1133" i="15"/>
  <c r="H1106" i="15"/>
  <c r="G465" i="4"/>
  <c r="H1132" i="15"/>
  <c r="G920" i="5"/>
  <c r="I920" i="5" s="1"/>
  <c r="G44" i="5"/>
  <c r="I44" i="5" s="1"/>
  <c r="D40" i="2"/>
  <c r="F40" i="2" s="1"/>
  <c r="H1105" i="15"/>
  <c r="G789" i="5"/>
  <c r="I789" i="5" s="1"/>
  <c r="G768" i="5"/>
  <c r="I768" i="5" s="1"/>
  <c r="G775" i="5"/>
  <c r="I775" i="5" s="1"/>
  <c r="G61" i="5"/>
  <c r="I61" i="5" s="1"/>
  <c r="G753" i="5"/>
  <c r="I753" i="5" s="1"/>
  <c r="G935" i="5"/>
  <c r="I935" i="5" s="1"/>
  <c r="G10" i="5"/>
  <c r="I10" i="5" s="1"/>
  <c r="D45" i="2"/>
  <c r="F45" i="2" s="1"/>
  <c r="D26" i="2"/>
  <c r="F26" i="2" s="1"/>
  <c r="D29" i="2"/>
  <c r="F29" i="2" s="1"/>
  <c r="D24" i="2"/>
  <c r="F24" i="2" s="1"/>
  <c r="F255" i="3"/>
  <c r="D23" i="2"/>
  <c r="F23" i="2" s="1"/>
  <c r="F228" i="3"/>
  <c r="H228" i="3" s="1"/>
  <c r="D21" i="2"/>
  <c r="F21" i="2" s="1"/>
  <c r="D31" i="2"/>
  <c r="F31" i="2" s="1"/>
  <c r="F317" i="3"/>
  <c r="H317" i="3" s="1"/>
  <c r="D39" i="2"/>
  <c r="F39" i="2" s="1"/>
  <c r="F140" i="3"/>
  <c r="D12" i="2"/>
  <c r="F12" i="2" s="1"/>
  <c r="F973" i="3"/>
  <c r="H973" i="3" s="1"/>
  <c r="F735" i="3"/>
  <c r="H735" i="3" s="1"/>
  <c r="D13" i="2"/>
  <c r="F13" i="2" s="1"/>
  <c r="D14" i="2"/>
  <c r="F14" i="2" s="1"/>
  <c r="D37" i="2"/>
  <c r="F37" i="2" s="1"/>
  <c r="F1017" i="3"/>
  <c r="H1017" i="3" s="1"/>
  <c r="D50" i="2"/>
  <c r="F50" i="2" s="1"/>
  <c r="D28" i="2"/>
  <c r="F28" i="2" s="1"/>
  <c r="F891" i="3" l="1"/>
  <c r="D33" i="2"/>
  <c r="F33" i="2" s="1"/>
  <c r="H504" i="3"/>
  <c r="F10" i="3"/>
  <c r="H140" i="3"/>
  <c r="G1172" i="4"/>
  <c r="I465" i="4"/>
  <c r="I1172" i="4" s="1"/>
  <c r="I1173" i="4" s="1"/>
  <c r="G1153" i="4"/>
  <c r="G1154" i="4" s="1"/>
  <c r="I241" i="4"/>
  <c r="I1153" i="4" s="1"/>
  <c r="I1154" i="4" s="1"/>
  <c r="G1166" i="4"/>
  <c r="I569" i="4"/>
  <c r="I1166" i="4" s="1"/>
  <c r="I1167" i="4" s="1"/>
  <c r="K500" i="5"/>
  <c r="G144" i="5"/>
  <c r="I144" i="5" s="1"/>
  <c r="G679" i="5"/>
  <c r="I679" i="5" s="1"/>
  <c r="K255" i="3"/>
  <c r="H255" i="3"/>
  <c r="G1163" i="4"/>
  <c r="G1164" i="4" s="1"/>
  <c r="I919" i="4"/>
  <c r="I1163" i="4" s="1"/>
  <c r="G962" i="5"/>
  <c r="G767" i="5"/>
  <c r="I767" i="5" s="1"/>
  <c r="G1094" i="15"/>
  <c r="C18" i="18" s="1"/>
  <c r="G1111" i="15"/>
  <c r="G1128" i="15" s="1"/>
  <c r="G1127" i="15"/>
  <c r="K317" i="3"/>
  <c r="E17" i="13"/>
  <c r="E11" i="13" s="1"/>
  <c r="F792" i="3"/>
  <c r="G561" i="4"/>
  <c r="I561" i="4" s="1"/>
  <c r="E56" i="13"/>
  <c r="F478" i="14"/>
  <c r="G1169" i="4"/>
  <c r="G240" i="4"/>
  <c r="I240" i="4" s="1"/>
  <c r="E27" i="13"/>
  <c r="F314" i="14"/>
  <c r="D18" i="18"/>
  <c r="G314" i="14"/>
  <c r="D32" i="13"/>
  <c r="E34" i="13"/>
  <c r="E32" i="13" s="1"/>
  <c r="G478" i="14"/>
  <c r="G876" i="4"/>
  <c r="I876" i="4" s="1"/>
  <c r="H1107" i="15"/>
  <c r="H1108" i="15" s="1"/>
  <c r="H1103" i="15"/>
  <c r="H1138" i="15"/>
  <c r="H1151" i="15" s="1"/>
  <c r="G1138" i="15"/>
  <c r="G752" i="5"/>
  <c r="I752" i="5" s="1"/>
  <c r="G32" i="5"/>
  <c r="G68" i="5"/>
  <c r="I68" i="5" s="1"/>
  <c r="F972" i="3"/>
  <c r="D36" i="2"/>
  <c r="F36" i="2" s="1"/>
  <c r="D17" i="2"/>
  <c r="D35" i="2"/>
  <c r="F35" i="2" s="1"/>
  <c r="D48" i="2"/>
  <c r="F48" i="2" s="1"/>
  <c r="D43" i="2"/>
  <c r="D49" i="2"/>
  <c r="F49" i="2" s="1"/>
  <c r="D38" i="2"/>
  <c r="F38" i="2" s="1"/>
  <c r="D20" i="2"/>
  <c r="F20" i="2" s="1"/>
  <c r="D22" i="2"/>
  <c r="F22" i="2" s="1"/>
  <c r="K792" i="3" l="1"/>
  <c r="H792" i="3"/>
  <c r="K10" i="3"/>
  <c r="H10" i="3"/>
  <c r="F947" i="3"/>
  <c r="H972" i="3"/>
  <c r="K891" i="3"/>
  <c r="H891" i="3"/>
  <c r="D10" i="2"/>
  <c r="F10" i="2" s="1"/>
  <c r="F17" i="2"/>
  <c r="D41" i="2"/>
  <c r="F41" i="2" s="1"/>
  <c r="F43" i="2"/>
  <c r="G31" i="5"/>
  <c r="I31" i="5" s="1"/>
  <c r="I32" i="5"/>
  <c r="I1164" i="4"/>
  <c r="I1180" i="4" s="1"/>
  <c r="I1179" i="4"/>
  <c r="D56" i="13"/>
  <c r="G1129" i="15"/>
  <c r="L945" i="3"/>
  <c r="G1170" i="4"/>
  <c r="G1175" i="4"/>
  <c r="G1179" i="4" s="1"/>
  <c r="G796" i="4"/>
  <c r="I796" i="4" s="1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173" i="4"/>
  <c r="D27" i="2"/>
  <c r="F27" i="2" s="1"/>
  <c r="F569" i="3"/>
  <c r="H569" i="3" s="1"/>
  <c r="F970" i="3"/>
  <c r="H970" i="3" s="1"/>
  <c r="F946" i="3" l="1"/>
  <c r="H946" i="3" s="1"/>
  <c r="H947" i="3"/>
  <c r="G1176" i="4"/>
  <c r="H1127" i="15"/>
  <c r="H1130" i="15" s="1"/>
  <c r="G1144" i="4"/>
  <c r="F887" i="14"/>
  <c r="G887" i="14"/>
  <c r="G886" i="14" s="1"/>
  <c r="H1120" i="15"/>
  <c r="H1128" i="15" s="1"/>
  <c r="D34" i="2"/>
  <c r="F34" i="2" s="1"/>
  <c r="F503" i="3"/>
  <c r="H503" i="3" s="1"/>
  <c r="G1147" i="4" l="1"/>
  <c r="I1144" i="4"/>
  <c r="E21" i="7" s="1"/>
  <c r="K503" i="3"/>
  <c r="C21" i="7"/>
  <c r="F886" i="14"/>
  <c r="D47" i="13" s="1"/>
  <c r="D46" i="13" s="1"/>
  <c r="D51" i="13" s="1"/>
  <c r="D56" i="2"/>
  <c r="D52" i="2"/>
  <c r="E47" i="13"/>
  <c r="E46" i="13" s="1"/>
  <c r="G885" i="14"/>
  <c r="G970" i="14" s="1"/>
  <c r="E52" i="13" s="1"/>
  <c r="F1037" i="3"/>
  <c r="H1129" i="15"/>
  <c r="D32" i="2"/>
  <c r="F32" i="2" s="1"/>
  <c r="I1147" i="4" l="1"/>
  <c r="H1037" i="3"/>
  <c r="F56" i="2"/>
  <c r="F52" i="2"/>
  <c r="D58" i="13"/>
  <c r="F885" i="14"/>
  <c r="F970" i="14" s="1"/>
  <c r="D52" i="13" s="1"/>
  <c r="G1130" i="15"/>
  <c r="L1130" i="15" s="1"/>
  <c r="E51" i="13"/>
  <c r="G1096" i="15"/>
  <c r="E1095" i="15" s="1"/>
  <c r="F971" i="14"/>
  <c r="D47" i="2"/>
  <c r="F47" i="2" s="1"/>
  <c r="F945" i="3"/>
  <c r="H945" i="3" s="1"/>
  <c r="I1149" i="4" l="1"/>
  <c r="H1149" i="4"/>
  <c r="K945" i="3"/>
  <c r="E58" i="13"/>
  <c r="F972" i="14"/>
  <c r="L1128" i="15"/>
  <c r="L1095" i="15"/>
  <c r="G971" i="14"/>
  <c r="G972" i="14" s="1"/>
  <c r="D46" i="2"/>
  <c r="F46" i="2" s="1"/>
  <c r="F1036" i="3"/>
  <c r="H1036" i="3" s="1"/>
  <c r="H1038" i="3" s="1"/>
  <c r="D51" i="2" l="1"/>
  <c r="M1128" i="15"/>
  <c r="F1038" i="3"/>
  <c r="D57" i="2" l="1"/>
  <c r="F51" i="2"/>
  <c r="D53" i="2"/>
  <c r="F53" i="2" l="1"/>
  <c r="F57" i="2"/>
  <c r="G960" i="5"/>
  <c r="G963" i="5" l="1"/>
  <c r="I960" i="5"/>
  <c r="I963" i="5" s="1"/>
  <c r="D120" i="12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098" i="15" s="1"/>
  <c r="C117" i="12"/>
  <c r="H1099" i="15" l="1"/>
  <c r="F74" i="12"/>
  <c r="D155" i="12"/>
  <c r="H1100" i="15" s="1"/>
  <c r="C143" i="1"/>
  <c r="C142" i="1" l="1"/>
  <c r="E143" i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C87" i="1" l="1"/>
  <c r="E142" i="1"/>
  <c r="I142" i="1"/>
  <c r="G1098" i="15"/>
  <c r="G1099" i="15" s="1"/>
  <c r="C155" i="12"/>
  <c r="G1100" i="15" s="1"/>
  <c r="E74" i="12"/>
  <c r="E76" i="12" s="1"/>
  <c r="C86" i="1" l="1"/>
  <c r="C186" i="1" s="1"/>
  <c r="E87" i="1"/>
  <c r="C17" i="18"/>
  <c r="C19" i="18" s="1"/>
  <c r="C11" i="18" s="1"/>
  <c r="C10" i="18" s="1"/>
  <c r="D53" i="13"/>
  <c r="D55" i="13" s="1"/>
  <c r="E1146" i="4" l="1"/>
  <c r="G1149" i="4" s="1"/>
  <c r="C188" i="1"/>
  <c r="J86" i="1"/>
  <c r="E86" i="1"/>
  <c r="C13" i="18"/>
  <c r="C14" i="18" s="1"/>
  <c r="C13" i="7"/>
  <c r="G1150" i="4" l="1"/>
  <c r="C20" i="7"/>
  <c r="C22" i="7" s="1"/>
  <c r="C16" i="7" s="1"/>
  <c r="C15" i="7" s="1"/>
  <c r="C12" i="7" s="1"/>
  <c r="E186" i="1"/>
  <c r="D54" i="2"/>
  <c r="D55" i="2" s="1"/>
  <c r="D13" i="18"/>
  <c r="D14" i="18" s="1"/>
  <c r="C12" i="18"/>
  <c r="D12" i="18" s="1"/>
  <c r="D9" i="18" s="1"/>
  <c r="E20" i="7" l="1"/>
  <c r="E22" i="7" s="1"/>
  <c r="F54" i="2"/>
  <c r="F55" i="2" s="1"/>
  <c r="I1150" i="4"/>
  <c r="C17" i="7"/>
  <c r="H365" i="16"/>
  <c r="H364" i="16" s="1"/>
  <c r="H356" i="16" s="1"/>
  <c r="H893" i="16" s="1"/>
  <c r="H897" i="16" s="1"/>
  <c r="C9" i="18"/>
  <c r="C26" i="7" l="1"/>
  <c r="E26" i="7"/>
  <c r="L503" i="3"/>
  <c r="G1167" i="4" l="1"/>
  <c r="G1180" i="4" s="1"/>
</calcChain>
</file>

<file path=xl/comments1.xml><?xml version="1.0" encoding="utf-8"?>
<comments xmlns="http://schemas.openxmlformats.org/spreadsheetml/2006/main">
  <authors>
    <author>Автор</author>
  </authors>
  <commentList>
    <comment ref="B99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<sst xmlns="http://schemas.openxmlformats.org/spreadsheetml/2006/main" count="47665" uniqueCount="1818">
  <si>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</si>
  <si>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</si>
  <si>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</si>
  <si>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</si>
  <si>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</si>
  <si>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</si>
  <si>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</si>
  <si>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</si>
  <si>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</si>
  <si>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</si>
  <si>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</si>
  <si>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</si>
  <si>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</si>
  <si>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</si>
  <si>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</si>
  <si>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</si>
  <si>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</si>
  <si>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</si>
  <si>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</si>
  <si>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</si>
  <si>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</si>
  <si>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</si>
  <si>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</si>
  <si>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</si>
  <si>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</si>
  <si>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</si>
  <si>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</si>
  <si>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</si>
  <si>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</si>
  <si>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</si>
  <si>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</si>
  <si>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</si>
  <si>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</si>
  <si>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</si>
  <si>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</si>
  <si>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</si>
  <si>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</si>
  <si>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</si>
  <si>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</si>
  <si>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</si>
  <si>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</si>
  <si>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</si>
  <si>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</si>
  <si>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</si>
  <si>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</si>
  <si>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</si>
  <si>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</si>
  <si>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</si>
  <si>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</si>
  <si>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</si>
  <si>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</si>
  <si>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</si>
  <si>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</si>
  <si>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</si>
  <si>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</si>
  <si>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</si>
  <si>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</si>
  <si>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</si>
  <si>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</si>
  <si>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</si>
  <si>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</si>
  <si>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</si>
  <si>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</si>
  <si>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</si>
  <si>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</si>
  <si>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</si>
  <si>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</si>
  <si>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</si>
  <si>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</si>
  <si>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</si>
  <si>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</si>
  <si>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</si>
  <si>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</si>
  <si>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</si>
  <si>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</si>
  <si>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</si>
  <si>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</si>
  <si>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</si>
  <si>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</si>
  <si>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</si>
  <si>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</si>
  <si>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</si>
  <si>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</si>
  <si>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</si>
  <si>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</si>
  <si>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</si>
  <si>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</si>
  <si>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</si>
  <si>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</si>
  <si>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</si>
  <si>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</si>
  <si>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</si>
  <si>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</si>
  <si>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</si>
  <si>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</si>
  <si>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</si>
  <si>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</si>
  <si>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</si>
  <si>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</si>
  <si>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</si>
  <si>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</si>
  <si>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</si>
  <si>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</si>
  <si>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</si>
  <si>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</si>
  <si>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</si>
  <si>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</si>
  <si>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</si>
  <si>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</si>
  <si>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</si>
  <si>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</si>
  <si>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</si>
  <si>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</si>
  <si>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</si>
  <si>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</si>
  <si>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</si>
  <si>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</si>
  <si>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</si>
  <si>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</si>
  <si>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</si>
  <si>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</si>
  <si>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</si>
  <si>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</si>
  <si>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</si>
  <si>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</si>
  <si>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</si>
  <si>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</si>
  <si>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</si>
  <si>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</si>
  <si>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</si>
  <si>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</si>
  <si>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</si>
  <si>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</si>
  <si>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</si>
  <si>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</si>
  <si>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</si>
  <si>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</si>
  <si>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</si>
  <si>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</si>
  <si>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</si>
  <si>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</si>
  <si>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</si>
  <si>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</si>
  <si>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</si>
  <si>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</si>
  <si>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</si>
  <si>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</si>
  <si>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</si>
  <si>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</si>
  <si>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</si>
  <si>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</si>
  <si>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</si>
  <si>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</si>
  <si>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</si>
  <si>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</si>
  <si>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</si>
  <si>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</si>
  <si>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</si>
  <si>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</si>
  <si>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</si>
  <si>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</si>
  <si>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</si>
  <si>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</si>
  <si>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</si>
  <si>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</si>
  <si>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</si>
  <si>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</si>
  <si>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</si>
  <si>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</si>
  <si>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</si>
  <si>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</si>
  <si>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</si>
  <si>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</si>
  <si>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</si>
  <si>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</si>
  <si>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</si>
  <si>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</si>
  <si>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</si>
  <si>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</si>
  <si>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</si>
  <si>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</si>
  <si>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</si>
  <si>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</si>
  <si>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</si>
  <si>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</si>
  <si>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</si>
  <si>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</si>
  <si>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</si>
  <si>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</si>
  <si>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</si>
  <si>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</si>
  <si>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</si>
  <si>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</si>
  <si>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</si>
  <si>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</si>
  <si>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</si>
  <si>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</si>
  <si>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</si>
  <si>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</si>
  <si>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</si>
  <si>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</si>
  <si>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</si>
  <si>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</si>
  <si>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</si>
  <si>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</si>
  <si>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</si>
  <si>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</si>
  <si>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</si>
  <si>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</si>
  <si>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</si>
  <si>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</si>
  <si>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</si>
  <si>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</si>
  <si>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</si>
  <si>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</si>
  <si>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</si>
  <si>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</si>
  <si>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</si>
  <si>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</si>
  <si>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</si>
  <si>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</si>
  <si>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</si>
  <si>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</si>
  <si>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</si>
  <si>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</si>
  <si>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</si>
  <si>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</si>
  <si>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</si>
  <si>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</si>
  <si>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</si>
  <si>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</si>
  <si>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</si>
  <si>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</si>
  <si>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</si>
  <si>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</si>
  <si>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</si>
  <si>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</si>
  <si>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</si>
  <si>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</si>
  <si>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</si>
  <si>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</si>
  <si>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</si>
  <si>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</si>
  <si>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</si>
  <si>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</si>
  <si>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</si>
  <si>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</si>
  <si>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</si>
  <si>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</si>
  <si>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</si>
  <si>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</si>
  <si>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</si>
  <si>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</si>
  <si>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</si>
  <si>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</si>
  <si>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</si>
  <si>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</si>
  <si>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</si>
  <si>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</si>
  <si>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</si>
  <si>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</si>
  <si>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</si>
  <si>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</si>
  <si>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</si>
  <si>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</si>
  <si>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</si>
  <si>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</si>
  <si>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</si>
  <si>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</si>
  <si>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</si>
  <si>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</si>
  <si>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</si>
  <si>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</si>
  <si>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</si>
  <si>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</si>
  <si>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</si>
  <si>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</si>
  <si>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</si>
  <si>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</si>
  <si>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</si>
  <si>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</si>
  <si>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</si>
  <si>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</si>
  <si>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</si>
  <si>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</si>
  <si>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</si>
  <si>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</si>
  <si>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</si>
  <si>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</si>
  <si>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</si>
  <si>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</si>
  <si>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</si>
  <si>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</si>
  <si>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</si>
  <si>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</si>
  <si>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</si>
  <si>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</si>
  <si>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</si>
  <si>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</si>
  <si>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</si>
  <si>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</si>
  <si>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</si>
  <si>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</si>
  <si>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</si>
  <si>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</si>
  <si>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</si>
  <si>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</si>
  <si>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</si>
  <si>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</si>
  <si>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</si>
  <si>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</si>
  <si>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</si>
  <si>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</si>
  <si>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</si>
  <si>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</si>
  <si>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</si>
  <si>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</si>
  <si>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</si>
  <si>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</si>
  <si>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</si>
  <si>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</si>
  <si>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</si>
  <si>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</si>
  <si>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</si>
  <si>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</si>
  <si>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</si>
  <si>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</si>
  <si>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</si>
  <si>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</si>
  <si>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</si>
  <si>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</si>
  <si>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</si>
  <si>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</si>
  <si>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</si>
  <si>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</si>
  <si>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</si>
  <si>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</si>
  <si>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</si>
  <si>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</si>
  <si>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</si>
  <si>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</si>
  <si>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</si>
  <si>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</si>
  <si>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</si>
  <si>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</si>
  <si>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</si>
  <si>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</si>
  <si>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</si>
  <si>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</si>
  <si>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</si>
  <si>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</si>
  <si>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</si>
  <si>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</si>
  <si>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</si>
  <si>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</si>
  <si>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</si>
  <si>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</si>
  <si>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</si>
  <si>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</si>
  <si>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</si>
  <si>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</si>
  <si>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</si>
  <si>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</si>
  <si>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</si>
  <si>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</si>
  <si>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</si>
  <si>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</si>
  <si>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</si>
  <si>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</si>
  <si>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</si>
  <si>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</si>
  <si>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</si>
  <si>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</si>
  <si>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</si>
  <si>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</si>
  <si>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</si>
  <si>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</si>
  <si>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</si>
  <si>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</si>
  <si>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</si>
  <si>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</si>
  <si>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</si>
  <si>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</si>
  <si>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</si>
  <si>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</si>
  <si>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</si>
  <si>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</si>
  <si>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</si>
  <si>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</si>
  <si>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</si>
  <si>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</si>
  <si>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</si>
  <si>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</si>
  <si>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</si>
  <si>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</si>
  <si>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</si>
  <si>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</si>
  <si>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</si>
  <si>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</si>
  <si>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</si>
  <si>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</si>
  <si>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</si>
  <si>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</si>
  <si>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</si>
  <si>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</si>
  <si>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</si>
  <si>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</si>
  <si>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</si>
  <si>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</si>
  <si>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</si>
  <si>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</si>
  <si>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</si>
  <si>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</si>
  <si>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</si>
  <si>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</si>
  <si>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</si>
  <si>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</si>
  <si>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</si>
  <si>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</si>
  <si>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</si>
  <si>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</si>
  <si>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</si>
  <si>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</si>
  <si>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</si>
  <si>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</si>
  <si>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</si>
  <si>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</si>
  <si>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</si>
  <si>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</si>
  <si>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</si>
  <si>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</si>
  <si>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</si>
  <si>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</si>
  <si>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</si>
  <si>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</si>
  <si>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</si>
  <si>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</si>
  <si>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</si>
  <si>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</si>
  <si>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</si>
  <si>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</si>
  <si>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</si>
  <si>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</si>
  <si>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</si>
  <si>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</si>
  <si>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</si>
  <si>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</si>
  <si>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</si>
  <si>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</si>
  <si>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</si>
  <si>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</si>
  <si>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</si>
  <si>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</si>
  <si>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</si>
  <si>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</si>
  <si>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</si>
  <si>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</si>
  <si>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</si>
  <si>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</si>
  <si>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</si>
  <si>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</si>
  <si>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</si>
  <si>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</si>
  <si>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</si>
  <si>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</si>
  <si>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</si>
  <si>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</si>
  <si>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</si>
  <si>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</si>
  <si>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</si>
  <si>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</si>
  <si>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</si>
  <si>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</si>
  <si>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</si>
  <si>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</si>
  <si>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</si>
  <si>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</si>
  <si>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</si>
  <si>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</si>
  <si>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</si>
  <si>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</si>
  <si>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</si>
  <si>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</si>
  <si>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</si>
  <si>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</si>
  <si>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</si>
  <si>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</si>
  <si>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</si>
  <si>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</si>
  <si>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</si>
  <si>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</si>
  <si>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</si>
  <si>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</si>
  <si>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</si>
  <si>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</si>
  <si>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</si>
  <si>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</si>
  <si>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</si>
  <si>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</si>
  <si>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</si>
  <si>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</si>
  <si>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</si>
  <si>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</si>
  <si>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</si>
  <si>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</si>
  <si>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</si>
  <si>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</si>
  <si>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</si>
  <si>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</si>
  <si>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</si>
  <si>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</si>
  <si>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</si>
  <si>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</si>
  <si>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</si>
  <si>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</si>
  <si>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</si>
  <si>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</si>
  <si>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</si>
  <si>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</si>
  <si>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</si>
  <si>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</si>
  <si>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</si>
  <si>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</si>
  <si>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</si>
  <si>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</si>
  <si>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</si>
  <si>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</si>
  <si>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</si>
  <si>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</si>
  <si>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</si>
  <si>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</si>
  <si>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</si>
  <si>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</si>
  <si>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</si>
  <si>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</si>
  <si>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</si>
  <si>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</si>
  <si>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</si>
  <si>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</si>
  <si>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</si>
  <si>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</si>
  <si>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</si>
  <si>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</si>
  <si>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</si>
  <si>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</si>
  <si>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</si>
  <si>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</si>
  <si>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</si>
  <si>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</si>
  <si>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</si>
  <si>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</si>
  <si>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</si>
  <si>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</si>
  <si>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</si>
  <si>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</si>
  <si>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</si>
  <si>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</si>
  <si>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</si>
  <si>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</si>
  <si>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</si>
  <si>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</si>
  <si>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</si>
  <si>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</si>
  <si>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</si>
  <si>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</si>
  <si>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</si>
  <si>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</si>
  <si>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</si>
  <si>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</si>
  <si>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</si>
  <si>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</si>
  <si>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</si>
  <si>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</si>
  <si>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</si>
  <si>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</si>
  <si>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</si>
  <si>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</si>
  <si>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</si>
  <si>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</si>
  <si>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</si>
  <si>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</si>
  <si>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</si>
  <si>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</si>
  <si>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</si>
  <si>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</si>
  <si>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</si>
  <si>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</si>
  <si>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</si>
  <si>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</si>
  <si>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</si>
  <si>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</si>
  <si>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</si>
  <si>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</si>
  <si>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</si>
  <si>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</si>
  <si>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</si>
  <si>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</si>
  <si>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</si>
  <si>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</si>
  <si>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</si>
  <si>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</si>
  <si>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</si>
  <si>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</si>
  <si>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</si>
  <si>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</si>
  <si>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</si>
  <si>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</si>
  <si>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</si>
  <si>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</si>
  <si>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</si>
  <si>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</si>
  <si>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</si>
  <si>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</si>
  <si>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</si>
  <si>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</si>
  <si>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</si>
  <si>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</si>
  <si>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</si>
  <si>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</si>
  <si>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</si>
  <si>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</si>
  <si>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</si>
  <si>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</si>
  <si>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</si>
  <si>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</si>
  <si>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</si>
  <si>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</si>
  <si>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</si>
  <si>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</si>
  <si>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</si>
  <si>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</si>
  <si>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</si>
  <si>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</si>
  <si>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</si>
  <si>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</si>
  <si>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</si>
  <si>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</si>
  <si>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</si>
  <si>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</si>
  <si>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</si>
  <si>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</si>
  <si>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</si>
  <si>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</si>
  <si>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</si>
  <si>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</si>
  <si>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</si>
  <si>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</si>
  <si>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</si>
  <si>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</si>
  <si>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</si>
  <si>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</si>
  <si>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</si>
  <si>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</si>
  <si>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</si>
  <si>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</si>
  <si>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</si>
  <si>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</si>
  <si>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</si>
  <si>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</si>
  <si>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</si>
  <si>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</si>
  <si>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</si>
  <si>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</si>
  <si>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</si>
  <si>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</si>
  <si>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</si>
  <si>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</si>
  <si>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</si>
  <si>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</si>
  <si>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</si>
  <si>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</si>
  <si>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</si>
  <si>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</si>
  <si>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</si>
  <si>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</si>
  <si>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</si>
  <si>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</si>
  <si>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</si>
  <si>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</si>
  <si>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</si>
  <si>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</si>
  <si>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</si>
  <si>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</si>
  <si>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</si>
  <si>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</si>
  <si>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</si>
  <si>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</si>
  <si>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</si>
  <si>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</si>
  <si>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</si>
  <si>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</si>
  <si>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</si>
  <si>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</si>
  <si>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</si>
  <si>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</si>
  <si>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</si>
  <si>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</si>
  <si>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</si>
  <si>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</si>
  <si>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</si>
  <si>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</si>
  <si>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</si>
  <si>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</si>
  <si>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</si>
  <si>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</si>
  <si>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</si>
  <si>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</si>
  <si>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</si>
  <si>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</si>
  <si>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</si>
  <si>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</si>
  <si>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</si>
  <si>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</si>
  <si>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</si>
  <si>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</si>
  <si>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</si>
  <si>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</si>
  <si>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</si>
  <si>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</si>
  <si>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</si>
  <si>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</si>
  <si>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</si>
  <si>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</si>
  <si>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</si>
  <si>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</si>
  <si>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</si>
  <si>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</si>
  <si>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</si>
  <si>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</si>
  <si>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</si>
  <si>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</si>
  <si>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</si>
  <si>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</si>
  <si>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</si>
  <si>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</si>
  <si>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</si>
  <si>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</si>
  <si>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</si>
  <si>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</si>
  <si>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</si>
  <si>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</si>
  <si>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</si>
  <si>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</si>
  <si>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</si>
  <si>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</si>
  <si>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</si>
  <si>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</si>
  <si>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</si>
  <si>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</si>
  <si>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</si>
  <si>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</si>
  <si>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</si>
  <si>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</si>
  <si>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</si>
  <si>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</si>
  <si>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</si>
  <si>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</si>
  <si>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</si>
  <si>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</si>
  <si>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</si>
  <si>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</si>
  <si>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</si>
  <si>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</si>
  <si>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</si>
  <si>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</si>
  <si>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</si>
  <si>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</si>
  <si>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</si>
  <si>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</si>
  <si>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</si>
  <si>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</si>
  <si>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</si>
  <si>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</si>
  <si>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</si>
  <si>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</si>
  <si>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</si>
  <si>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</si>
  <si>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</si>
  <si>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</si>
  <si>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</si>
  <si>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</si>
  <si>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</si>
  <si>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</si>
  <si>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</si>
  <si>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</si>
  <si>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</si>
  <si>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</si>
  <si>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</si>
  <si>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</si>
  <si>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</si>
  <si>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</si>
  <si>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</si>
  <si>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</si>
  <si>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</si>
  <si>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</si>
  <si>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</si>
  <si>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</si>
  <si>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</si>
  <si>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</si>
  <si>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</si>
  <si>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</si>
  <si>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</si>
  <si>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</si>
  <si>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</si>
  <si>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</si>
  <si>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</si>
  <si>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</si>
  <si>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</si>
  <si>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</si>
  <si>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</si>
  <si>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</si>
  <si>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</si>
  <si>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</si>
  <si>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</si>
  <si>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</si>
  <si>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</si>
  <si>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</si>
  <si>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</si>
  <si>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</si>
  <si>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</si>
  <si>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</si>
  <si>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</si>
  <si>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</si>
  <si>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</si>
  <si>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</si>
  <si>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</si>
  <si>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</si>
  <si>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</si>
  <si>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</si>
  <si>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</si>
  <si>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</si>
  <si>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</si>
  <si>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</si>
  <si>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</si>
  <si>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</si>
  <si>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</si>
  <si>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</si>
  <si>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</si>
  <si>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</si>
  <si>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</si>
  <si>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</si>
  <si>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</si>
  <si>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</si>
  <si>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</si>
  <si>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</si>
  <si>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</si>
  <si>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</si>
  <si>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</si>
  <si>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</si>
  <si>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</si>
  <si>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</si>
  <si>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</si>
  <si>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</si>
  <si>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</si>
  <si>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</si>
  <si>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</si>
  <si>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</si>
  <si>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</si>
  <si>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</si>
  <si>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</si>
  <si>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</si>
  <si>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</si>
  <si>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</si>
  <si>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</si>
  <si>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</si>
  <si>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</si>
  <si>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</si>
  <si>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</si>
  <si>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</si>
  <si>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</si>
  <si>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</si>
  <si>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</si>
  <si>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</si>
  <si>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</si>
  <si>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</si>
  <si>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</si>
  <si>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</si>
  <si>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</si>
  <si>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</si>
  <si>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</si>
  <si>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</si>
  <si>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</si>
  <si>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</si>
  <si>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</si>
  <si>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</si>
  <si>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</si>
  <si>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</si>
  <si>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</si>
  <si>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</si>
  <si>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</si>
  <si>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</si>
  <si>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</si>
  <si>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</si>
  <si>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</si>
  <si>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</si>
  <si>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</si>
  <si>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</si>
  <si>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</si>
  <si>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</si>
  <si>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</si>
  <si>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</si>
  <si>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</si>
  <si>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</si>
  <si>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</si>
  <si>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</si>
  <si>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</si>
  <si>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</si>
  <si>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</si>
  <si>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</si>
  <si>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</si>
  <si>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</si>
  <si>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</si>
  <si>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</si>
  <si>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</si>
  <si>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</si>
  <si>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</si>
  <si>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</si>
  <si>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</si>
  <si>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</si>
  <si>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</si>
  <si>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</si>
  <si>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</si>
  <si>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</si>
  <si>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</si>
  <si>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</si>
  <si>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</si>
  <si>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</si>
  <si>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</si>
  <si>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</si>
  <si>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</si>
  <si>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</si>
  <si>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</si>
  <si>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</si>
  <si>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</si>
  <si>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</si>
  <si>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</si>
  <si>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</si>
  <si>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</si>
  <si>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</si>
  <si>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</si>
  <si>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</si>
  <si>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</si>
  <si>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</si>
  <si>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</si>
  <si>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</si>
  <si>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</si>
  <si>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</si>
  <si>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</si>
  <si>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</si>
  <si>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</si>
  <si>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</si>
  <si>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</si>
  <si>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</si>
  <si>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</si>
  <si>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</si>
  <si>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</si>
  <si>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</si>
  <si>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</si>
  <si>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</si>
  <si>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</si>
  <si>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</si>
  <si>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</si>
  <si>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</si>
  <si>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</si>
  <si>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</si>
  <si>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</si>
  <si>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</si>
  <si>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</si>
  <si>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</si>
  <si>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</si>
  <si>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</si>
  <si>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</si>
  <si>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</si>
  <si>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</si>
  <si>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</si>
  <si>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</si>
  <si>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</si>
  <si>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</si>
  <si>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</si>
  <si>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</si>
  <si>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</si>
  <si>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</si>
  <si>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</si>
  <si>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</si>
  <si>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</si>
  <si>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</si>
  <si>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</si>
  <si>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</si>
  <si>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</si>
  <si>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</si>
  <si>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</si>
  <si>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</si>
  <si>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</si>
  <si>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</si>
  <si>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</si>
  <si>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</si>
  <si>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</si>
  <si>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</si>
  <si>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</si>
  <si>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</si>
  <si>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</si>
  <si>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</si>
  <si>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</si>
  <si>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</si>
  <si>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</si>
  <si>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</si>
  <si>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</si>
  <si>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</si>
  <si>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</si>
  <si>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</si>
  <si>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</si>
  <si>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</si>
  <si>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</si>
  <si>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</si>
  <si>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</si>
  <si>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</si>
  <si>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</si>
  <si>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</si>
  <si>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</si>
  <si>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</si>
  <si>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</si>
  <si>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</si>
  <si>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</si>
  <si>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</si>
  <si>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</si>
  <si>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</si>
  <si>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</si>
  <si>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</si>
  <si>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</si>
  <si>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</si>
  <si>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</si>
  <si>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</si>
  <si>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</si>
  <si>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</si>
  <si>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</si>
  <si>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</si>
  <si>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</si>
  <si>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</si>
  <si>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</si>
  <si>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</si>
  <si>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</si>
  <si>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</si>
  <si>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</si>
  <si>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</si>
  <si>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</si>
  <si>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</si>
  <si>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</si>
  <si>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</si>
  <si>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</si>
  <si>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</si>
  <si>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</si>
  <si>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</si>
  <si>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</si>
  <si>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</si>
  <si>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</si>
  <si>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</si>
  <si>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</si>
  <si>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</si>
  <si>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</si>
  <si>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</si>
  <si>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</si>
  <si>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</si>
  <si>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</si>
  <si>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</si>
  <si>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</si>
  <si>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</si>
  <si>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</si>
  <si>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</si>
  <si>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</si>
  <si>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</si>
  <si>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</si>
  <si>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</si>
  <si>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</si>
  <si>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</si>
  <si>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</si>
  <si>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</si>
  <si>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</si>
  <si>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</si>
  <si>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</si>
  <si>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</si>
  <si>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</si>
  <si>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</si>
  <si>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</si>
  <si>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</si>
  <si>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</si>
  <si>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</si>
  <si>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</si>
  <si>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</si>
  <si>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</si>
  <si>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</si>
  <si>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</si>
  <si>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</si>
  <si>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</si>
  <si>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</si>
  <si>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</si>
  <si>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</si>
  <si>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</si>
  <si>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</si>
  <si>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</si>
  <si>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</si>
  <si>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</si>
  <si>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</si>
  <si>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</si>
  <si>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</si>
  <si>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</si>
  <si>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</si>
  <si>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</si>
  <si>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</si>
  <si>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</si>
  <si>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</si>
  <si>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</si>
  <si>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</si>
  <si>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</si>
  <si>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</si>
  <si>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</si>
  <si>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</si>
  <si>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</si>
  <si>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</si>
  <si>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</si>
  <si>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</si>
  <si>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</si>
  <si>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</si>
  <si>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</si>
  <si>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</si>
  <si>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</si>
  <si>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</si>
  <si>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</si>
  <si>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</si>
  <si>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</si>
  <si>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</si>
  <si>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</si>
  <si>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</si>
  <si>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</si>
  <si>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</si>
  <si>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</si>
  <si>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</si>
  <si>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</si>
  <si>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</si>
  <si>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</si>
  <si>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</si>
  <si>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</si>
  <si>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</si>
  <si>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</si>
  <si>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</si>
  <si>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</si>
  <si>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</si>
  <si>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</si>
  <si>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</si>
  <si>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</si>
  <si>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</si>
  <si>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</si>
  <si>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</si>
  <si>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</si>
  <si>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</si>
  <si>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</si>
  <si>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</si>
  <si>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</si>
  <si>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</si>
  <si>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</si>
  <si>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</si>
  <si>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</si>
  <si>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</si>
  <si>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</si>
  <si>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</si>
  <si>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</si>
  <si>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</si>
  <si>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</si>
  <si>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</si>
  <si>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</si>
  <si>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</si>
  <si>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</si>
  <si>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</si>
  <si>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</si>
  <si>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</si>
  <si>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</si>
  <si>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</si>
  <si>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</si>
  <si>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</si>
  <si>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</si>
  <si>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</si>
  <si>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</si>
  <si>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</si>
  <si>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</si>
  <si>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</si>
  <si>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</si>
  <si>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</si>
  <si>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</si>
  <si>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</si>
  <si>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</si>
  <si>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</si>
  <si>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</si>
  <si>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</si>
  <si>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</si>
  <si>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</si>
  <si>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</si>
  <si>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</si>
  <si>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</si>
  <si>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</si>
  <si>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</si>
  <si>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</si>
  <si>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</si>
  <si>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</si>
  <si>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</si>
  <si>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</si>
  <si>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</si>
  <si>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</si>
  <si>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</si>
  <si>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</si>
  <si>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</si>
  <si>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</si>
  <si>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</si>
  <si>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</si>
  <si>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</si>
  <si>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</si>
  <si>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</si>
  <si>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</si>
  <si>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</si>
  <si>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</si>
  <si>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</si>
  <si>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</si>
  <si>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</si>
  <si>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</si>
  <si>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</si>
  <si>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</si>
  <si>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</si>
  <si>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</si>
  <si>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</si>
  <si>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</si>
  <si>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</si>
  <si>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</si>
  <si>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</si>
  <si>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</si>
  <si>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</si>
  <si>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</si>
  <si>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</si>
  <si>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</si>
  <si>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</si>
  <si>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</si>
  <si>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</si>
  <si>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</si>
  <si>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</si>
  <si>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</si>
  <si>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</si>
  <si>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</si>
  <si>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</si>
  <si>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</si>
  <si>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</si>
  <si>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</si>
  <si>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</si>
  <si>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</si>
  <si>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</si>
  <si>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</si>
  <si>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</si>
  <si>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</si>
  <si>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</si>
  <si>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</si>
  <si>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</si>
  <si>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</si>
  <si>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</si>
  <si>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</si>
  <si>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</si>
  <si>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</si>
  <si>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</si>
  <si>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</si>
  <si>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</si>
  <si>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</si>
  <si>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</si>
  <si>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</si>
  <si>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</si>
  <si>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</si>
  <si>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</si>
  <si>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</si>
  <si>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</si>
  <si>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</si>
  <si>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</si>
  <si>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</si>
  <si>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</si>
  <si>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</si>
  <si>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</si>
  <si>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</si>
  <si>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</si>
  <si>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</si>
  <si>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</si>
  <si>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</si>
  <si>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</si>
  <si>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</si>
  <si>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</si>
  <si>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</si>
  <si>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</si>
  <si>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</si>
  <si>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</si>
  <si>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</si>
  <si>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</si>
  <si>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</si>
  <si>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</si>
  <si>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</si>
  <si>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</si>
  <si>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</si>
  <si>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</si>
  <si>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</si>
  <si>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</si>
  <si>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</si>
  <si>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</si>
  <si>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</si>
  <si>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</si>
  <si>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</si>
  <si>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</si>
  <si>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</si>
  <si>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</si>
  <si>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</si>
  <si>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</si>
  <si>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</si>
  <si>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</si>
  <si>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</si>
  <si>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</si>
  <si>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</si>
  <si>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</si>
  <si>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</si>
  <si>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</si>
  <si>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</si>
  <si>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</si>
  <si>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</si>
  <si>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</si>
  <si>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</si>
  <si>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</si>
  <si>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</si>
  <si>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</si>
  <si>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</si>
  <si>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</si>
  <si>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</si>
  <si>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</si>
  <si>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</si>
  <si>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</si>
  <si>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</si>
  <si>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</si>
  <si>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</si>
  <si>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</si>
  <si>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</si>
  <si>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</si>
  <si>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</si>
  <si>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</si>
  <si>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</si>
  <si>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</si>
  <si>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</si>
  <si>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</si>
  <si>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</si>
  <si>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</si>
  <si>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</si>
  <si>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</si>
  <si>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</si>
  <si>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</si>
  <si>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</si>
  <si>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</si>
  <si>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</si>
  <si>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</si>
  <si>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</si>
  <si>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</si>
  <si>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</si>
  <si>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</si>
  <si>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</si>
  <si>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</si>
  <si>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</si>
  <si>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</si>
  <si>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</si>
  <si>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</si>
  <si>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</si>
  <si>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</si>
  <si>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</si>
  <si>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</si>
  <si>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</si>
  <si>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</si>
  <si>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</si>
  <si>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</si>
  <si>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</si>
  <si>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</si>
  <si>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</si>
  <si>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</si>
  <si>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</si>
  <si>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</si>
  <si>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</si>
  <si>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</si>
  <si>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</si>
  <si>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</si>
  <si>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</si>
  <si>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</si>
  <si>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</si>
  <si>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</si>
  <si>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</si>
  <si>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</si>
  <si>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</si>
  <si>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</si>
  <si>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</si>
  <si>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</si>
  <si>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</si>
  <si>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</si>
  <si>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</si>
  <si>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</si>
  <si>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</si>
  <si>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</si>
  <si>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</si>
  <si>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</si>
  <si>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</si>
  <si>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</si>
  <si>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</si>
  <si>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</si>
  <si>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</si>
  <si>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</si>
  <si>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</si>
  <si>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</si>
  <si>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</si>
  <si>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</si>
  <si>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</si>
  <si>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</si>
  <si>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</si>
  <si>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</si>
  <si>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</si>
  <si>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</si>
  <si>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</si>
  <si>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</si>
  <si>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</si>
  <si>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</si>
  <si>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</si>
  <si>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</si>
  <si>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</si>
  <si>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</si>
  <si>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</si>
  <si>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</si>
  <si>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</si>
  <si>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</si>
  <si>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</si>
  <si>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</si>
  <si>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</si>
  <si>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</si>
  <si>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</si>
  <si>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</si>
  <si>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</si>
  <si>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</si>
  <si>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</si>
  <si>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</si>
  <si>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</si>
  <si>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</si>
  <si>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</si>
  <si>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</si>
  <si>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</si>
  <si>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</si>
  <si>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</si>
  <si>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</si>
  <si>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</si>
  <si>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</si>
  <si>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</si>
  <si>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</si>
  <si>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</si>
  <si>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</si>
  <si>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</si>
  <si>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</si>
  <si>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</si>
  <si>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</si>
  <si>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</si>
  <si>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</si>
  <si>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</si>
  <si>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</si>
  <si>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</si>
  <si>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</si>
  <si>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</si>
  <si>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</si>
  <si>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</si>
  <si>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</si>
  <si>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</si>
  <si>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</si>
  <si>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</si>
  <si>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</si>
  <si>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</si>
  <si>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</si>
  <si>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</si>
  <si>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</si>
  <si>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</si>
  <si>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</si>
  <si>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</si>
  <si>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</si>
  <si>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</si>
  <si>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</si>
  <si>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</si>
  <si>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</si>
  <si>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</si>
  <si>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</si>
  <si>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</si>
  <si>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</si>
  <si>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</si>
  <si>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</si>
  <si>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</si>
  <si>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</si>
  <si>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</si>
  <si>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</si>
  <si>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</si>
  <si>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</si>
  <si>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</si>
  <si>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</si>
  <si>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</si>
  <si>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</si>
  <si>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</si>
  <si>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</si>
  <si>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</si>
  <si>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</si>
  <si>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</si>
  <si>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</si>
  <si>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</si>
  <si>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</si>
  <si>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</si>
  <si>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</si>
  <si>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</si>
  <si>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</si>
  <si>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</si>
  <si>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</si>
  <si>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</si>
  <si>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</si>
  <si>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</si>
  <si>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</si>
  <si>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</si>
  <si>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</si>
  <si>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</si>
  <si>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</si>
  <si>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</si>
  <si>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</si>
  <si>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</si>
  <si>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</si>
  <si>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</si>
  <si>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</si>
  <si>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</si>
  <si>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</si>
  <si>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</si>
  <si>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</si>
  <si>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</si>
  <si>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</si>
  <si>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</si>
  <si>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</si>
  <si>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</si>
  <si>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</si>
  <si>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</si>
  <si>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</si>
  <si>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</si>
  <si>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</si>
  <si>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</si>
  <si>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</si>
  <si>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</si>
  <si>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</si>
  <si>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</si>
  <si>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</si>
  <si>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</si>
  <si>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</si>
  <si>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</si>
  <si>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</si>
  <si>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</si>
  <si>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</si>
  <si>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</si>
  <si>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</si>
  <si>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</si>
  <si>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</si>
  <si>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</si>
  <si>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</si>
  <si>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</si>
  <si>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</si>
  <si>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</si>
  <si>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</si>
  <si>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</si>
  <si>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</si>
  <si>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</si>
  <si>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</si>
  <si>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</si>
  <si>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</si>
  <si>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</si>
  <si>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</si>
  <si>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</si>
  <si>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</si>
  <si>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</si>
  <si>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</si>
  <si>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</si>
  <si>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</si>
  <si>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</si>
  <si>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</si>
  <si>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</si>
  <si>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</si>
  <si>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</si>
  <si>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</si>
  <si>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</si>
  <si>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плановый период 2022 и 2023 годов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</si>
  <si>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</si>
  <si>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</si>
  <si>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</si>
  <si>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а также лицам из числа детей-сирот, детей, оставшихся без попечения родителей, благоустроенными жилыми помещениями специализированного жилищного фонда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</si>
  <si>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плановый период 2022 и 2023 годов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</si>
  <si>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2022 и 2023 годов:
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</si>
  <si>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</si>
  <si>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</si>
  <si>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</si>
  <si>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плановый период 2022 и 2023 годов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</si>
  <si>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плановый период 2022 и 2023 годов
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</si>
  <si>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</si>
  <si>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возмещение расходов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плановый период 2022 и 2023 годов</t>
  </si>
  <si>
    <t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плановый период 2022 и 2023 годов</t>
  </si>
  <si>
    <t xml:space="preserve">Субсидии бюджетам городских округов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плановый период 2022 и 2023 годов
</t>
  </si>
  <si>
    <t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</si>
  <si>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</si>
  <si>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</si>
  <si>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плановый период 2022 и 2023 годов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</si>
  <si>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
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</si>
  <si>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</si>
  <si>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</si>
  <si>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</si>
  <si>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</si>
  <si>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(-191,4)</t>
  </si>
  <si>
    <t>(-198,7)</t>
  </si>
  <si>
    <t>(-1,4)</t>
  </si>
  <si>
    <t>(+8,7)</t>
  </si>
  <si>
    <t>(-369,9)</t>
  </si>
  <si>
    <t>(-273,9)</t>
  </si>
  <si>
    <t>(-1,9)</t>
  </si>
  <si>
    <t>(-94,1)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</si>
  <si>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</si>
  <si>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</si>
  <si>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</si>
  <si>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112 01040 01 0000 120</t>
  </si>
  <si>
    <t>(-218,088)</t>
  </si>
  <si>
    <t>(-210,612)</t>
  </si>
  <si>
    <t>(-56,138)</t>
  </si>
  <si>
    <t>(-49,232)</t>
  </si>
  <si>
    <t>(-423,36)</t>
  </si>
  <si>
    <t>(-445,47)</t>
  </si>
  <si>
    <t>(-633,766)</t>
  </si>
  <si>
    <t>(-633,826)</t>
  </si>
  <si>
    <t>(+63,76)</t>
  </si>
  <si>
    <t>(+71,548)</t>
  </si>
  <si>
    <t xml:space="preserve">                 от     .03.2021г. № 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</si>
  <si>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</si>
  <si>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</si>
  <si>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</si>
  <si>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</si>
  <si>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</si>
  <si>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</si>
  <si>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</si>
  <si>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</si>
  <si>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</si>
  <si>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</si>
  <si>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</si>
  <si>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</si>
  <si>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Приложение № 4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</si>
  <si>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</si>
  <si>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</si>
  <si>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</si>
  <si>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</si>
  <si>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Мероприятия по поддержке социально ориентированных некоммерческих организаций</t>
  </si>
  <si>
    <t xml:space="preserve">поддержка соц.ориентир.неком.организаций </t>
  </si>
  <si>
    <t>реконстр. и кап.рем.общеобраз.организаций ООШ)</t>
  </si>
  <si>
    <t>Восстановление и модернизация муниципального имущества</t>
  </si>
  <si>
    <t>05 01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</si>
  <si>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</si>
  <si>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</si>
  <si>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</si>
  <si>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</si>
  <si>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</si>
  <si>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</si>
  <si>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</si>
  <si>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</si>
  <si>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</si>
  <si>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</si>
  <si>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</si>
  <si>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Антеррерорист.защищенность</t>
  </si>
  <si>
    <t>2203.009680.34П=52000,0</t>
  </si>
  <si>
    <t>2103.009680.34П=2223,0</t>
  </si>
  <si>
    <t>отработала 17.05.2021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</si>
  <si>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</si>
  <si>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</si>
  <si>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</si>
  <si>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</si>
  <si>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</si>
  <si>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отработала 21.05.2021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</si>
  <si>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</si>
  <si>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</si>
  <si>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</si>
  <si>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 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</si>
  <si>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 на 2019-2021 годы"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</si>
  <si>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</si>
  <si>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</si>
  <si>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</si>
  <si>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</si>
  <si>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</si>
  <si>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</si>
  <si>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</si>
  <si>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</si>
  <si>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</si>
  <si>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</si>
  <si>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</si>
  <si>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</si>
  <si>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</si>
  <si>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</si>
  <si>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</si>
  <si>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</si>
  <si>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</si>
  <si>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</si>
  <si>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</si>
  <si>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</si>
  <si>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Субсидии бюджетам муниципальных образований на реализацию мероприятий по оборудованию квартир отдельных категорий граждан автономными пожарными извещателями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</si>
  <si>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</si>
  <si>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</si>
  <si>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проверка</t>
  </si>
  <si>
    <t>дефицит 35839 (свободный остаток м/б 31 - экономия по кадастр.работам)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</si>
  <si>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</si>
  <si>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</si>
  <si>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</si>
  <si>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</si>
  <si>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</si>
  <si>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</si>
  <si>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</si>
  <si>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</si>
  <si>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</si>
  <si>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</si>
  <si>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(+404,7)(+63,47)(+8,35)(+22,38)</t>
  </si>
  <si>
    <t>11 05</t>
  </si>
  <si>
    <t>60 0 05 00000</t>
  </si>
  <si>
    <t>Инициативный проект "Благоустройство дворовой территории п.Омсукчан по ул. Октябрьская (дома 4,6,6а)"</t>
  </si>
  <si>
    <t>60 0 05 S1214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</si>
  <si>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</si>
  <si>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</si>
  <si>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(+4173,5)</t>
  </si>
  <si>
    <t>(+4816,3)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</si>
  <si>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</si>
  <si>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</si>
  <si>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</si>
  <si>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</si>
  <si>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06,09.08.2021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</si>
  <si>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</si>
  <si>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</si>
  <si>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</si>
  <si>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(+10922,9)</t>
  </si>
  <si>
    <t>57 0 02 20100</t>
  </si>
  <si>
    <t>(-200,0)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</si>
  <si>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</si>
  <si>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</si>
  <si>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</si>
  <si>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</si>
  <si>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</si>
  <si>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</si>
  <si>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</si>
  <si>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1 12 01 040 01 00000 120</t>
  </si>
  <si>
    <t xml:space="preserve">Субсидии бюджетам городских округов на реализацию мероприятий подпрограммы "Развитие библиотечного дела Магаданской области" государственной программы Магаданской области "Развитие  культуры в Магаданской области" 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</si>
  <si>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</si>
  <si>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</si>
  <si>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</si>
  <si>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Субсидии бюджетам городских округов на реализацию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</t>
  </si>
  <si>
    <t xml:space="preserve">Субсидии бюджетам городских округов на совершенствование питания учащихся в общеобразовательных организациях </t>
  </si>
  <si>
    <t xml:space="preserve">Субсидии бюджетам городских округов на организацию и проведение областных универсальных совместных ярмарок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</si>
  <si>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</si>
  <si>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</si>
  <si>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Субсидии бюджетам городских округов на питание детей-инвалидов, детей с ограниченными возможностями здоровья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</si>
  <si>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</si>
  <si>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 xml:space="preserve">Субвенции бюджетам городских округов на финансовое обеспечение муниципальных дошкольных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</si>
  <si>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</si>
  <si>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</si>
  <si>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</si>
  <si>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</si>
  <si>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</si>
  <si>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</si>
  <si>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</si>
  <si>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</si>
  <si>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</si>
  <si>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</si>
  <si>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детям,оставшимся без попечения родителей, лицам из их числа
по договорам найма специализированных жилых помещений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</si>
  <si>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</si>
  <si>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</si>
  <si>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</si>
  <si>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(+1492,7)</t>
  </si>
  <si>
    <t>(+205,9) (+463,7)(+68,0) (+83,0) (+6,0) (+55,0)(+120,0) (+500,0) (+300,0)(+247,8)(+659)(+7000,0) (+463,7)(+15,0)(+1028,0) (-8,6)(+512,335)(+25,0)(+38,0) (+63,806)(+58,0)            = 11439,941</t>
  </si>
  <si>
    <t>План на 2021 год, тыс.руб.</t>
  </si>
  <si>
    <t>Исполнено за 9 месяцев 2021 года, тыс.руб.</t>
  </si>
  <si>
    <t>Процент исполнения, %</t>
  </si>
  <si>
    <t>Исполнение доходов бюджета Омсукчанского городского округа за 9 месяцев 2021 года</t>
  </si>
  <si>
    <t>Приложение №1</t>
  </si>
  <si>
    <t>Приложение № 2</t>
  </si>
  <si>
    <t>Исполнение ведомственной  структуры расходов бюджета Омсукчанского городского округа за 9 месяцев 2021 года</t>
  </si>
  <si>
    <t xml:space="preserve"> Исполнение распределения бюджетных ассигнований, направляемых на реализацию муниципальных программ  Омсукчанского городского округа за 9 месяцев 2021 года</t>
  </si>
  <si>
    <t>Исполнение по источникам внутреннего финансирования дефицита</t>
  </si>
  <si>
    <t>бюджета Омсукчанского городского округа  за 9 месяцев 2021 года</t>
  </si>
  <si>
    <t>1 01 02080 01 1000 110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</si>
  <si>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</si>
  <si>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</si>
  <si>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Плата по соглашениям об установлении сервитута, заключенным органами местного самоуправления городских округов</t>
  </si>
  <si>
    <t>1 11 05320 04 0000 120</t>
  </si>
  <si>
    <t>1 11 05324 04 0000 120</t>
  </si>
  <si>
    <t>1 16 07010 00 0000 140</t>
  </si>
  <si>
    <t>1 16 07010 04 0000 140</t>
  </si>
  <si>
    <t xml:space="preserve">1 16 10120 00 0000 140
</t>
  </si>
  <si>
    <t>1 16 10123 01 0041 140</t>
  </si>
  <si>
    <t>1 16 10129 01 0000 140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</si>
  <si>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</si>
  <si>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</si>
  <si>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</si>
  <si>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</si>
  <si>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</si>
  <si>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1 17 01040 04 0000 180</t>
  </si>
  <si>
    <t>Невыясненные поступления</t>
  </si>
  <si>
    <t>2 19 00000 00 0000 000</t>
  </si>
  <si>
    <t>2 19 60010 04 0000 150</t>
  </si>
  <si>
    <t>2 19 35930 04 0000 150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</si>
  <si>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</si>
  <si>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</si>
  <si>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субвенций на государственную регистрацию актов гражданского состояния из бюджетов городских округов
</t>
  </si>
  <si>
    <t>-</t>
  </si>
  <si>
    <t xml:space="preserve">от 13.10.2021г. № 499 </t>
  </si>
  <si>
    <t>городского округа</t>
  </si>
  <si>
    <t>администрации</t>
  </si>
  <si>
    <t>к постановлению</t>
  </si>
  <si>
    <t xml:space="preserve">от 13.10.2021г. № 499     </t>
  </si>
  <si>
    <t>Исполнение распределения бюджетных ассигнований по разделам и подразделам классификации  расходов бюджетов Российской Федерации за 9 месяцев 2021 года</t>
  </si>
  <si>
    <t>от 13.10.2021г. № 499</t>
  </si>
  <si>
    <t>администорации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</si>
  <si>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9 месяцев 2021 года</t>
  </si>
  <si>
    <t>Исполнение распределения бюджетных ассигнований, направляемых на исполнение публичных нормативных обязательств за 9 месяцев 2021 года</t>
  </si>
  <si>
    <t>Приложение № 7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</si>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</sst>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0.000"/>
    <numFmt numFmtId="169" formatCode="#,##0.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9" fillId="0" borderId="0"/>
    <xf numFmtId="165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33" borderId="0" applyNumberFormat="0" applyBorder="0" applyAlignment="0" applyProtection="0"/>
    <xf numFmtId="0" fontId="51" fillId="21" borderId="21" applyNumberFormat="0" applyAlignment="0" applyProtection="0"/>
    <xf numFmtId="0" fontId="52" fillId="34" borderId="22" applyNumberFormat="0" applyAlignment="0" applyProtection="0"/>
    <xf numFmtId="0" fontId="53" fillId="34" borderId="2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8" fillId="35" borderId="27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6" fillId="0" borderId="0"/>
    <xf numFmtId="0" fontId="61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7" borderId="28" applyNumberFormat="0" applyFont="0" applyAlignment="0" applyProtection="0"/>
    <xf numFmtId="0" fontId="63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8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6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6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3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6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9" fillId="0" borderId="0" xfId="0" applyFont="1" applyFill="1" applyBorder="1"/>
    <xf numFmtId="166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6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6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6" fontId="2" fillId="7" borderId="2" xfId="1" applyNumberFormat="1" applyFont="1" applyFill="1" applyBorder="1" applyAlignment="1">
      <alignment horizontal="center" vertical="center" wrapText="1"/>
    </xf>
    <xf numFmtId="166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6" fontId="2" fillId="7" borderId="2" xfId="1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6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3" fillId="0" borderId="0" xfId="0" applyNumberFormat="1" applyFont="1" applyFill="1" applyAlignment="1">
      <alignment horizontal="right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/>
    <xf numFmtId="166" fontId="32" fillId="0" borderId="0" xfId="0" applyNumberFormat="1" applyFont="1" applyFill="1"/>
    <xf numFmtId="0" fontId="3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6" fontId="12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3" fillId="2" borderId="0" xfId="1" applyNumberFormat="1" applyFont="1" applyFill="1" applyAlignment="1">
      <alignment horizontal="center"/>
    </xf>
    <xf numFmtId="166" fontId="11" fillId="0" borderId="2" xfId="1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7" fontId="11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5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66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3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6" fontId="2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center"/>
    </xf>
    <xf numFmtId="166" fontId="2" fillId="0" borderId="8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49" fontId="2" fillId="7" borderId="2" xfId="1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2" fillId="7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167" fontId="11" fillId="0" borderId="3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" fontId="43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44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4" fillId="11" borderId="2" xfId="0" applyFont="1" applyFill="1" applyBorder="1" applyAlignment="1">
      <alignment horizontal="center" vertical="center" wrapText="1"/>
    </xf>
    <xf numFmtId="167" fontId="11" fillId="0" borderId="8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4" fontId="45" fillId="0" borderId="0" xfId="0" applyNumberFormat="1" applyFont="1"/>
    <xf numFmtId="0" fontId="45" fillId="0" borderId="0" xfId="0" applyFont="1"/>
    <xf numFmtId="166" fontId="12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166" fontId="1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6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9" fillId="0" borderId="0" xfId="1" applyNumberFormat="1" applyFill="1"/>
    <xf numFmtId="0" fontId="44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6" fontId="13" fillId="0" borderId="2" xfId="1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/>
    </xf>
    <xf numFmtId="166" fontId="2" fillId="3" borderId="8" xfId="0" applyNumberFormat="1" applyFont="1" applyFill="1" applyBorder="1" applyAlignment="1">
      <alignment horizontal="center" vertical="center" wrapText="1"/>
    </xf>
    <xf numFmtId="166" fontId="3" fillId="4" borderId="2" xfId="1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 wrapText="1"/>
    </xf>
    <xf numFmtId="166" fontId="2" fillId="4" borderId="2" xfId="1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2" applyNumberFormat="1" applyFont="1" applyFill="1" applyBorder="1" applyAlignment="1">
      <alignment horizontal="center" vertical="center"/>
    </xf>
    <xf numFmtId="166" fontId="42" fillId="0" borderId="0" xfId="0" applyNumberFormat="1" applyFont="1" applyFill="1"/>
    <xf numFmtId="166" fontId="21" fillId="0" borderId="2" xfId="0" applyNumberFormat="1" applyFont="1" applyFill="1" applyBorder="1" applyAlignment="1">
      <alignment horizontal="center" vertical="center" wrapText="1"/>
    </xf>
    <xf numFmtId="166" fontId="26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13" fillId="0" borderId="0" xfId="1" applyNumberFormat="1" applyFont="1" applyFill="1" applyAlignment="1">
      <alignment horizontal="center"/>
    </xf>
    <xf numFmtId="166" fontId="14" fillId="0" borderId="0" xfId="1" applyNumberFormat="1" applyFont="1" applyFill="1"/>
    <xf numFmtId="0" fontId="13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166" fontId="9" fillId="0" borderId="0" xfId="1" applyNumberFormat="1" applyFill="1" applyAlignment="1">
      <alignment horizontal="center"/>
    </xf>
    <xf numFmtId="166" fontId="8" fillId="0" borderId="0" xfId="1" applyNumberFormat="1" applyFont="1" applyFill="1" applyAlignment="1">
      <alignment horizontal="center"/>
    </xf>
    <xf numFmtId="166" fontId="11" fillId="0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2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7" borderId="2" xfId="1" applyFont="1" applyFill="1" applyBorder="1" applyAlignment="1">
      <alignment vertical="center" wrapText="1"/>
    </xf>
    <xf numFmtId="4" fontId="0" fillId="12" borderId="2" xfId="0" applyNumberForma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7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44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26" fillId="0" borderId="3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Alignment="1">
      <alignment horizontal="left" vertical="top" wrapText="1"/>
    </xf>
    <xf numFmtId="0" fontId="26" fillId="0" borderId="2" xfId="0" applyNumberFormat="1" applyFont="1" applyFill="1" applyBorder="1" applyAlignment="1">
      <alignment horizontal="left" vertical="top" wrapText="1"/>
    </xf>
    <xf numFmtId="0" fontId="26" fillId="0" borderId="3" xfId="1" applyNumberFormat="1" applyFont="1" applyFill="1" applyBorder="1" applyAlignment="1">
      <alignment horizontal="left" vertical="top" wrapText="1"/>
    </xf>
    <xf numFmtId="0" fontId="26" fillId="0" borderId="2" xfId="1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center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46" fillId="0" borderId="3" xfId="0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center" wrapText="1"/>
    </xf>
    <xf numFmtId="166" fontId="13" fillId="7" borderId="2" xfId="0" applyNumberFormat="1" applyFont="1" applyFill="1" applyBorder="1" applyAlignment="1">
      <alignment horizontal="center" vertical="center"/>
    </xf>
    <xf numFmtId="166" fontId="12" fillId="7" borderId="2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justify" vertical="top" wrapText="1"/>
    </xf>
    <xf numFmtId="0" fontId="33" fillId="0" borderId="0" xfId="0" applyFont="1"/>
    <xf numFmtId="166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9" fillId="0" borderId="0" xfId="1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47" fillId="0" borderId="3" xfId="0" applyFont="1" applyFill="1" applyBorder="1" applyAlignment="1">
      <alignment horizontal="right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47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3" fillId="0" borderId="11" xfId="0" applyNumberFormat="1" applyFont="1" applyFill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1" applyNumberFormat="1" applyFill="1"/>
    <xf numFmtId="0" fontId="0" fillId="0" borderId="0" xfId="0" applyNumberFormat="1" applyFill="1" applyAlignment="1">
      <alignment horizontal="center"/>
    </xf>
    <xf numFmtId="166" fontId="0" fillId="0" borderId="0" xfId="0" applyNumberFormat="1" applyFill="1" applyAlignment="1"/>
    <xf numFmtId="4" fontId="0" fillId="0" borderId="17" xfId="0" applyNumberFormat="1" applyFill="1" applyBorder="1"/>
    <xf numFmtId="4" fontId="0" fillId="0" borderId="14" xfId="0" applyNumberFormat="1" applyFill="1" applyBorder="1"/>
    <xf numFmtId="166" fontId="11" fillId="0" borderId="2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36" fillId="0" borderId="3" xfId="0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0" fillId="15" borderId="19" xfId="0" applyFill="1" applyBorder="1"/>
    <xf numFmtId="0" fontId="0" fillId="15" borderId="18" xfId="0" applyFill="1" applyBorder="1"/>
    <xf numFmtId="0" fontId="0" fillId="0" borderId="0" xfId="0" applyFill="1" applyBorder="1" applyAlignment="1">
      <alignment horizontal="center"/>
    </xf>
    <xf numFmtId="0" fontId="0" fillId="15" borderId="0" xfId="0" applyFill="1"/>
    <xf numFmtId="169" fontId="0" fillId="12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0" fillId="0" borderId="0" xfId="0" applyFill="1" applyBorder="1" applyAlignment="1">
      <alignment horizontal="center"/>
    </xf>
    <xf numFmtId="0" fontId="9" fillId="0" borderId="0" xfId="1" applyNumberFormat="1" applyFont="1" applyFill="1"/>
    <xf numFmtId="0" fontId="9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left" vertical="center"/>
    </xf>
    <xf numFmtId="14" fontId="0" fillId="0" borderId="0" xfId="0" applyNumberFormat="1" applyFill="1" applyBorder="1"/>
    <xf numFmtId="14" fontId="0" fillId="0" borderId="0" xfId="0" applyNumberFormat="1" applyFill="1"/>
    <xf numFmtId="14" fontId="2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2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2" fillId="0" borderId="9" xfId="1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6" fontId="0" fillId="0" borderId="0" xfId="0" applyNumberFormat="1" applyFill="1"/>
    <xf numFmtId="14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8" fillId="13" borderId="2" xfId="0" applyFont="1" applyFill="1" applyBorder="1" applyAlignment="1">
      <alignment horizontal="center" vertical="center" wrapText="1"/>
    </xf>
    <xf numFmtId="4" fontId="27" fillId="12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6" fontId="2" fillId="0" borderId="0" xfId="1" applyNumberFormat="1" applyFont="1" applyFill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top" wrapText="1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center" wrapText="1"/>
    </xf>
    <xf numFmtId="166" fontId="2" fillId="2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166" fontId="2" fillId="0" borderId="0" xfId="1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" builtinId="8"/>
    <cellStyle name="Гиперссылка 2" xfId="31"/>
    <cellStyle name="Денежный 2" xfId="32"/>
    <cellStyle name="Денежный 3" xfId="49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41"/>
    <cellStyle name="Обычный 3" xfId="48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" xfId="2" builtinId="3"/>
    <cellStyle name="Хороший 2" xfId="4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&#1085;&#1072;%202021%20&#1075;&#1086;&#1076;/&#1041;&#1102;&#1076;&#1078;&#1077;&#1090;%202021&#1075;/&#1059;&#1090;&#1086;&#1095;&#1085;&#1077;&#1085;&#1080;&#1077;%20&#1073;&#1102;&#1076;&#1078;&#1077;&#1090;&#1072;/&#1059;&#1090;&#1086;&#1095;&#1085;&#1077;&#1085;&#1080;&#1077;%20&#1092;&#1077;&#1074;&#1088;&#1072;&#1083;&#1100;/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  <row r="130">
          <cell r="C130">
            <v>2829.1</v>
          </cell>
        </row>
        <row r="132">
          <cell r="C132">
            <v>341.4</v>
          </cell>
        </row>
        <row r="134">
          <cell r="C134">
            <v>1334.3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69">
          <cell r="F269">
            <v>0</v>
          </cell>
        </row>
        <row r="270">
          <cell r="F270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29">
          <cell r="F329">
            <v>0</v>
          </cell>
        </row>
        <row r="330">
          <cell r="F330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400">
          <cell r="F400">
            <v>0</v>
          </cell>
        </row>
        <row r="401">
          <cell r="F401">
            <v>0</v>
          </cell>
        </row>
        <row r="402">
          <cell r="F402">
            <v>0</v>
          </cell>
        </row>
        <row r="423">
          <cell r="F423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56">
          <cell r="F656">
            <v>0</v>
          </cell>
        </row>
        <row r="657">
          <cell r="F657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753">
          <cell r="F753">
            <v>983</v>
          </cell>
        </row>
        <row r="754">
          <cell r="F754">
            <v>983</v>
          </cell>
        </row>
        <row r="800">
          <cell r="F800">
            <v>0</v>
          </cell>
        </row>
        <row r="801">
          <cell r="F801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</sheetData>
      <sheetData sheetId="5"/>
      <sheetData sheetId="6">
        <row r="47">
          <cell r="G47">
            <v>40.5</v>
          </cell>
        </row>
        <row r="99">
          <cell r="G99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99">
          <cell r="G299">
            <v>0</v>
          </cell>
        </row>
        <row r="300">
          <cell r="G300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408">
          <cell r="G408">
            <v>0</v>
          </cell>
        </row>
        <row r="409">
          <cell r="G409">
            <v>0</v>
          </cell>
        </row>
        <row r="456">
          <cell r="G456">
            <v>420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84">
          <cell r="G784">
            <v>769.23</v>
          </cell>
        </row>
        <row r="859">
          <cell r="G859">
            <v>0</v>
          </cell>
        </row>
        <row r="860">
          <cell r="G860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83">
          <cell r="G883">
            <v>0</v>
          </cell>
        </row>
        <row r="888">
          <cell r="G888">
            <v>0</v>
          </cell>
        </row>
        <row r="889">
          <cell r="G889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73">
          <cell r="G973">
            <v>0</v>
          </cell>
        </row>
        <row r="974">
          <cell r="G974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8"/>
  <sheetViews>
    <sheetView view="pageBreakPreview" topLeftCell="A162" zoomScale="90" zoomScaleNormal="90" zoomScaleSheetLayoutView="90" workbookViewId="0">
      <selection activeCell="E6" sqref="E6"/>
    </sheetView>
  </sheetViews>
  <sheetFormatPr defaultColWidth="9.140625" defaultRowHeight="15" x14ac:dyDescent="0.25"/>
  <cols>
    <col min="1" max="1" width="25.140625" style="128" customWidth="1"/>
    <col min="2" max="2" width="79.140625" style="128" customWidth="1"/>
    <col min="3" max="3" width="14.42578125" style="175" customWidth="1"/>
    <col min="4" max="4" width="14.28515625" style="175" customWidth="1"/>
    <col min="5" max="5" width="12.28515625" style="175" customWidth="1"/>
    <col min="6" max="6" width="11.85546875" style="128" customWidth="1"/>
    <col min="7" max="7" width="12.5703125" style="128" customWidth="1"/>
    <col min="8" max="8" width="11.85546875" style="128" customWidth="1"/>
    <col min="9" max="9" width="15" style="128" customWidth="1"/>
    <col min="10" max="10" width="15.85546875" style="203" customWidth="1"/>
    <col min="11" max="11" width="9.7109375" style="128" bestFit="1" customWidth="1"/>
    <col min="12" max="12" width="17" style="128" customWidth="1"/>
    <col min="13" max="16384" width="9.140625" style="128"/>
  </cols>
  <sheetData>
    <row r="1" spans="1:12" ht="15" customHeight="1" x14ac:dyDescent="0.25">
      <c r="C1" s="195"/>
      <c r="D1" s="582" t="s">
        <v>1775</v>
      </c>
      <c r="E1" s="582"/>
    </row>
    <row r="2" spans="1:12" ht="15" customHeight="1" x14ac:dyDescent="0.25">
      <c r="C2" s="515"/>
      <c r="D2" s="583" t="s">
        <v>1809</v>
      </c>
      <c r="E2" s="583"/>
    </row>
    <row r="3" spans="1:12" ht="15.75" x14ac:dyDescent="0.25">
      <c r="C3" s="434"/>
      <c r="D3" s="583" t="s">
        <v>1808</v>
      </c>
      <c r="E3" s="583"/>
    </row>
    <row r="4" spans="1:12" s="529" customFormat="1" ht="15.75" x14ac:dyDescent="0.25">
      <c r="C4" s="434"/>
      <c r="D4" s="583" t="s">
        <v>1807</v>
      </c>
      <c r="E4" s="583"/>
      <c r="J4" s="539"/>
    </row>
    <row r="5" spans="1:12" ht="15.75" x14ac:dyDescent="0.25">
      <c r="B5" s="130"/>
      <c r="C5" s="507"/>
      <c r="D5" s="583" t="s">
        <v>1806</v>
      </c>
      <c r="E5" s="583"/>
    </row>
    <row r="6" spans="1:12" ht="15.75" x14ac:dyDescent="0.25">
      <c r="A6" s="547"/>
      <c r="B6" s="547"/>
      <c r="C6" s="547"/>
      <c r="D6" s="128"/>
      <c r="E6" s="128"/>
    </row>
    <row r="7" spans="1:12" ht="15.75" x14ac:dyDescent="0.25">
      <c r="A7" s="547" t="s">
        <v>1774</v>
      </c>
      <c r="B7" s="547"/>
      <c r="C7" s="547"/>
      <c r="D7" s="547"/>
      <c r="E7" s="547"/>
    </row>
    <row r="8" spans="1:12" ht="15.75" x14ac:dyDescent="0.25">
      <c r="A8" s="547"/>
      <c r="B8" s="547"/>
      <c r="C8" s="547"/>
      <c r="D8" s="128"/>
      <c r="E8" s="128"/>
    </row>
    <row r="9" spans="1:12" ht="15.75" x14ac:dyDescent="0.25">
      <c r="A9" s="131"/>
      <c r="B9" s="131"/>
      <c r="C9" s="514"/>
      <c r="D9" s="514"/>
      <c r="E9" s="514"/>
    </row>
    <row r="10" spans="1:12" ht="60" x14ac:dyDescent="0.25">
      <c r="A10" s="132" t="s">
        <v>2</v>
      </c>
      <c r="B10" s="133" t="s">
        <v>3</v>
      </c>
      <c r="C10" s="366" t="s">
        <v>1771</v>
      </c>
      <c r="D10" s="366" t="s">
        <v>1772</v>
      </c>
      <c r="E10" s="366" t="s">
        <v>1773</v>
      </c>
    </row>
    <row r="11" spans="1:12" ht="15.75" x14ac:dyDescent="0.25">
      <c r="A11" s="134" t="s">
        <v>5</v>
      </c>
      <c r="B11" s="135" t="s">
        <v>6</v>
      </c>
      <c r="C11" s="450">
        <f>C12+C19+C25+C35+C43+C46+C54+C61+C64+C69+C82</f>
        <v>328734.64099999995</v>
      </c>
      <c r="D11" s="450">
        <f>D12+D19+D25+D35+D43+D46+D54+D61+D64+D69+D82</f>
        <v>255400.37279000002</v>
      </c>
      <c r="E11" s="450">
        <f>D11/C11*100</f>
        <v>77.691956044875738</v>
      </c>
      <c r="G11" s="115"/>
      <c r="H11" s="115"/>
      <c r="J11" s="415"/>
    </row>
    <row r="12" spans="1:12" ht="15.75" x14ac:dyDescent="0.25">
      <c r="A12" s="136" t="s">
        <v>7</v>
      </c>
      <c r="B12" s="135" t="s">
        <v>8</v>
      </c>
      <c r="C12" s="450">
        <f>C13</f>
        <v>260443.541</v>
      </c>
      <c r="D12" s="450">
        <f t="shared" ref="D12" si="0">D13</f>
        <v>199418.345</v>
      </c>
      <c r="E12" s="450">
        <f t="shared" ref="E12:E76" si="1">D12/C12*100</f>
        <v>76.568742781760903</v>
      </c>
      <c r="F12" s="115"/>
      <c r="G12" s="115"/>
      <c r="H12" s="115"/>
      <c r="I12" s="115"/>
      <c r="J12" s="415"/>
    </row>
    <row r="13" spans="1:12" ht="15.75" x14ac:dyDescent="0.25">
      <c r="A13" s="137" t="s">
        <v>9</v>
      </c>
      <c r="B13" s="138" t="s">
        <v>10</v>
      </c>
      <c r="C13" s="450">
        <f>SUM(C14:C17)</f>
        <v>260443.541</v>
      </c>
      <c r="D13" s="450">
        <f>SUM(D14:D18)</f>
        <v>199418.345</v>
      </c>
      <c r="E13" s="450">
        <f t="shared" si="1"/>
        <v>76.568742781760903</v>
      </c>
      <c r="F13" s="115"/>
      <c r="G13" s="115"/>
      <c r="H13" s="115"/>
      <c r="I13" s="115"/>
      <c r="J13" s="415"/>
    </row>
    <row r="14" spans="1:12" ht="63" x14ac:dyDescent="0.25">
      <c r="A14" s="198" t="s">
        <v>11</v>
      </c>
      <c r="B14" s="139" t="s">
        <v>12</v>
      </c>
      <c r="C14" s="451">
        <f>210036+19491.2+1336+140+205.9</f>
        <v>231209.1</v>
      </c>
      <c r="D14" s="451">
        <v>168502.43299999999</v>
      </c>
      <c r="E14" s="451">
        <f t="shared" si="1"/>
        <v>72.878806673266752</v>
      </c>
      <c r="J14" s="477"/>
      <c r="K14" s="199"/>
      <c r="L14" s="199"/>
    </row>
    <row r="15" spans="1:12" ht="94.5" x14ac:dyDescent="0.25">
      <c r="A15" s="198" t="s">
        <v>13</v>
      </c>
      <c r="B15" s="140" t="s">
        <v>14</v>
      </c>
      <c r="C15" s="451">
        <v>856</v>
      </c>
      <c r="D15" s="451">
        <v>2226.5239999999999</v>
      </c>
      <c r="E15" s="451">
        <f t="shared" si="1"/>
        <v>260.1079439252336</v>
      </c>
    </row>
    <row r="16" spans="1:12" ht="36.75" customHeight="1" x14ac:dyDescent="0.25">
      <c r="A16" s="198" t="s">
        <v>15</v>
      </c>
      <c r="B16" s="140" t="s">
        <v>16</v>
      </c>
      <c r="C16" s="451">
        <f>1175+8863.1+2708.4+7000+1028+15-8.6+512.335+25+38+63.806+58+6354.4</f>
        <v>27832.440999999999</v>
      </c>
      <c r="D16" s="451">
        <v>26960.056</v>
      </c>
      <c r="E16" s="451">
        <f t="shared" si="1"/>
        <v>96.865582145669521</v>
      </c>
      <c r="J16" s="477" t="s">
        <v>1770</v>
      </c>
    </row>
    <row r="17" spans="1:6" ht="78.75" x14ac:dyDescent="0.25">
      <c r="A17" s="198" t="s">
        <v>17</v>
      </c>
      <c r="B17" s="140" t="s">
        <v>18</v>
      </c>
      <c r="C17" s="451">
        <v>546</v>
      </c>
      <c r="D17" s="451">
        <v>38.572000000000003</v>
      </c>
      <c r="E17" s="451">
        <f t="shared" si="1"/>
        <v>7.0644688644688642</v>
      </c>
    </row>
    <row r="18" spans="1:6" ht="97.5" customHeight="1" x14ac:dyDescent="0.25">
      <c r="A18" s="519" t="s">
        <v>1781</v>
      </c>
      <c r="B18" s="520" t="s">
        <v>14</v>
      </c>
      <c r="C18" s="451">
        <v>0</v>
      </c>
      <c r="D18" s="451">
        <v>1690.76</v>
      </c>
      <c r="E18" s="451" t="s">
        <v>1805</v>
      </c>
    </row>
    <row r="19" spans="1:6" ht="31.5" x14ac:dyDescent="0.25">
      <c r="A19" s="141" t="s">
        <v>19</v>
      </c>
      <c r="B19" s="142" t="s">
        <v>20</v>
      </c>
      <c r="C19" s="450">
        <f t="shared" ref="C19:D19" si="2">C20</f>
        <v>2319</v>
      </c>
      <c r="D19" s="450">
        <f t="shared" si="2"/>
        <v>2213.0360000000001</v>
      </c>
      <c r="E19" s="450">
        <f t="shared" si="1"/>
        <v>95.430616645105644</v>
      </c>
    </row>
    <row r="20" spans="1:6" ht="31.5" x14ac:dyDescent="0.25">
      <c r="A20" s="180" t="s">
        <v>21</v>
      </c>
      <c r="B20" s="181" t="s">
        <v>22</v>
      </c>
      <c r="C20" s="450">
        <f t="shared" ref="C20" si="3">SUM(C21:C23)</f>
        <v>2319</v>
      </c>
      <c r="D20" s="450">
        <f>SUM(D21:D24)</f>
        <v>2213.0360000000001</v>
      </c>
      <c r="E20" s="450">
        <f t="shared" si="1"/>
        <v>95.430616645105644</v>
      </c>
    </row>
    <row r="21" spans="1:6" ht="100.5" customHeight="1" x14ac:dyDescent="0.25">
      <c r="A21" s="143" t="s">
        <v>1545</v>
      </c>
      <c r="B21" s="140" t="s">
        <v>1617</v>
      </c>
      <c r="C21" s="451">
        <v>1064.8</v>
      </c>
      <c r="D21" s="451">
        <v>1003.771</v>
      </c>
      <c r="E21" s="451">
        <f t="shared" si="1"/>
        <v>94.268501126972211</v>
      </c>
    </row>
    <row r="22" spans="1:6" ht="117" customHeight="1" x14ac:dyDescent="0.25">
      <c r="A22" s="512" t="s">
        <v>1546</v>
      </c>
      <c r="B22" s="140" t="s">
        <v>1618</v>
      </c>
      <c r="C22" s="451">
        <v>6.1</v>
      </c>
      <c r="D22" s="451">
        <v>7.1740000000000004</v>
      </c>
      <c r="E22" s="451">
        <f t="shared" si="1"/>
        <v>117.6065573770492</v>
      </c>
    </row>
    <row r="23" spans="1:6" ht="98.45" customHeight="1" x14ac:dyDescent="0.25">
      <c r="A23" s="512" t="s">
        <v>1547</v>
      </c>
      <c r="B23" s="140" t="s">
        <v>1619</v>
      </c>
      <c r="C23" s="451">
        <v>1248.0999999999999</v>
      </c>
      <c r="D23" s="451">
        <v>1379.2919999999999</v>
      </c>
      <c r="E23" s="451">
        <f t="shared" si="1"/>
        <v>110.51133723259355</v>
      </c>
    </row>
    <row r="24" spans="1:6" ht="98.45" customHeight="1" x14ac:dyDescent="0.25">
      <c r="A24" s="540" t="s">
        <v>1783</v>
      </c>
      <c r="B24" s="532" t="s">
        <v>1782</v>
      </c>
      <c r="C24" s="451">
        <v>0</v>
      </c>
      <c r="D24" s="451">
        <v>-177.20099999999999</v>
      </c>
      <c r="E24" s="451" t="s">
        <v>1805</v>
      </c>
    </row>
    <row r="25" spans="1:6" ht="18.75" x14ac:dyDescent="0.25">
      <c r="A25" s="137" t="s">
        <v>23</v>
      </c>
      <c r="B25" s="138" t="s">
        <v>24</v>
      </c>
      <c r="C25" s="450">
        <f>SUM(C26+C31+C33)</f>
        <v>16053.8</v>
      </c>
      <c r="D25" s="450">
        <f t="shared" ref="D25" si="4">SUM(D26+D31+D33)</f>
        <v>14933.330000000002</v>
      </c>
      <c r="E25" s="450">
        <f t="shared" si="1"/>
        <v>93.020530964631448</v>
      </c>
      <c r="F25" s="196"/>
    </row>
    <row r="26" spans="1:6" ht="31.5" x14ac:dyDescent="0.25">
      <c r="A26" s="134" t="s">
        <v>25</v>
      </c>
      <c r="B26" s="138" t="s">
        <v>26</v>
      </c>
      <c r="C26" s="450">
        <f>C27+C29</f>
        <v>13524.8</v>
      </c>
      <c r="D26" s="450">
        <f>D27+D29</f>
        <v>11540.167000000001</v>
      </c>
      <c r="E26" s="450">
        <f t="shared" si="1"/>
        <v>85.325971548562649</v>
      </c>
    </row>
    <row r="27" spans="1:6" ht="31.5" x14ac:dyDescent="0.25">
      <c r="A27" s="134" t="s">
        <v>1116</v>
      </c>
      <c r="B27" s="206" t="s">
        <v>28</v>
      </c>
      <c r="C27" s="450">
        <f>C28</f>
        <v>6762.4</v>
      </c>
      <c r="D27" s="450">
        <f t="shared" ref="D27" si="5">D28</f>
        <v>7971.1180000000004</v>
      </c>
      <c r="E27" s="450">
        <f t="shared" si="1"/>
        <v>117.87409795338934</v>
      </c>
    </row>
    <row r="28" spans="1:6" ht="31.5" x14ac:dyDescent="0.25">
      <c r="A28" s="132" t="s">
        <v>27</v>
      </c>
      <c r="B28" s="98" t="s">
        <v>28</v>
      </c>
      <c r="C28" s="451">
        <v>6762.4</v>
      </c>
      <c r="D28" s="451">
        <v>7971.1180000000004</v>
      </c>
      <c r="E28" s="451">
        <f t="shared" si="1"/>
        <v>117.87409795338934</v>
      </c>
    </row>
    <row r="29" spans="1:6" ht="36.75" customHeight="1" x14ac:dyDescent="0.25">
      <c r="A29" s="134" t="s">
        <v>1115</v>
      </c>
      <c r="B29" s="239" t="s">
        <v>1114</v>
      </c>
      <c r="C29" s="450">
        <f>C30</f>
        <v>6762.4</v>
      </c>
      <c r="D29" s="450">
        <f t="shared" ref="D29" si="6">D30</f>
        <v>3569.049</v>
      </c>
      <c r="E29" s="450">
        <f t="shared" si="1"/>
        <v>52.777845143735959</v>
      </c>
    </row>
    <row r="30" spans="1:6" ht="50.25" customHeight="1" x14ac:dyDescent="0.25">
      <c r="A30" s="132" t="s">
        <v>29</v>
      </c>
      <c r="B30" s="144" t="s">
        <v>30</v>
      </c>
      <c r="C30" s="451">
        <f>C28</f>
        <v>6762.4</v>
      </c>
      <c r="D30" s="451">
        <v>3569.049</v>
      </c>
      <c r="E30" s="451">
        <f t="shared" si="1"/>
        <v>52.777845143735959</v>
      </c>
    </row>
    <row r="31" spans="1:6" ht="15.75" x14ac:dyDescent="0.25">
      <c r="A31" s="134" t="s">
        <v>31</v>
      </c>
      <c r="B31" s="147" t="s">
        <v>32</v>
      </c>
      <c r="C31" s="450">
        <f t="shared" ref="C31:D31" si="7">SUM(C32:C32)</f>
        <v>2159</v>
      </c>
      <c r="D31" s="450">
        <f t="shared" si="7"/>
        <v>283.55099999999999</v>
      </c>
      <c r="E31" s="450">
        <f t="shared" si="1"/>
        <v>13.133441408059285</v>
      </c>
    </row>
    <row r="32" spans="1:6" ht="15.75" x14ac:dyDescent="0.25">
      <c r="A32" s="198" t="s">
        <v>33</v>
      </c>
      <c r="B32" s="139" t="s">
        <v>32</v>
      </c>
      <c r="C32" s="451">
        <v>2159</v>
      </c>
      <c r="D32" s="451">
        <v>283.55099999999999</v>
      </c>
      <c r="E32" s="451">
        <f t="shared" si="1"/>
        <v>13.133441408059285</v>
      </c>
    </row>
    <row r="33" spans="1:6" ht="31.5" x14ac:dyDescent="0.25">
      <c r="A33" s="134" t="s">
        <v>1127</v>
      </c>
      <c r="B33" s="145" t="s">
        <v>1117</v>
      </c>
      <c r="C33" s="450">
        <f>C34</f>
        <v>370</v>
      </c>
      <c r="D33" s="450">
        <f t="shared" ref="D33" si="8">D34</f>
        <v>3109.6120000000001</v>
      </c>
      <c r="E33" s="450">
        <f t="shared" si="1"/>
        <v>840.43567567567572</v>
      </c>
    </row>
    <row r="34" spans="1:6" ht="31.5" x14ac:dyDescent="0.25">
      <c r="A34" s="132" t="s">
        <v>34</v>
      </c>
      <c r="B34" s="231" t="s">
        <v>35</v>
      </c>
      <c r="C34" s="451">
        <v>370</v>
      </c>
      <c r="D34" s="451">
        <v>3109.6120000000001</v>
      </c>
      <c r="E34" s="451">
        <f t="shared" si="1"/>
        <v>840.43567567567572</v>
      </c>
    </row>
    <row r="35" spans="1:6" ht="15.75" x14ac:dyDescent="0.25">
      <c r="A35" s="137" t="s">
        <v>36</v>
      </c>
      <c r="B35" s="138" t="s">
        <v>37</v>
      </c>
      <c r="C35" s="450">
        <f t="shared" ref="C35:D35" si="9">C36+C38</f>
        <v>1578</v>
      </c>
      <c r="D35" s="450">
        <f t="shared" si="9"/>
        <v>1091.2629999999999</v>
      </c>
      <c r="E35" s="450">
        <f t="shared" si="1"/>
        <v>69.154816223067172</v>
      </c>
    </row>
    <row r="36" spans="1:6" ht="15.75" x14ac:dyDescent="0.25">
      <c r="A36" s="137" t="s">
        <v>38</v>
      </c>
      <c r="B36" s="138" t="s">
        <v>39</v>
      </c>
      <c r="C36" s="450">
        <f t="shared" ref="C36:D36" si="10">C37</f>
        <v>900</v>
      </c>
      <c r="D36" s="450">
        <f t="shared" si="10"/>
        <v>595.92499999999995</v>
      </c>
      <c r="E36" s="450">
        <f t="shared" si="1"/>
        <v>66.213888888888889</v>
      </c>
    </row>
    <row r="37" spans="1:6" ht="31.7" customHeight="1" x14ac:dyDescent="0.25">
      <c r="A37" s="198" t="s">
        <v>40</v>
      </c>
      <c r="B37" s="144" t="s">
        <v>41</v>
      </c>
      <c r="C37" s="451">
        <v>900</v>
      </c>
      <c r="D37" s="451">
        <v>595.92499999999995</v>
      </c>
      <c r="E37" s="451">
        <f t="shared" si="1"/>
        <v>66.213888888888889</v>
      </c>
    </row>
    <row r="38" spans="1:6" ht="15.75" x14ac:dyDescent="0.25">
      <c r="A38" s="137" t="s">
        <v>42</v>
      </c>
      <c r="B38" s="138" t="s">
        <v>43</v>
      </c>
      <c r="C38" s="450">
        <f>C39+C41</f>
        <v>678</v>
      </c>
      <c r="D38" s="450">
        <f t="shared" ref="D38" si="11">D39+D41</f>
        <v>495.33799999999997</v>
      </c>
      <c r="E38" s="450">
        <f t="shared" si="1"/>
        <v>73.05870206489675</v>
      </c>
    </row>
    <row r="39" spans="1:6" ht="15.75" x14ac:dyDescent="0.25">
      <c r="A39" s="137" t="s">
        <v>1129</v>
      </c>
      <c r="B39" s="138" t="s">
        <v>1128</v>
      </c>
      <c r="C39" s="450">
        <f>C40</f>
        <v>521</v>
      </c>
      <c r="D39" s="450">
        <f t="shared" ref="D39" si="12">D40</f>
        <v>481.79599999999999</v>
      </c>
      <c r="E39" s="450">
        <f t="shared" si="1"/>
        <v>92.475239923224564</v>
      </c>
    </row>
    <row r="40" spans="1:6" ht="31.5" x14ac:dyDescent="0.25">
      <c r="A40" s="198" t="s">
        <v>44</v>
      </c>
      <c r="B40" s="144" t="s">
        <v>45</v>
      </c>
      <c r="C40" s="451">
        <v>521</v>
      </c>
      <c r="D40" s="451">
        <v>481.79599999999999</v>
      </c>
      <c r="E40" s="451">
        <f t="shared" si="1"/>
        <v>92.475239923224564</v>
      </c>
    </row>
    <row r="41" spans="1:6" ht="15.75" x14ac:dyDescent="0.25">
      <c r="A41" s="137" t="s">
        <v>1131</v>
      </c>
      <c r="B41" s="138" t="s">
        <v>1130</v>
      </c>
      <c r="C41" s="450">
        <f>C42</f>
        <v>157</v>
      </c>
      <c r="D41" s="450">
        <f t="shared" ref="D41" si="13">D42</f>
        <v>13.542</v>
      </c>
      <c r="E41" s="450">
        <f t="shared" si="1"/>
        <v>8.62547770700637</v>
      </c>
    </row>
    <row r="42" spans="1:6" ht="31.5" x14ac:dyDescent="0.25">
      <c r="A42" s="198" t="s">
        <v>46</v>
      </c>
      <c r="B42" s="144" t="s">
        <v>47</v>
      </c>
      <c r="C42" s="451">
        <v>157</v>
      </c>
      <c r="D42" s="451">
        <v>13.542</v>
      </c>
      <c r="E42" s="451">
        <f t="shared" si="1"/>
        <v>8.62547770700637</v>
      </c>
    </row>
    <row r="43" spans="1:6" ht="15.75" x14ac:dyDescent="0.25">
      <c r="A43" s="137" t="s">
        <v>48</v>
      </c>
      <c r="B43" s="138" t="s">
        <v>49</v>
      </c>
      <c r="C43" s="450">
        <f t="shared" ref="C43:D44" si="14">C44</f>
        <v>1534</v>
      </c>
      <c r="D43" s="450">
        <f t="shared" si="14"/>
        <v>1052.0530000000001</v>
      </c>
      <c r="E43" s="450">
        <f t="shared" si="1"/>
        <v>68.582333767926997</v>
      </c>
    </row>
    <row r="44" spans="1:6" ht="31.5" x14ac:dyDescent="0.25">
      <c r="A44" s="137" t="s">
        <v>50</v>
      </c>
      <c r="B44" s="138" t="s">
        <v>51</v>
      </c>
      <c r="C44" s="450">
        <f t="shared" si="14"/>
        <v>1534</v>
      </c>
      <c r="D44" s="450">
        <f t="shared" si="14"/>
        <v>1052.0530000000001</v>
      </c>
      <c r="E44" s="450">
        <f t="shared" si="1"/>
        <v>68.582333767926997</v>
      </c>
    </row>
    <row r="45" spans="1:6" ht="47.25" x14ac:dyDescent="0.25">
      <c r="A45" s="198" t="s">
        <v>52</v>
      </c>
      <c r="B45" s="139" t="s">
        <v>53</v>
      </c>
      <c r="C45" s="451">
        <v>1534</v>
      </c>
      <c r="D45" s="451">
        <v>1052.0530000000001</v>
      </c>
      <c r="E45" s="451">
        <f t="shared" si="1"/>
        <v>68.582333767926997</v>
      </c>
    </row>
    <row r="46" spans="1:6" ht="31.5" x14ac:dyDescent="0.25">
      <c r="A46" s="137" t="s">
        <v>54</v>
      </c>
      <c r="B46" s="146" t="s">
        <v>55</v>
      </c>
      <c r="C46" s="450">
        <f t="shared" ref="C46:D46" si="15">C47</f>
        <v>45000</v>
      </c>
      <c r="D46" s="450">
        <f t="shared" si="15"/>
        <v>33970.27779</v>
      </c>
      <c r="E46" s="450">
        <f t="shared" si="1"/>
        <v>75.489506199999994</v>
      </c>
      <c r="F46" s="115"/>
    </row>
    <row r="47" spans="1:6" ht="78.75" x14ac:dyDescent="0.25">
      <c r="A47" s="137" t="s">
        <v>56</v>
      </c>
      <c r="B47" s="146" t="s">
        <v>57</v>
      </c>
      <c r="C47" s="450">
        <f t="shared" ref="C47" si="16">C48+C50</f>
        <v>45000</v>
      </c>
      <c r="D47" s="450">
        <f>D48+D50+D52</f>
        <v>33970.27779</v>
      </c>
      <c r="E47" s="450">
        <f t="shared" si="1"/>
        <v>75.489506199999994</v>
      </c>
    </row>
    <row r="48" spans="1:6" ht="63" x14ac:dyDescent="0.25">
      <c r="A48" s="137" t="s">
        <v>58</v>
      </c>
      <c r="B48" s="138" t="s">
        <v>59</v>
      </c>
      <c r="C48" s="450">
        <f t="shared" ref="C48:D48" si="17">C49</f>
        <v>40000</v>
      </c>
      <c r="D48" s="450">
        <f t="shared" si="17"/>
        <v>31340.212</v>
      </c>
      <c r="E48" s="450">
        <f t="shared" si="1"/>
        <v>78.350529999999992</v>
      </c>
    </row>
    <row r="49" spans="1:10" ht="63" x14ac:dyDescent="0.25">
      <c r="A49" s="198" t="s">
        <v>60</v>
      </c>
      <c r="B49" s="144" t="s">
        <v>61</v>
      </c>
      <c r="C49" s="451">
        <v>40000</v>
      </c>
      <c r="D49" s="451">
        <f>30083.382+1256.83</f>
        <v>31340.212</v>
      </c>
      <c r="E49" s="451">
        <f t="shared" si="1"/>
        <v>78.350529999999992</v>
      </c>
    </row>
    <row r="50" spans="1:10" ht="36.75" customHeight="1" x14ac:dyDescent="0.25">
      <c r="A50" s="137" t="s">
        <v>62</v>
      </c>
      <c r="B50" s="138" t="s">
        <v>63</v>
      </c>
      <c r="C50" s="450">
        <f t="shared" ref="C50:D50" si="18">C51</f>
        <v>5000</v>
      </c>
      <c r="D50" s="450">
        <f t="shared" si="18"/>
        <v>2629.8580000000002</v>
      </c>
      <c r="E50" s="450">
        <f t="shared" si="1"/>
        <v>52.597159999999995</v>
      </c>
    </row>
    <row r="51" spans="1:10" ht="31.5" x14ac:dyDescent="0.25">
      <c r="A51" s="198" t="s">
        <v>64</v>
      </c>
      <c r="B51" s="144" t="s">
        <v>65</v>
      </c>
      <c r="C51" s="451">
        <v>5000</v>
      </c>
      <c r="D51" s="451">
        <v>2629.8580000000002</v>
      </c>
      <c r="E51" s="451">
        <f t="shared" si="1"/>
        <v>52.597159999999995</v>
      </c>
    </row>
    <row r="52" spans="1:10" s="529" customFormat="1" ht="31.5" customHeight="1" x14ac:dyDescent="0.25">
      <c r="A52" s="530" t="s">
        <v>1785</v>
      </c>
      <c r="B52" s="531" t="s">
        <v>1784</v>
      </c>
      <c r="C52" s="527">
        <v>0</v>
      </c>
      <c r="D52" s="527">
        <f>D53</f>
        <v>0.20779</v>
      </c>
      <c r="E52" s="528" t="s">
        <v>1805</v>
      </c>
      <c r="J52" s="539"/>
    </row>
    <row r="53" spans="1:10" s="529" customFormat="1" ht="33.75" customHeight="1" x14ac:dyDescent="0.25">
      <c r="A53" s="538" t="s">
        <v>1786</v>
      </c>
      <c r="B53" s="533" t="s">
        <v>1784</v>
      </c>
      <c r="C53" s="528">
        <v>0</v>
      </c>
      <c r="D53" s="528">
        <f>207.79/1000</f>
        <v>0.20779</v>
      </c>
      <c r="E53" s="528" t="s">
        <v>1805</v>
      </c>
      <c r="J53" s="539"/>
    </row>
    <row r="54" spans="1:10" ht="15.75" x14ac:dyDescent="0.25">
      <c r="A54" s="137" t="s">
        <v>66</v>
      </c>
      <c r="B54" s="146" t="s">
        <v>67</v>
      </c>
      <c r="C54" s="450">
        <f t="shared" ref="C54:D54" si="19">SUM(C55)</f>
        <v>736.79999999999973</v>
      </c>
      <c r="D54" s="450">
        <f t="shared" si="19"/>
        <v>57.795999999999999</v>
      </c>
      <c r="E54" s="450">
        <f t="shared" si="1"/>
        <v>7.8441910966340958</v>
      </c>
    </row>
    <row r="55" spans="1:10" ht="15.75" x14ac:dyDescent="0.25">
      <c r="A55" s="137" t="s">
        <v>68</v>
      </c>
      <c r="B55" s="146" t="s">
        <v>69</v>
      </c>
      <c r="C55" s="450">
        <f>C56+C57+C58</f>
        <v>736.79999999999973</v>
      </c>
      <c r="D55" s="450">
        <f t="shared" ref="D55" si="20">D56+D57+D58</f>
        <v>57.795999999999999</v>
      </c>
      <c r="E55" s="450">
        <f t="shared" si="1"/>
        <v>7.8441910966340958</v>
      </c>
    </row>
    <row r="56" spans="1:10" ht="31.5" x14ac:dyDescent="0.25">
      <c r="A56" s="137" t="s">
        <v>70</v>
      </c>
      <c r="B56" s="146" t="s">
        <v>71</v>
      </c>
      <c r="C56" s="451">
        <f>405-355.2</f>
        <v>49.800000000000011</v>
      </c>
      <c r="D56" s="451">
        <v>49.981000000000002</v>
      </c>
      <c r="E56" s="451">
        <f t="shared" si="1"/>
        <v>100.36345381526101</v>
      </c>
    </row>
    <row r="57" spans="1:10" ht="15.75" x14ac:dyDescent="0.25">
      <c r="A57" s="137" t="s">
        <v>72</v>
      </c>
      <c r="B57" s="146" t="s">
        <v>73</v>
      </c>
      <c r="C57" s="451">
        <f>228.8-123.8</f>
        <v>105.00000000000001</v>
      </c>
      <c r="D57" s="451">
        <v>0</v>
      </c>
      <c r="E57" s="451">
        <f t="shared" si="1"/>
        <v>0</v>
      </c>
    </row>
    <row r="58" spans="1:10" ht="23.25" customHeight="1" x14ac:dyDescent="0.25">
      <c r="A58" s="137" t="s">
        <v>1440</v>
      </c>
      <c r="B58" s="230" t="s">
        <v>1118</v>
      </c>
      <c r="C58" s="450">
        <f>C59+C60</f>
        <v>581.99999999999977</v>
      </c>
      <c r="D58" s="450">
        <f t="shared" ref="D58" si="21">D59+D60</f>
        <v>7.8150000000000004</v>
      </c>
      <c r="E58" s="450">
        <f t="shared" si="1"/>
        <v>1.3427835051546397</v>
      </c>
    </row>
    <row r="59" spans="1:10" ht="15.75" x14ac:dyDescent="0.25">
      <c r="A59" s="198" t="s">
        <v>795</v>
      </c>
      <c r="B59" s="139" t="s">
        <v>796</v>
      </c>
      <c r="C59" s="451">
        <f>3588-1265.4-1811.4</f>
        <v>511.19999999999982</v>
      </c>
      <c r="D59" s="451">
        <v>7.8150000000000004</v>
      </c>
      <c r="E59" s="451">
        <f t="shared" si="1"/>
        <v>1.5287558685446017</v>
      </c>
    </row>
    <row r="60" spans="1:10" ht="15.75" x14ac:dyDescent="0.25">
      <c r="A60" s="198" t="s">
        <v>797</v>
      </c>
      <c r="B60" s="139" t="s">
        <v>798</v>
      </c>
      <c r="C60" s="451">
        <f>131-60.2</f>
        <v>70.8</v>
      </c>
      <c r="D60" s="451">
        <v>0</v>
      </c>
      <c r="E60" s="451">
        <f t="shared" si="1"/>
        <v>0</v>
      </c>
    </row>
    <row r="61" spans="1:10" ht="31.5" x14ac:dyDescent="0.25">
      <c r="A61" s="137" t="s">
        <v>74</v>
      </c>
      <c r="B61" s="146" t="s">
        <v>75</v>
      </c>
      <c r="C61" s="450">
        <f>C63</f>
        <v>828.5</v>
      </c>
      <c r="D61" s="450">
        <f t="shared" ref="D61" si="22">D63</f>
        <v>831.10200000000009</v>
      </c>
      <c r="E61" s="450">
        <f t="shared" si="1"/>
        <v>100.3140615570308</v>
      </c>
    </row>
    <row r="62" spans="1:10" ht="15.75" x14ac:dyDescent="0.25">
      <c r="A62" s="137" t="s">
        <v>76</v>
      </c>
      <c r="B62" s="146" t="s">
        <v>77</v>
      </c>
      <c r="C62" s="450">
        <f>C63</f>
        <v>828.5</v>
      </c>
      <c r="D62" s="450">
        <f t="shared" ref="D62" si="23">D63</f>
        <v>831.10200000000009</v>
      </c>
      <c r="E62" s="450">
        <f t="shared" si="1"/>
        <v>100.3140615570308</v>
      </c>
    </row>
    <row r="63" spans="1:10" ht="31.5" x14ac:dyDescent="0.25">
      <c r="A63" s="198" t="s">
        <v>78</v>
      </c>
      <c r="B63" s="139" t="s">
        <v>79</v>
      </c>
      <c r="C63" s="451">
        <v>828.5</v>
      </c>
      <c r="D63" s="451">
        <f>766.238+64.864</f>
        <v>831.10200000000009</v>
      </c>
      <c r="E63" s="451">
        <f t="shared" si="1"/>
        <v>100.3140615570308</v>
      </c>
    </row>
    <row r="64" spans="1:10" ht="31.5" x14ac:dyDescent="0.25">
      <c r="A64" s="137" t="s">
        <v>80</v>
      </c>
      <c r="B64" s="146" t="s">
        <v>81</v>
      </c>
      <c r="C64" s="450">
        <f t="shared" ref="C64:D64" si="24">SUM(C65+C67)</f>
        <v>236</v>
      </c>
      <c r="D64" s="450">
        <f t="shared" si="24"/>
        <v>356.36500000000001</v>
      </c>
      <c r="E64" s="450">
        <f t="shared" si="1"/>
        <v>151.00211864406782</v>
      </c>
    </row>
    <row r="65" spans="1:10" ht="78.75" x14ac:dyDescent="0.25">
      <c r="A65" s="137" t="s">
        <v>82</v>
      </c>
      <c r="B65" s="146" t="s">
        <v>83</v>
      </c>
      <c r="C65" s="450">
        <f t="shared" ref="C65:D65" si="25">C66</f>
        <v>235</v>
      </c>
      <c r="D65" s="450">
        <f t="shared" si="25"/>
        <v>312.03100000000001</v>
      </c>
      <c r="E65" s="450">
        <f t="shared" si="1"/>
        <v>132.77914893617023</v>
      </c>
    </row>
    <row r="66" spans="1:10" ht="78.75" x14ac:dyDescent="0.25">
      <c r="A66" s="198" t="s">
        <v>84</v>
      </c>
      <c r="B66" s="139" t="s">
        <v>699</v>
      </c>
      <c r="C66" s="451">
        <v>235</v>
      </c>
      <c r="D66" s="451">
        <v>312.03100000000001</v>
      </c>
      <c r="E66" s="451">
        <f t="shared" si="1"/>
        <v>132.77914893617023</v>
      </c>
    </row>
    <row r="67" spans="1:10" ht="31.5" x14ac:dyDescent="0.25">
      <c r="A67" s="137" t="s">
        <v>85</v>
      </c>
      <c r="B67" s="146" t="s">
        <v>86</v>
      </c>
      <c r="C67" s="450">
        <f t="shared" ref="C67:D67" si="26">SUM(C68)</f>
        <v>1</v>
      </c>
      <c r="D67" s="450">
        <f t="shared" si="26"/>
        <v>44.334000000000003</v>
      </c>
      <c r="E67" s="450">
        <f t="shared" si="1"/>
        <v>4433.4000000000005</v>
      </c>
    </row>
    <row r="68" spans="1:10" ht="47.25" x14ac:dyDescent="0.25">
      <c r="A68" s="198" t="s">
        <v>87</v>
      </c>
      <c r="B68" s="139" t="s">
        <v>88</v>
      </c>
      <c r="C68" s="451">
        <v>1</v>
      </c>
      <c r="D68" s="451">
        <v>44.334000000000003</v>
      </c>
      <c r="E68" s="451">
        <f t="shared" si="1"/>
        <v>4433.4000000000005</v>
      </c>
    </row>
    <row r="69" spans="1:10" ht="15.75" x14ac:dyDescent="0.25">
      <c r="A69" s="137" t="s">
        <v>89</v>
      </c>
      <c r="B69" s="146" t="s">
        <v>90</v>
      </c>
      <c r="C69" s="450">
        <f>C70</f>
        <v>5</v>
      </c>
      <c r="D69" s="450">
        <f t="shared" ref="D69" si="27">D70</f>
        <v>47.848000000000006</v>
      </c>
      <c r="E69" s="450">
        <f t="shared" si="1"/>
        <v>956.96000000000015</v>
      </c>
    </row>
    <row r="70" spans="1:10" ht="31.5" x14ac:dyDescent="0.25">
      <c r="A70" s="137" t="s">
        <v>1097</v>
      </c>
      <c r="B70" s="146" t="s">
        <v>91</v>
      </c>
      <c r="C70" s="450">
        <f>C71+C73+C75</f>
        <v>5</v>
      </c>
      <c r="D70" s="450">
        <f>D71+D73+D75+D77+D79</f>
        <v>47.848000000000006</v>
      </c>
      <c r="E70" s="450">
        <f t="shared" si="1"/>
        <v>956.96000000000015</v>
      </c>
    </row>
    <row r="71" spans="1:10" ht="47.25" x14ac:dyDescent="0.25">
      <c r="A71" s="137" t="s">
        <v>1111</v>
      </c>
      <c r="B71" s="240" t="s">
        <v>1110</v>
      </c>
      <c r="C71" s="450">
        <f>C72</f>
        <v>2.5</v>
      </c>
      <c r="D71" s="450">
        <f t="shared" ref="D71" si="28">D72</f>
        <v>10.286</v>
      </c>
      <c r="E71" s="450">
        <f t="shared" si="1"/>
        <v>411.44</v>
      </c>
    </row>
    <row r="72" spans="1:10" ht="63" x14ac:dyDescent="0.25">
      <c r="A72" s="198" t="s">
        <v>1099</v>
      </c>
      <c r="B72" s="241" t="s">
        <v>1105</v>
      </c>
      <c r="C72" s="451">
        <v>2.5</v>
      </c>
      <c r="D72" s="451">
        <v>10.286</v>
      </c>
      <c r="E72" s="451">
        <f t="shared" si="1"/>
        <v>411.44</v>
      </c>
    </row>
    <row r="73" spans="1:10" ht="67.5" customHeight="1" x14ac:dyDescent="0.25">
      <c r="A73" s="137" t="s">
        <v>1113</v>
      </c>
      <c r="B73" s="240" t="s">
        <v>1112</v>
      </c>
      <c r="C73" s="450">
        <f>C74</f>
        <v>0</v>
      </c>
      <c r="D73" s="450">
        <f t="shared" ref="D73" si="29">D74</f>
        <v>2</v>
      </c>
      <c r="E73" s="451" t="s">
        <v>1805</v>
      </c>
    </row>
    <row r="74" spans="1:10" ht="79.5" customHeight="1" x14ac:dyDescent="0.25">
      <c r="A74" s="198" t="s">
        <v>1098</v>
      </c>
      <c r="B74" s="241" t="s">
        <v>1106</v>
      </c>
      <c r="C74" s="451">
        <v>0</v>
      </c>
      <c r="D74" s="451">
        <v>2</v>
      </c>
      <c r="E74" s="451" t="s">
        <v>1805</v>
      </c>
    </row>
    <row r="75" spans="1:10" ht="63" x14ac:dyDescent="0.25">
      <c r="A75" s="137" t="s">
        <v>1109</v>
      </c>
      <c r="B75" s="242" t="s">
        <v>1108</v>
      </c>
      <c r="C75" s="450">
        <f>C76</f>
        <v>2.5</v>
      </c>
      <c r="D75" s="450">
        <f t="shared" ref="D75" si="30">D76</f>
        <v>25</v>
      </c>
      <c r="E75" s="450">
        <f t="shared" si="1"/>
        <v>1000</v>
      </c>
    </row>
    <row r="76" spans="1:10" ht="79.5" customHeight="1" x14ac:dyDescent="0.25">
      <c r="A76" s="198" t="s">
        <v>1102</v>
      </c>
      <c r="B76" s="243" t="s">
        <v>1107</v>
      </c>
      <c r="C76" s="451">
        <v>2.5</v>
      </c>
      <c r="D76" s="451">
        <v>25</v>
      </c>
      <c r="E76" s="451">
        <f t="shared" si="1"/>
        <v>1000</v>
      </c>
    </row>
    <row r="77" spans="1:10" s="529" customFormat="1" ht="48.75" customHeight="1" x14ac:dyDescent="0.25">
      <c r="A77" s="526" t="s">
        <v>1787</v>
      </c>
      <c r="B77" s="537" t="s">
        <v>1792</v>
      </c>
      <c r="C77" s="528">
        <v>0</v>
      </c>
      <c r="D77" s="527">
        <f>D78</f>
        <v>12.039</v>
      </c>
      <c r="E77" s="528" t="s">
        <v>1805</v>
      </c>
      <c r="J77" s="539"/>
    </row>
    <row r="78" spans="1:10" s="529" customFormat="1" ht="63" customHeight="1" x14ac:dyDescent="0.25">
      <c r="A78" s="525" t="s">
        <v>1788</v>
      </c>
      <c r="B78" s="536" t="s">
        <v>1793</v>
      </c>
      <c r="C78" s="528">
        <v>0</v>
      </c>
      <c r="D78" s="528">
        <v>12.039</v>
      </c>
      <c r="E78" s="528" t="s">
        <v>1805</v>
      </c>
      <c r="J78" s="539"/>
    </row>
    <row r="79" spans="1:10" s="529" customFormat="1" ht="63" customHeight="1" x14ac:dyDescent="0.25">
      <c r="A79" s="535" t="s">
        <v>1789</v>
      </c>
      <c r="B79" s="537" t="s">
        <v>1794</v>
      </c>
      <c r="C79" s="528">
        <v>0</v>
      </c>
      <c r="D79" s="527">
        <f>D80+D81</f>
        <v>-1.4769999999999999</v>
      </c>
      <c r="E79" s="528" t="s">
        <v>1805</v>
      </c>
      <c r="J79" s="539"/>
    </row>
    <row r="80" spans="1:10" s="529" customFormat="1" ht="60" customHeight="1" x14ac:dyDescent="0.25">
      <c r="A80" s="525" t="s">
        <v>1790</v>
      </c>
      <c r="B80" s="536" t="s">
        <v>1795</v>
      </c>
      <c r="C80" s="528">
        <v>0</v>
      </c>
      <c r="D80" s="528">
        <v>2.0590000000000002</v>
      </c>
      <c r="E80" s="528" t="s">
        <v>1805</v>
      </c>
      <c r="J80" s="539"/>
    </row>
    <row r="81" spans="1:10" s="529" customFormat="1" ht="60" customHeight="1" x14ac:dyDescent="0.25">
      <c r="A81" s="525" t="s">
        <v>1791</v>
      </c>
      <c r="B81" s="536" t="s">
        <v>1796</v>
      </c>
      <c r="C81" s="528">
        <v>0</v>
      </c>
      <c r="D81" s="528">
        <v>-3.536</v>
      </c>
      <c r="E81" s="528" t="s">
        <v>1805</v>
      </c>
      <c r="J81" s="539"/>
    </row>
    <row r="82" spans="1:10" s="529" customFormat="1" ht="25.5" customHeight="1" x14ac:dyDescent="0.25">
      <c r="A82" s="525" t="s">
        <v>1100</v>
      </c>
      <c r="B82" s="537" t="s">
        <v>767</v>
      </c>
      <c r="C82" s="528">
        <f>C83+C84</f>
        <v>0</v>
      </c>
      <c r="D82" s="527">
        <f>D83+D84</f>
        <v>1428.9569999999999</v>
      </c>
      <c r="E82" s="528" t="s">
        <v>1805</v>
      </c>
      <c r="J82" s="539"/>
    </row>
    <row r="83" spans="1:10" s="529" customFormat="1" ht="20.25" customHeight="1" x14ac:dyDescent="0.25">
      <c r="A83" s="525" t="s">
        <v>1797</v>
      </c>
      <c r="B83" s="536" t="s">
        <v>1798</v>
      </c>
      <c r="C83" s="528">
        <v>0</v>
      </c>
      <c r="D83" s="528">
        <v>125.77</v>
      </c>
      <c r="E83" s="528" t="s">
        <v>1805</v>
      </c>
      <c r="J83" s="539"/>
    </row>
    <row r="84" spans="1:10" s="529" customFormat="1" ht="27.75" customHeight="1" x14ac:dyDescent="0.25">
      <c r="A84" s="525" t="s">
        <v>1101</v>
      </c>
      <c r="B84" s="537" t="s">
        <v>768</v>
      </c>
      <c r="C84" s="528">
        <f>C85</f>
        <v>0</v>
      </c>
      <c r="D84" s="527">
        <f>D85</f>
        <v>1303.1869999999999</v>
      </c>
      <c r="E84" s="528" t="s">
        <v>1805</v>
      </c>
      <c r="J84" s="539"/>
    </row>
    <row r="85" spans="1:10" s="529" customFormat="1" ht="21.75" customHeight="1" x14ac:dyDescent="0.25">
      <c r="A85" s="525" t="s">
        <v>769</v>
      </c>
      <c r="B85" s="536" t="s">
        <v>770</v>
      </c>
      <c r="C85" s="528">
        <v>0</v>
      </c>
      <c r="D85" s="528">
        <v>1303.1869999999999</v>
      </c>
      <c r="E85" s="528" t="s">
        <v>1805</v>
      </c>
      <c r="J85" s="539"/>
    </row>
    <row r="86" spans="1:10" ht="15.75" x14ac:dyDescent="0.25">
      <c r="A86" s="137" t="s">
        <v>92</v>
      </c>
      <c r="B86" s="138" t="s">
        <v>93</v>
      </c>
      <c r="C86" s="450">
        <f>C87+C180</f>
        <v>598781.14</v>
      </c>
      <c r="D86" s="450">
        <f>D87+D180</f>
        <v>407074.55299999996</v>
      </c>
      <c r="E86" s="450">
        <f t="shared" ref="E86:E149" si="31">D86/C86*100</f>
        <v>67.983863519816268</v>
      </c>
      <c r="F86" s="115">
        <v>443864.2</v>
      </c>
      <c r="H86" s="192"/>
      <c r="J86" s="415">
        <f>C86-C88</f>
        <v>393038.14</v>
      </c>
    </row>
    <row r="87" spans="1:10" ht="31.5" x14ac:dyDescent="0.25">
      <c r="A87" s="137" t="s">
        <v>94</v>
      </c>
      <c r="B87" s="138" t="s">
        <v>95</v>
      </c>
      <c r="C87" s="450">
        <f>C88+C93+C142+C170</f>
        <v>543131.34</v>
      </c>
      <c r="D87" s="450">
        <f>D88+D93+D142+D170</f>
        <v>401767.50399999996</v>
      </c>
      <c r="E87" s="450">
        <f t="shared" si="31"/>
        <v>73.972439889033097</v>
      </c>
      <c r="H87" s="192"/>
      <c r="I87" s="115"/>
    </row>
    <row r="88" spans="1:10" ht="15.75" x14ac:dyDescent="0.25">
      <c r="A88" s="137" t="s">
        <v>814</v>
      </c>
      <c r="B88" s="147" t="s">
        <v>96</v>
      </c>
      <c r="C88" s="450">
        <f>C89+C91</f>
        <v>205743</v>
      </c>
      <c r="D88" s="450">
        <f t="shared" ref="D88" si="32">D89+D91</f>
        <v>154323</v>
      </c>
      <c r="E88" s="450">
        <f t="shared" si="31"/>
        <v>75.007655181464244</v>
      </c>
    </row>
    <row r="89" spans="1:10" ht="15.75" x14ac:dyDescent="0.25">
      <c r="A89" s="137" t="s">
        <v>1133</v>
      </c>
      <c r="B89" s="147" t="s">
        <v>1132</v>
      </c>
      <c r="C89" s="450">
        <f>C90</f>
        <v>154837</v>
      </c>
      <c r="D89" s="450">
        <f t="shared" ref="D89" si="33">D90</f>
        <v>116136</v>
      </c>
      <c r="E89" s="450">
        <f t="shared" si="31"/>
        <v>75.005328183832034</v>
      </c>
    </row>
    <row r="90" spans="1:10" ht="31.5" x14ac:dyDescent="0.25">
      <c r="A90" s="198" t="s">
        <v>813</v>
      </c>
      <c r="B90" s="144" t="s">
        <v>1141</v>
      </c>
      <c r="C90" s="451">
        <v>154837</v>
      </c>
      <c r="D90" s="451">
        <v>116136</v>
      </c>
      <c r="E90" s="451">
        <f t="shared" si="31"/>
        <v>75.005328183832034</v>
      </c>
      <c r="F90" s="115"/>
    </row>
    <row r="91" spans="1:10" ht="31.5" x14ac:dyDescent="0.25">
      <c r="A91" s="134" t="s">
        <v>1456</v>
      </c>
      <c r="B91" s="138" t="s">
        <v>1457</v>
      </c>
      <c r="C91" s="450">
        <f>C92</f>
        <v>50906</v>
      </c>
      <c r="D91" s="450">
        <f t="shared" ref="D91" si="34">D92</f>
        <v>38187</v>
      </c>
      <c r="E91" s="450">
        <f t="shared" si="31"/>
        <v>75.014733037362973</v>
      </c>
    </row>
    <row r="92" spans="1:10" ht="31.5" x14ac:dyDescent="0.25">
      <c r="A92" s="132" t="s">
        <v>1458</v>
      </c>
      <c r="B92" s="144" t="s">
        <v>1459</v>
      </c>
      <c r="C92" s="451">
        <v>50906</v>
      </c>
      <c r="D92" s="451">
        <v>38187</v>
      </c>
      <c r="E92" s="451">
        <f t="shared" si="31"/>
        <v>75.014733037362973</v>
      </c>
    </row>
    <row r="93" spans="1:10" ht="34.5" customHeight="1" x14ac:dyDescent="0.25">
      <c r="A93" s="137" t="s">
        <v>812</v>
      </c>
      <c r="B93" s="138" t="s">
        <v>97</v>
      </c>
      <c r="C93" s="450">
        <f>C104+C110+C115+C106+C98+C100+C108+C102+C112+C94+C96</f>
        <v>82495.7</v>
      </c>
      <c r="D93" s="450">
        <f t="shared" ref="D93" si="35">D104+D110+D115+D106+D98+D100+D108+D102+D112+D94+D96</f>
        <v>55454.938000000002</v>
      </c>
      <c r="E93" s="450">
        <f t="shared" si="31"/>
        <v>67.221610338478257</v>
      </c>
      <c r="F93" s="115"/>
      <c r="G93" s="115"/>
      <c r="I93" s="115"/>
    </row>
    <row r="94" spans="1:10" ht="54" customHeight="1" x14ac:dyDescent="0.25">
      <c r="A94" s="509" t="s">
        <v>1460</v>
      </c>
      <c r="B94" s="318" t="s">
        <v>1461</v>
      </c>
      <c r="C94" s="427">
        <f>C95</f>
        <v>700</v>
      </c>
      <c r="D94" s="427">
        <f t="shared" ref="D94" si="36">D95</f>
        <v>700</v>
      </c>
      <c r="E94" s="450">
        <f t="shared" si="31"/>
        <v>100</v>
      </c>
      <c r="F94" s="115"/>
      <c r="G94" s="115"/>
      <c r="I94" s="115"/>
      <c r="J94" s="415"/>
    </row>
    <row r="95" spans="1:10" ht="54" customHeight="1" x14ac:dyDescent="0.25">
      <c r="A95" s="198" t="s">
        <v>1462</v>
      </c>
      <c r="B95" s="320" t="s">
        <v>1463</v>
      </c>
      <c r="C95" s="451">
        <v>700</v>
      </c>
      <c r="D95" s="451">
        <v>700</v>
      </c>
      <c r="E95" s="451">
        <f t="shared" si="31"/>
        <v>100</v>
      </c>
      <c r="F95" s="115"/>
      <c r="G95" s="115"/>
      <c r="I95" s="115"/>
    </row>
    <row r="96" spans="1:10" ht="54" customHeight="1" x14ac:dyDescent="0.25">
      <c r="A96" s="137" t="s">
        <v>1465</v>
      </c>
      <c r="B96" s="321" t="s">
        <v>1464</v>
      </c>
      <c r="C96" s="450">
        <f>C97</f>
        <v>2581.6999999999998</v>
      </c>
      <c r="D96" s="450">
        <f t="shared" ref="D96" si="37">D97</f>
        <v>2580.8020000000001</v>
      </c>
      <c r="E96" s="450">
        <f t="shared" si="31"/>
        <v>99.965216717666664</v>
      </c>
      <c r="F96" s="115"/>
      <c r="G96" s="115"/>
      <c r="I96" s="115"/>
    </row>
    <row r="97" spans="1:10" ht="54" customHeight="1" x14ac:dyDescent="0.25">
      <c r="A97" s="198" t="s">
        <v>1466</v>
      </c>
      <c r="B97" s="331" t="s">
        <v>1467</v>
      </c>
      <c r="C97" s="451">
        <v>2581.6999999999998</v>
      </c>
      <c r="D97" s="451">
        <v>2580.8020000000001</v>
      </c>
      <c r="E97" s="451">
        <f t="shared" si="31"/>
        <v>99.965216717666664</v>
      </c>
      <c r="F97" s="115"/>
      <c r="G97" s="115"/>
      <c r="I97" s="115"/>
    </row>
    <row r="98" spans="1:10" ht="49.7" customHeight="1" x14ac:dyDescent="0.25">
      <c r="A98" s="510" t="s">
        <v>1156</v>
      </c>
      <c r="B98" s="239" t="s">
        <v>1158</v>
      </c>
      <c r="C98" s="428">
        <f>C99</f>
        <v>1506.3</v>
      </c>
      <c r="D98" s="428">
        <f t="shared" ref="D98" si="38">D99</f>
        <v>1506.3</v>
      </c>
      <c r="E98" s="450">
        <f t="shared" si="31"/>
        <v>100</v>
      </c>
      <c r="F98" s="115"/>
      <c r="G98" s="115"/>
      <c r="H98" s="192"/>
      <c r="I98" s="115"/>
    </row>
    <row r="99" spans="1:10" ht="65.25" customHeight="1" x14ac:dyDescent="0.25">
      <c r="A99" s="198" t="s">
        <v>1155</v>
      </c>
      <c r="B99" s="98" t="s">
        <v>1680</v>
      </c>
      <c r="C99" s="451">
        <v>1506.3</v>
      </c>
      <c r="D99" s="451">
        <v>1506.3</v>
      </c>
      <c r="E99" s="451">
        <f t="shared" si="31"/>
        <v>100</v>
      </c>
      <c r="F99" s="115"/>
      <c r="G99" s="115"/>
      <c r="H99" s="192"/>
      <c r="I99" s="115"/>
    </row>
    <row r="100" spans="1:10" ht="47.25" hidden="1" customHeight="1" x14ac:dyDescent="0.25">
      <c r="A100" s="137" t="s">
        <v>1159</v>
      </c>
      <c r="B100" s="206" t="s">
        <v>1162</v>
      </c>
      <c r="C100" s="450">
        <f>C101</f>
        <v>0</v>
      </c>
      <c r="D100" s="450">
        <f t="shared" ref="D100" si="39">D101</f>
        <v>0</v>
      </c>
      <c r="E100" s="451" t="e">
        <f t="shared" si="31"/>
        <v>#DIV/0!</v>
      </c>
      <c r="F100" s="115"/>
      <c r="G100" s="115"/>
      <c r="H100" s="192"/>
      <c r="I100" s="115"/>
    </row>
    <row r="101" spans="1:10" ht="54.75" hidden="1" customHeight="1" x14ac:dyDescent="0.25">
      <c r="A101" s="198" t="s">
        <v>1160</v>
      </c>
      <c r="B101" s="98" t="s">
        <v>1161</v>
      </c>
      <c r="C101" s="451">
        <v>0</v>
      </c>
      <c r="D101" s="451">
        <v>0</v>
      </c>
      <c r="E101" s="451" t="e">
        <f t="shared" si="31"/>
        <v>#DIV/0!</v>
      </c>
      <c r="F101" s="115"/>
      <c r="G101" s="115"/>
      <c r="H101" s="192"/>
      <c r="I101" s="115"/>
    </row>
    <row r="102" spans="1:10" ht="26.45" hidden="1" customHeight="1" x14ac:dyDescent="0.25">
      <c r="A102" s="509"/>
      <c r="B102" s="332" t="s">
        <v>1285</v>
      </c>
      <c r="C102" s="450">
        <f>C103</f>
        <v>0</v>
      </c>
      <c r="D102" s="450">
        <f t="shared" ref="D102" si="40">D103</f>
        <v>0</v>
      </c>
      <c r="E102" s="451" t="e">
        <f t="shared" si="31"/>
        <v>#DIV/0!</v>
      </c>
      <c r="F102" s="115"/>
      <c r="G102" s="115"/>
      <c r="H102" s="192"/>
      <c r="I102" s="115"/>
    </row>
    <row r="103" spans="1:10" ht="23.25" hidden="1" customHeight="1" x14ac:dyDescent="0.25">
      <c r="A103" s="512"/>
      <c r="B103" s="333"/>
      <c r="C103" s="451"/>
      <c r="D103" s="451"/>
      <c r="E103" s="451" t="e">
        <f t="shared" si="31"/>
        <v>#DIV/0!</v>
      </c>
      <c r="F103" s="115"/>
      <c r="G103" s="115"/>
      <c r="H103" s="192"/>
      <c r="I103" s="115"/>
    </row>
    <row r="104" spans="1:10" ht="55.5" customHeight="1" x14ac:dyDescent="0.25">
      <c r="A104" s="509" t="s">
        <v>1446</v>
      </c>
      <c r="B104" s="138" t="s">
        <v>1447</v>
      </c>
      <c r="C104" s="450">
        <f>SUM(C105)</f>
        <v>5079.3999999999996</v>
      </c>
      <c r="D104" s="450">
        <f t="shared" ref="D104" si="41">SUM(D105)</f>
        <v>2539.3209999999999</v>
      </c>
      <c r="E104" s="450">
        <f t="shared" si="31"/>
        <v>49.992538488797891</v>
      </c>
      <c r="G104" s="148"/>
    </row>
    <row r="105" spans="1:10" s="148" customFormat="1" ht="51.75" customHeight="1" x14ac:dyDescent="0.25">
      <c r="A105" s="512" t="s">
        <v>1448</v>
      </c>
      <c r="B105" s="144" t="s">
        <v>1426</v>
      </c>
      <c r="C105" s="451">
        <v>5079.3999999999996</v>
      </c>
      <c r="D105" s="451">
        <v>2539.3209999999999</v>
      </c>
      <c r="E105" s="451">
        <f t="shared" si="31"/>
        <v>49.992538488797891</v>
      </c>
      <c r="J105" s="416"/>
    </row>
    <row r="106" spans="1:10" s="148" customFormat="1" ht="26.45" customHeight="1" x14ac:dyDescent="0.25">
      <c r="A106" s="509" t="s">
        <v>1120</v>
      </c>
      <c r="B106" s="138" t="s">
        <v>1121</v>
      </c>
      <c r="C106" s="450">
        <f>C107</f>
        <v>568.5</v>
      </c>
      <c r="D106" s="450">
        <f t="shared" ref="D106" si="42">D107</f>
        <v>0</v>
      </c>
      <c r="E106" s="450">
        <f t="shared" si="31"/>
        <v>0</v>
      </c>
      <c r="J106" s="416"/>
    </row>
    <row r="107" spans="1:10" s="148" customFormat="1" ht="30.75" customHeight="1" x14ac:dyDescent="0.25">
      <c r="A107" s="512" t="s">
        <v>825</v>
      </c>
      <c r="B107" s="522" t="s">
        <v>826</v>
      </c>
      <c r="C107" s="451">
        <f>922.6-354.1</f>
        <v>568.5</v>
      </c>
      <c r="D107" s="521">
        <v>0</v>
      </c>
      <c r="E107" s="451">
        <f t="shared" si="31"/>
        <v>0</v>
      </c>
      <c r="J107" s="416"/>
    </row>
    <row r="108" spans="1:10" s="148" customFormat="1" ht="24.75" hidden="1" customHeight="1" x14ac:dyDescent="0.25">
      <c r="A108" s="263" t="s">
        <v>1152</v>
      </c>
      <c r="B108" s="264" t="s">
        <v>1153</v>
      </c>
      <c r="C108" s="450">
        <f>C109</f>
        <v>0</v>
      </c>
      <c r="D108" s="450">
        <f t="shared" ref="D108" si="43">D109</f>
        <v>0</v>
      </c>
      <c r="E108" s="451" t="e">
        <f t="shared" si="31"/>
        <v>#DIV/0!</v>
      </c>
      <c r="J108" s="416"/>
    </row>
    <row r="109" spans="1:10" s="148" customFormat="1" ht="21.75" hidden="1" customHeight="1" x14ac:dyDescent="0.25">
      <c r="A109" s="265" t="s">
        <v>1150</v>
      </c>
      <c r="B109" s="266" t="s">
        <v>1151</v>
      </c>
      <c r="C109" s="451">
        <v>0</v>
      </c>
      <c r="D109" s="451">
        <v>0</v>
      </c>
      <c r="E109" s="451" t="e">
        <f t="shared" si="31"/>
        <v>#DIV/0!</v>
      </c>
      <c r="F109" s="148" t="s">
        <v>1420</v>
      </c>
      <c r="J109" s="416"/>
    </row>
    <row r="110" spans="1:10" ht="31.5" x14ac:dyDescent="0.25">
      <c r="A110" s="509" t="s">
        <v>1122</v>
      </c>
      <c r="B110" s="138" t="s">
        <v>1123</v>
      </c>
      <c r="C110" s="450">
        <f>SUM(C111)</f>
        <v>21435</v>
      </c>
      <c r="D110" s="450">
        <f t="shared" ref="D110" si="44">SUM(D111)</f>
        <v>21435.004000000001</v>
      </c>
      <c r="E110" s="450">
        <f t="shared" si="31"/>
        <v>100.00001866106835</v>
      </c>
      <c r="G110" s="148"/>
    </row>
    <row r="111" spans="1:10" s="148" customFormat="1" ht="35.450000000000003" customHeight="1" x14ac:dyDescent="0.25">
      <c r="A111" s="512" t="s">
        <v>811</v>
      </c>
      <c r="B111" s="232" t="s">
        <v>1681</v>
      </c>
      <c r="C111" s="451">
        <v>21435</v>
      </c>
      <c r="D111" s="451">
        <v>21435.004000000001</v>
      </c>
      <c r="E111" s="451">
        <f t="shared" si="31"/>
        <v>100.00001866106835</v>
      </c>
      <c r="J111" s="416"/>
    </row>
    <row r="112" spans="1:10" s="190" customFormat="1" ht="32.25" hidden="1" customHeight="1" x14ac:dyDescent="0.25">
      <c r="A112" s="509" t="s">
        <v>1444</v>
      </c>
      <c r="B112" s="147" t="s">
        <v>1443</v>
      </c>
      <c r="C112" s="450">
        <f>C113</f>
        <v>0</v>
      </c>
      <c r="D112" s="450">
        <f t="shared" ref="D112" si="45">D113</f>
        <v>0</v>
      </c>
      <c r="E112" s="451" t="e">
        <f t="shared" si="31"/>
        <v>#DIV/0!</v>
      </c>
      <c r="J112" s="417"/>
    </row>
    <row r="113" spans="1:12" s="148" customFormat="1" ht="32.25" hidden="1" customHeight="1" x14ac:dyDescent="0.25">
      <c r="A113" s="512" t="s">
        <v>1445</v>
      </c>
      <c r="B113" s="232" t="s">
        <v>1442</v>
      </c>
      <c r="C113" s="451"/>
      <c r="D113" s="451"/>
      <c r="E113" s="451" t="e">
        <f t="shared" si="31"/>
        <v>#DIV/0!</v>
      </c>
      <c r="J113" s="416"/>
    </row>
    <row r="114" spans="1:12" s="190" customFormat="1" ht="15.75" x14ac:dyDescent="0.25">
      <c r="A114" s="509" t="s">
        <v>1125</v>
      </c>
      <c r="B114" s="138" t="s">
        <v>1124</v>
      </c>
      <c r="C114" s="120">
        <f>C115</f>
        <v>50624.799999999996</v>
      </c>
      <c r="D114" s="120">
        <f t="shared" ref="D114" si="46">D115</f>
        <v>26693.510999999999</v>
      </c>
      <c r="E114" s="450">
        <f t="shared" si="31"/>
        <v>52.728131271629721</v>
      </c>
      <c r="G114" s="192"/>
      <c r="H114" s="191">
        <f>C116+C117+C118+C119+C120+C123+C124+C126+C127+C128+C130</f>
        <v>14678.8</v>
      </c>
      <c r="I114" s="191"/>
      <c r="J114" s="417"/>
    </row>
    <row r="115" spans="1:12" s="190" customFormat="1" ht="15.75" x14ac:dyDescent="0.25">
      <c r="A115" s="198" t="s">
        <v>810</v>
      </c>
      <c r="B115" s="144" t="s">
        <v>98</v>
      </c>
      <c r="C115" s="27">
        <f>C116+C117+C118+C119+C122+C123+C124+C125+C126+C128+C129+C130+C131+C132+C133+C134+C135+C136+C137+C138+C139+C140+C141</f>
        <v>50624.799999999996</v>
      </c>
      <c r="D115" s="27">
        <f t="shared" ref="D115" si="47">D116+D117+D118+D119+D122+D123+D124+D125+D126+D128+D129+D130+D131+D132+D133+D134+D135+D136+D137+D138+D139+D140+D141</f>
        <v>26693.510999999999</v>
      </c>
      <c r="E115" s="451">
        <f t="shared" si="31"/>
        <v>52.728131271629721</v>
      </c>
      <c r="G115" s="192"/>
      <c r="I115" s="191"/>
      <c r="J115" s="417"/>
    </row>
    <row r="116" spans="1:12" ht="78.75" x14ac:dyDescent="0.25">
      <c r="A116" s="551"/>
      <c r="B116" s="139" t="s">
        <v>1560</v>
      </c>
      <c r="C116" s="451">
        <v>65.2</v>
      </c>
      <c r="D116" s="451">
        <v>0</v>
      </c>
      <c r="E116" s="451">
        <f t="shared" si="31"/>
        <v>0</v>
      </c>
    </row>
    <row r="117" spans="1:12" ht="115.5" customHeight="1" x14ac:dyDescent="0.25">
      <c r="A117" s="552"/>
      <c r="B117" s="149" t="s">
        <v>1566</v>
      </c>
      <c r="C117" s="429">
        <v>1666.6</v>
      </c>
      <c r="D117" s="429">
        <v>1666.6</v>
      </c>
      <c r="E117" s="451">
        <f t="shared" si="31"/>
        <v>100</v>
      </c>
    </row>
    <row r="118" spans="1:12" ht="134.44999999999999" hidden="1" customHeight="1" x14ac:dyDescent="0.25">
      <c r="A118" s="552"/>
      <c r="B118" s="29" t="s">
        <v>1735</v>
      </c>
      <c r="C118" s="429">
        <f>200-200</f>
        <v>0</v>
      </c>
      <c r="D118" s="429"/>
      <c r="E118" s="451" t="e">
        <f t="shared" si="31"/>
        <v>#DIV/0!</v>
      </c>
      <c r="J118" s="203" t="s">
        <v>1734</v>
      </c>
    </row>
    <row r="119" spans="1:12" ht="81.75" customHeight="1" x14ac:dyDescent="0.25">
      <c r="A119" s="552"/>
      <c r="B119" s="420" t="s">
        <v>1561</v>
      </c>
      <c r="C119" s="269">
        <f>2161.1+404.7+63.47+8.35+22.38</f>
        <v>2659.9999999999995</v>
      </c>
      <c r="D119" s="269">
        <v>2451.6</v>
      </c>
      <c r="E119" s="451">
        <f t="shared" si="31"/>
        <v>92.165413533834595</v>
      </c>
      <c r="I119" s="115"/>
      <c r="J119" s="477" t="s">
        <v>1715</v>
      </c>
    </row>
    <row r="120" spans="1:12" ht="63" hidden="1" customHeight="1" x14ac:dyDescent="0.25">
      <c r="A120" s="552"/>
      <c r="B120" s="149" t="s">
        <v>1424</v>
      </c>
      <c r="C120" s="10"/>
      <c r="D120" s="10"/>
      <c r="E120" s="451" t="e">
        <f t="shared" si="31"/>
        <v>#DIV/0!</v>
      </c>
      <c r="G120" s="150"/>
    </row>
    <row r="121" spans="1:12" s="150" customFormat="1" ht="94.7" hidden="1" customHeight="1" x14ac:dyDescent="0.25">
      <c r="A121" s="552"/>
      <c r="B121" s="421" t="s">
        <v>1425</v>
      </c>
      <c r="C121" s="430">
        <v>0</v>
      </c>
      <c r="D121" s="430">
        <v>0</v>
      </c>
      <c r="E121" s="451" t="e">
        <f t="shared" si="31"/>
        <v>#DIV/0!</v>
      </c>
      <c r="J121" s="418"/>
      <c r="L121" s="128"/>
    </row>
    <row r="122" spans="1:12" s="150" customFormat="1" ht="127.5" customHeight="1" x14ac:dyDescent="0.25">
      <c r="A122" s="552"/>
      <c r="B122" s="139" t="s">
        <v>1559</v>
      </c>
      <c r="C122" s="451">
        <v>40</v>
      </c>
      <c r="D122" s="451">
        <v>0</v>
      </c>
      <c r="E122" s="451">
        <f t="shared" si="31"/>
        <v>0</v>
      </c>
      <c r="J122" s="418"/>
      <c r="L122" s="128"/>
    </row>
    <row r="123" spans="1:12" ht="78.75" x14ac:dyDescent="0.25">
      <c r="A123" s="552"/>
      <c r="B123" s="139" t="s">
        <v>1562</v>
      </c>
      <c r="C123" s="451">
        <f>1731.8-730</f>
        <v>1001.8</v>
      </c>
      <c r="D123" s="451">
        <v>791.8</v>
      </c>
      <c r="E123" s="451">
        <f t="shared" si="31"/>
        <v>79.037732082251949</v>
      </c>
    </row>
    <row r="124" spans="1:12" ht="78.75" hidden="1" x14ac:dyDescent="0.25">
      <c r="A124" s="552"/>
      <c r="B124" s="139" t="s">
        <v>1565</v>
      </c>
      <c r="C124" s="451">
        <f>255-91.9-163.1</f>
        <v>0</v>
      </c>
      <c r="D124" s="451"/>
      <c r="E124" s="451" t="e">
        <f t="shared" si="31"/>
        <v>#DIV/0!</v>
      </c>
    </row>
    <row r="125" spans="1:12" ht="63" x14ac:dyDescent="0.25">
      <c r="A125" s="552"/>
      <c r="B125" s="46" t="s">
        <v>1563</v>
      </c>
      <c r="C125" s="451">
        <v>1630</v>
      </c>
      <c r="D125" s="451">
        <v>0</v>
      </c>
      <c r="E125" s="451">
        <f t="shared" si="31"/>
        <v>0</v>
      </c>
    </row>
    <row r="126" spans="1:12" ht="82.5" customHeight="1" x14ac:dyDescent="0.25">
      <c r="A126" s="552"/>
      <c r="B126" s="139" t="s">
        <v>1564</v>
      </c>
      <c r="C126" s="451">
        <v>516.6</v>
      </c>
      <c r="D126" s="451">
        <v>276</v>
      </c>
      <c r="E126" s="451">
        <f t="shared" si="31"/>
        <v>53.426248548199759</v>
      </c>
    </row>
    <row r="127" spans="1:12" ht="47.25" hidden="1" customHeight="1" x14ac:dyDescent="0.25">
      <c r="A127" s="552"/>
      <c r="B127" s="29" t="s">
        <v>1427</v>
      </c>
      <c r="C127" s="10">
        <v>0</v>
      </c>
      <c r="D127" s="10">
        <v>0</v>
      </c>
      <c r="E127" s="451" t="e">
        <f t="shared" si="31"/>
        <v>#DIV/0!</v>
      </c>
    </row>
    <row r="128" spans="1:12" s="188" customFormat="1" ht="149.25" customHeight="1" x14ac:dyDescent="0.2">
      <c r="A128" s="552"/>
      <c r="B128" s="422" t="s">
        <v>1567</v>
      </c>
      <c r="C128" s="27">
        <v>166.7</v>
      </c>
      <c r="D128" s="27">
        <v>75</v>
      </c>
      <c r="E128" s="451">
        <f t="shared" si="31"/>
        <v>44.991001799640074</v>
      </c>
      <c r="J128" s="419"/>
    </row>
    <row r="129" spans="1:10" s="188" customFormat="1" ht="84.2" customHeight="1" x14ac:dyDescent="0.2">
      <c r="A129" s="552"/>
      <c r="B129" s="423" t="s">
        <v>1568</v>
      </c>
      <c r="C129" s="27">
        <v>74.900000000000006</v>
      </c>
      <c r="D129" s="27">
        <v>40</v>
      </c>
      <c r="E129" s="451">
        <f t="shared" si="31"/>
        <v>53.404539385847791</v>
      </c>
      <c r="J129" s="419"/>
    </row>
    <row r="130" spans="1:10" s="188" customFormat="1" ht="118.5" customHeight="1" x14ac:dyDescent="0.2">
      <c r="A130" s="552"/>
      <c r="B130" s="46" t="s">
        <v>1768</v>
      </c>
      <c r="C130" s="27">
        <v>8601.9</v>
      </c>
      <c r="D130" s="27">
        <v>2803.21</v>
      </c>
      <c r="E130" s="451">
        <f t="shared" si="31"/>
        <v>32.588265383229285</v>
      </c>
      <c r="J130" s="419"/>
    </row>
    <row r="131" spans="1:10" s="188" customFormat="1" ht="141" customHeight="1" x14ac:dyDescent="0.2">
      <c r="A131" s="552"/>
      <c r="B131" s="45" t="s">
        <v>1639</v>
      </c>
      <c r="C131" s="27">
        <f>238.4+8.9</f>
        <v>247.3</v>
      </c>
      <c r="D131" s="27">
        <v>247.3</v>
      </c>
      <c r="E131" s="451">
        <f t="shared" si="31"/>
        <v>100</v>
      </c>
      <c r="J131" s="419"/>
    </row>
    <row r="132" spans="1:10" s="437" customFormat="1" ht="128.25" customHeight="1" x14ac:dyDescent="0.2">
      <c r="A132" s="552"/>
      <c r="B132" s="435" t="s">
        <v>1638</v>
      </c>
      <c r="C132" s="27">
        <f>16158.4</f>
        <v>16158.4</v>
      </c>
      <c r="D132" s="27">
        <v>6140.2209999999995</v>
      </c>
      <c r="E132" s="451">
        <f t="shared" si="31"/>
        <v>38.000179473215169</v>
      </c>
      <c r="J132" s="419"/>
    </row>
    <row r="133" spans="1:10" s="437" customFormat="1" ht="41.25" customHeight="1" x14ac:dyDescent="0.2">
      <c r="A133" s="552"/>
      <c r="B133" s="435" t="s">
        <v>1648</v>
      </c>
      <c r="C133" s="27">
        <v>3168.8</v>
      </c>
      <c r="D133" s="27">
        <v>2729.2559999999999</v>
      </c>
      <c r="E133" s="451">
        <f t="shared" si="31"/>
        <v>86.129007826306477</v>
      </c>
      <c r="J133" s="419"/>
    </row>
    <row r="134" spans="1:10" s="437" customFormat="1" ht="41.25" customHeight="1" x14ac:dyDescent="0.2">
      <c r="A134" s="552"/>
      <c r="B134" s="523" t="s">
        <v>1675</v>
      </c>
      <c r="C134" s="27">
        <v>180.6</v>
      </c>
      <c r="D134" s="524">
        <v>180.6</v>
      </c>
      <c r="E134" s="451">
        <f t="shared" si="31"/>
        <v>100</v>
      </c>
      <c r="J134" s="419"/>
    </row>
    <row r="135" spans="1:10" s="437" customFormat="1" ht="41.25" customHeight="1" x14ac:dyDescent="0.2">
      <c r="A135" s="552"/>
      <c r="B135" s="435" t="s">
        <v>1677</v>
      </c>
      <c r="C135" s="27">
        <v>513.79999999999995</v>
      </c>
      <c r="D135" s="27">
        <v>262.68</v>
      </c>
      <c r="E135" s="451">
        <f t="shared" si="31"/>
        <v>51.124951342934999</v>
      </c>
      <c r="J135" s="419"/>
    </row>
    <row r="136" spans="1:10" s="437" customFormat="1" ht="41.25" customHeight="1" x14ac:dyDescent="0.2">
      <c r="A136" s="552"/>
      <c r="B136" s="435" t="s">
        <v>1676</v>
      </c>
      <c r="C136" s="27">
        <v>2500</v>
      </c>
      <c r="D136" s="27">
        <v>1650</v>
      </c>
      <c r="E136" s="451">
        <f t="shared" si="31"/>
        <v>66</v>
      </c>
      <c r="J136" s="419"/>
    </row>
    <row r="137" spans="1:10" s="437" customFormat="1" ht="41.25" customHeight="1" x14ac:dyDescent="0.2">
      <c r="A137" s="552"/>
      <c r="B137" s="523" t="s">
        <v>1692</v>
      </c>
      <c r="C137" s="27">
        <v>501.7</v>
      </c>
      <c r="D137" s="524">
        <v>0</v>
      </c>
      <c r="E137" s="451">
        <f t="shared" si="31"/>
        <v>0</v>
      </c>
      <c r="J137" s="419"/>
    </row>
    <row r="138" spans="1:10" s="474" customFormat="1" ht="45.75" customHeight="1" x14ac:dyDescent="0.2">
      <c r="A138" s="552"/>
      <c r="B138" s="435" t="s">
        <v>1700</v>
      </c>
      <c r="C138" s="27">
        <v>448</v>
      </c>
      <c r="D138" s="27">
        <v>0</v>
      </c>
      <c r="E138" s="451">
        <f t="shared" si="31"/>
        <v>0</v>
      </c>
      <c r="J138" s="475"/>
    </row>
    <row r="139" spans="1:10" s="474" customFormat="1" ht="45.75" customHeight="1" x14ac:dyDescent="0.2">
      <c r="A139" s="552"/>
      <c r="B139" s="435" t="s">
        <v>1712</v>
      </c>
      <c r="C139" s="27">
        <v>4816.3</v>
      </c>
      <c r="D139" s="27">
        <v>3205.7440000000001</v>
      </c>
      <c r="E139" s="451">
        <f t="shared" si="31"/>
        <v>66.560305628802197</v>
      </c>
      <c r="J139" s="475" t="s">
        <v>1723</v>
      </c>
    </row>
    <row r="140" spans="1:10" s="474" customFormat="1" ht="34.5" customHeight="1" x14ac:dyDescent="0.2">
      <c r="A140" s="552"/>
      <c r="B140" s="523" t="s">
        <v>1721</v>
      </c>
      <c r="C140" s="27">
        <v>4173.5</v>
      </c>
      <c r="D140" s="524">
        <v>4173.5</v>
      </c>
      <c r="E140" s="451">
        <f t="shared" si="31"/>
        <v>100</v>
      </c>
      <c r="J140" s="475" t="s">
        <v>1722</v>
      </c>
    </row>
    <row r="141" spans="1:10" s="474" customFormat="1" ht="85.5" customHeight="1" x14ac:dyDescent="0.2">
      <c r="A141" s="553"/>
      <c r="B141" s="523" t="s">
        <v>1730</v>
      </c>
      <c r="C141" s="27">
        <v>1492.7</v>
      </c>
      <c r="D141" s="524">
        <v>0</v>
      </c>
      <c r="E141" s="451">
        <f t="shared" si="31"/>
        <v>0</v>
      </c>
      <c r="J141" s="475" t="s">
        <v>1769</v>
      </c>
    </row>
    <row r="142" spans="1:10" ht="15.75" x14ac:dyDescent="0.25">
      <c r="A142" s="137" t="s">
        <v>809</v>
      </c>
      <c r="B142" s="146" t="s">
        <v>100</v>
      </c>
      <c r="C142" s="450">
        <f>C168+C143+C164+C166</f>
        <v>246166.54000000004</v>
      </c>
      <c r="D142" s="450">
        <f t="shared" ref="D142" si="48">D168+D143+D164+D166</f>
        <v>185508.69099999996</v>
      </c>
      <c r="E142" s="450">
        <f t="shared" si="31"/>
        <v>75.359019548310641</v>
      </c>
      <c r="F142" s="115"/>
      <c r="H142" s="128">
        <v>242488.3</v>
      </c>
      <c r="I142" s="115">
        <f>H142-C142</f>
        <v>-3678.2400000000489</v>
      </c>
    </row>
    <row r="143" spans="1:10" ht="31.5" x14ac:dyDescent="0.25">
      <c r="A143" s="137" t="s">
        <v>808</v>
      </c>
      <c r="B143" s="146" t="s">
        <v>101</v>
      </c>
      <c r="C143" s="450">
        <f>C144</f>
        <v>245561.34000000005</v>
      </c>
      <c r="D143" s="450">
        <f t="shared" ref="D143" si="49">D144</f>
        <v>185096.89599999995</v>
      </c>
      <c r="E143" s="450">
        <f t="shared" si="31"/>
        <v>75.377050801237644</v>
      </c>
    </row>
    <row r="144" spans="1:10" ht="31.5" x14ac:dyDescent="0.25">
      <c r="A144" s="198" t="s">
        <v>807</v>
      </c>
      <c r="B144" s="139" t="s">
        <v>102</v>
      </c>
      <c r="C144" s="451">
        <f>SUM(C145+C146+C147+C148+C149+C150+C151+C154+C155+C156+C157+C159+C158+C160)</f>
        <v>245561.34000000005</v>
      </c>
      <c r="D144" s="451">
        <f t="shared" ref="D144" si="50">SUM(D145+D146+D147+D148+D149+D150+D151+D154+D155+D156+D157+D159+D158+D160)</f>
        <v>185096.89599999995</v>
      </c>
      <c r="E144" s="451">
        <f t="shared" si="31"/>
        <v>75.377050801237644</v>
      </c>
    </row>
    <row r="145" spans="1:11" ht="97.5" customHeight="1" x14ac:dyDescent="0.25">
      <c r="A145" s="551"/>
      <c r="B145" s="420" t="s">
        <v>1570</v>
      </c>
      <c r="C145" s="10">
        <f>131567.2-5318.53</f>
        <v>126248.67000000001</v>
      </c>
      <c r="D145" s="10">
        <v>99983.38</v>
      </c>
      <c r="E145" s="451">
        <f t="shared" si="31"/>
        <v>79.19559073374792</v>
      </c>
    </row>
    <row r="146" spans="1:11" ht="81" customHeight="1" x14ac:dyDescent="0.25">
      <c r="A146" s="552"/>
      <c r="B146" s="139" t="s">
        <v>1577</v>
      </c>
      <c r="C146" s="10">
        <f>90957.3-1137.93</f>
        <v>89819.37000000001</v>
      </c>
      <c r="D146" s="10">
        <v>64286.32</v>
      </c>
      <c r="E146" s="451">
        <f t="shared" si="31"/>
        <v>71.572891237157407</v>
      </c>
    </row>
    <row r="147" spans="1:11" ht="99" customHeight="1" x14ac:dyDescent="0.25">
      <c r="A147" s="552"/>
      <c r="B147" s="139" t="s">
        <v>1571</v>
      </c>
      <c r="C147" s="10">
        <v>4777.5</v>
      </c>
      <c r="D147" s="10">
        <v>3462.18</v>
      </c>
      <c r="E147" s="451">
        <f t="shared" si="31"/>
        <v>72.468445839874406</v>
      </c>
    </row>
    <row r="148" spans="1:11" ht="97.5" customHeight="1" x14ac:dyDescent="0.25">
      <c r="A148" s="552"/>
      <c r="B148" s="139" t="s">
        <v>1572</v>
      </c>
      <c r="C148" s="10">
        <v>2185</v>
      </c>
      <c r="D148" s="10">
        <v>1402.9</v>
      </c>
      <c r="E148" s="451">
        <f t="shared" si="31"/>
        <v>64.205949656750576</v>
      </c>
    </row>
    <row r="149" spans="1:11" ht="97.5" customHeight="1" x14ac:dyDescent="0.25">
      <c r="A149" s="552"/>
      <c r="B149" s="139" t="s">
        <v>1573</v>
      </c>
      <c r="C149" s="10">
        <v>1439.4</v>
      </c>
      <c r="D149" s="10">
        <v>1022</v>
      </c>
      <c r="E149" s="451">
        <f t="shared" si="31"/>
        <v>71.001806308183959</v>
      </c>
    </row>
    <row r="150" spans="1:11" ht="135.75" customHeight="1" x14ac:dyDescent="0.25">
      <c r="A150" s="552"/>
      <c r="B150" s="139" t="s">
        <v>1575</v>
      </c>
      <c r="C150" s="10">
        <v>264.2</v>
      </c>
      <c r="D150" s="10">
        <v>196.5</v>
      </c>
      <c r="E150" s="451">
        <f t="shared" ref="E150:E186" si="51">D150/C150*100</f>
        <v>74.375473126419379</v>
      </c>
    </row>
    <row r="151" spans="1:11" ht="51" customHeight="1" x14ac:dyDescent="0.25">
      <c r="A151" s="552"/>
      <c r="B151" s="139" t="s">
        <v>1576</v>
      </c>
      <c r="C151" s="10">
        <f>SUM(C152:C153)</f>
        <v>3619.2</v>
      </c>
      <c r="D151" s="10">
        <f t="shared" ref="D151" si="52">SUM(D152:D153)</f>
        <v>2284.65</v>
      </c>
      <c r="E151" s="451">
        <f t="shared" si="51"/>
        <v>63.125828912466851</v>
      </c>
    </row>
    <row r="152" spans="1:11" ht="78.75" x14ac:dyDescent="0.25">
      <c r="A152" s="552"/>
      <c r="B152" s="424" t="s">
        <v>1591</v>
      </c>
      <c r="C152" s="430">
        <v>2829.1</v>
      </c>
      <c r="D152" s="430">
        <v>1968.1</v>
      </c>
      <c r="E152" s="451">
        <f t="shared" si="51"/>
        <v>69.566293167438403</v>
      </c>
    </row>
    <row r="153" spans="1:11" ht="126" x14ac:dyDescent="0.25">
      <c r="A153" s="552"/>
      <c r="B153" s="424" t="s">
        <v>1592</v>
      </c>
      <c r="C153" s="430">
        <v>790.1</v>
      </c>
      <c r="D153" s="430">
        <v>316.55</v>
      </c>
      <c r="E153" s="451">
        <f t="shared" si="51"/>
        <v>40.064548791292239</v>
      </c>
    </row>
    <row r="154" spans="1:11" ht="129.75" customHeight="1" x14ac:dyDescent="0.25">
      <c r="A154" s="552"/>
      <c r="B154" s="139" t="s">
        <v>1578</v>
      </c>
      <c r="C154" s="10">
        <v>341.4</v>
      </c>
      <c r="D154" s="10">
        <v>198.3</v>
      </c>
      <c r="E154" s="451">
        <f t="shared" si="51"/>
        <v>58.08435852372584</v>
      </c>
    </row>
    <row r="155" spans="1:11" ht="96.75" customHeight="1" x14ac:dyDescent="0.25">
      <c r="A155" s="552"/>
      <c r="B155" s="139" t="s">
        <v>1569</v>
      </c>
      <c r="C155" s="10">
        <v>900</v>
      </c>
      <c r="D155" s="10">
        <v>668.8</v>
      </c>
      <c r="E155" s="451">
        <f t="shared" si="51"/>
        <v>74.311111111111103</v>
      </c>
    </row>
    <row r="156" spans="1:11" ht="47.25" x14ac:dyDescent="0.25">
      <c r="A156" s="552"/>
      <c r="B156" s="139" t="s">
        <v>1579</v>
      </c>
      <c r="C156" s="10">
        <v>1334.3</v>
      </c>
      <c r="D156" s="10">
        <v>984.3</v>
      </c>
      <c r="E156" s="451">
        <f t="shared" si="51"/>
        <v>73.769017462339804</v>
      </c>
      <c r="J156" s="438"/>
      <c r="K156" s="439"/>
    </row>
    <row r="157" spans="1:11" ht="149.25" hidden="1" customHeight="1" x14ac:dyDescent="0.25">
      <c r="A157" s="552"/>
      <c r="B157" s="29" t="s">
        <v>1574</v>
      </c>
      <c r="C157" s="10">
        <f>22.3-22.3</f>
        <v>0</v>
      </c>
      <c r="D157" s="10">
        <f t="shared" ref="D157" si="53">22.3-22.3</f>
        <v>0</v>
      </c>
      <c r="E157" s="451" t="e">
        <f t="shared" si="51"/>
        <v>#DIV/0!</v>
      </c>
      <c r="F157" s="197"/>
      <c r="G157" s="197"/>
      <c r="H157" s="197"/>
      <c r="I157" s="197"/>
    </row>
    <row r="158" spans="1:11" ht="144" hidden="1" customHeight="1" x14ac:dyDescent="0.25">
      <c r="A158" s="552"/>
      <c r="B158" s="46" t="s">
        <v>1581</v>
      </c>
      <c r="C158" s="10">
        <f>1975.4-1975.4</f>
        <v>0</v>
      </c>
      <c r="D158" s="10"/>
      <c r="E158" s="451" t="e">
        <f t="shared" si="51"/>
        <v>#DIV/0!</v>
      </c>
      <c r="F158" s="197"/>
      <c r="G158" s="197"/>
      <c r="H158" s="197"/>
      <c r="I158" s="197"/>
    </row>
    <row r="159" spans="1:11" ht="67.7" customHeight="1" x14ac:dyDescent="0.25">
      <c r="A159" s="552"/>
      <c r="B159" s="139" t="s">
        <v>1580</v>
      </c>
      <c r="C159" s="10">
        <v>1857.2</v>
      </c>
      <c r="D159" s="10">
        <v>1685.7929999999999</v>
      </c>
      <c r="E159" s="451">
        <f t="shared" si="51"/>
        <v>90.770676286883472</v>
      </c>
      <c r="F159" s="197"/>
      <c r="G159" s="197"/>
      <c r="H159" s="197"/>
      <c r="I159" s="197"/>
    </row>
    <row r="160" spans="1:11" ht="81" customHeight="1" x14ac:dyDescent="0.25">
      <c r="A160" s="552"/>
      <c r="B160" s="151" t="s">
        <v>1582</v>
      </c>
      <c r="C160" s="431">
        <f>SUM(C161:C163)</f>
        <v>12775.1</v>
      </c>
      <c r="D160" s="542">
        <f>SUM(D161:D163)</f>
        <v>8921.7729999999992</v>
      </c>
      <c r="E160" s="451">
        <f t="shared" si="51"/>
        <v>69.837206753763169</v>
      </c>
      <c r="F160" s="197"/>
      <c r="G160" s="197"/>
      <c r="H160" s="197"/>
      <c r="I160" s="197"/>
    </row>
    <row r="161" spans="1:9" ht="47.25" customHeight="1" x14ac:dyDescent="0.25">
      <c r="A161" s="552"/>
      <c r="B161" s="299" t="s">
        <v>1450</v>
      </c>
      <c r="C161" s="432">
        <v>9911</v>
      </c>
      <c r="D161" s="432">
        <v>7237.2</v>
      </c>
      <c r="E161" s="451">
        <f t="shared" si="51"/>
        <v>73.021894864292207</v>
      </c>
      <c r="F161" s="197"/>
      <c r="G161" s="197"/>
      <c r="H161" s="197"/>
      <c r="I161" s="197"/>
    </row>
    <row r="162" spans="1:9" ht="54" customHeight="1" x14ac:dyDescent="0.25">
      <c r="A162" s="552"/>
      <c r="B162" s="299" t="s">
        <v>1451</v>
      </c>
      <c r="C162" s="432">
        <v>2100.6</v>
      </c>
      <c r="D162" s="432">
        <v>1187.5999999999999</v>
      </c>
      <c r="E162" s="451">
        <f t="shared" si="51"/>
        <v>56.53622774445396</v>
      </c>
      <c r="F162" s="197"/>
      <c r="G162" s="197"/>
      <c r="H162" s="197"/>
      <c r="I162" s="197"/>
    </row>
    <row r="163" spans="1:9" ht="52.5" customHeight="1" x14ac:dyDescent="0.25">
      <c r="A163" s="553"/>
      <c r="B163" s="299" t="s">
        <v>1452</v>
      </c>
      <c r="C163" s="432">
        <f>813.5-30-20</f>
        <v>763.5</v>
      </c>
      <c r="D163" s="432">
        <v>496.97300000000001</v>
      </c>
      <c r="E163" s="451">
        <f t="shared" si="51"/>
        <v>65.091421087098894</v>
      </c>
      <c r="F163" s="197"/>
      <c r="G163" s="197"/>
      <c r="H163" s="197"/>
      <c r="I163" s="197"/>
    </row>
    <row r="164" spans="1:9" ht="55.15" hidden="1" customHeight="1" x14ac:dyDescent="0.25">
      <c r="A164" s="137" t="s">
        <v>1164</v>
      </c>
      <c r="B164" s="58" t="s">
        <v>1166</v>
      </c>
      <c r="C164" s="59">
        <f>C165</f>
        <v>0</v>
      </c>
      <c r="D164" s="59">
        <f t="shared" ref="D164" si="54">D165</f>
        <v>0</v>
      </c>
      <c r="E164" s="451" t="e">
        <f t="shared" si="51"/>
        <v>#DIV/0!</v>
      </c>
      <c r="F164" s="197"/>
      <c r="G164" s="197"/>
      <c r="H164" s="197"/>
      <c r="I164" s="197"/>
    </row>
    <row r="165" spans="1:9" ht="54" hidden="1" customHeight="1" x14ac:dyDescent="0.25">
      <c r="A165" s="198" t="s">
        <v>1165</v>
      </c>
      <c r="B165" s="45" t="s">
        <v>1166</v>
      </c>
      <c r="C165" s="10">
        <v>0</v>
      </c>
      <c r="D165" s="10">
        <v>0</v>
      </c>
      <c r="E165" s="451" t="e">
        <f t="shared" si="51"/>
        <v>#DIV/0!</v>
      </c>
      <c r="F165" s="197"/>
      <c r="G165" s="197"/>
      <c r="H165" s="197"/>
      <c r="I165" s="197"/>
    </row>
    <row r="166" spans="1:9" ht="31.5" x14ac:dyDescent="0.25">
      <c r="A166" s="137" t="s">
        <v>1478</v>
      </c>
      <c r="B166" s="58" t="s">
        <v>1479</v>
      </c>
      <c r="C166" s="59">
        <f>C167</f>
        <v>105.9</v>
      </c>
      <c r="D166" s="59">
        <f t="shared" ref="D166" si="55">D167</f>
        <v>0</v>
      </c>
      <c r="E166" s="450">
        <f t="shared" si="51"/>
        <v>0</v>
      </c>
      <c r="F166" s="197"/>
      <c r="G166" s="197"/>
      <c r="H166" s="197"/>
      <c r="I166" s="197"/>
    </row>
    <row r="167" spans="1:9" ht="31.5" x14ac:dyDescent="0.25">
      <c r="A167" s="198" t="s">
        <v>1480</v>
      </c>
      <c r="B167" s="45" t="s">
        <v>1481</v>
      </c>
      <c r="C167" s="10">
        <v>105.9</v>
      </c>
      <c r="D167" s="10">
        <v>0</v>
      </c>
      <c r="E167" s="451">
        <f t="shared" si="51"/>
        <v>0</v>
      </c>
      <c r="F167" s="197"/>
      <c r="G167" s="197"/>
      <c r="H167" s="197"/>
      <c r="I167" s="197"/>
    </row>
    <row r="168" spans="1:9" ht="31.5" x14ac:dyDescent="0.25">
      <c r="A168" s="137" t="s">
        <v>806</v>
      </c>
      <c r="B168" s="146" t="s">
        <v>103</v>
      </c>
      <c r="C168" s="450">
        <f t="shared" ref="C168:D168" si="56">C169</f>
        <v>499.29999999999995</v>
      </c>
      <c r="D168" s="450">
        <f t="shared" si="56"/>
        <v>411.79500000000002</v>
      </c>
      <c r="E168" s="450">
        <f t="shared" si="51"/>
        <v>82.474464249949946</v>
      </c>
    </row>
    <row r="169" spans="1:9" ht="31.5" x14ac:dyDescent="0.25">
      <c r="A169" s="198" t="s">
        <v>805</v>
      </c>
      <c r="B169" s="139" t="s">
        <v>104</v>
      </c>
      <c r="C169" s="451">
        <f>555.9-56.6</f>
        <v>499.29999999999995</v>
      </c>
      <c r="D169" s="451">
        <v>411.79500000000002</v>
      </c>
      <c r="E169" s="451">
        <f t="shared" si="51"/>
        <v>82.474464249949946</v>
      </c>
    </row>
    <row r="170" spans="1:9" ht="15.75" x14ac:dyDescent="0.25">
      <c r="A170" s="137" t="s">
        <v>804</v>
      </c>
      <c r="B170" s="146" t="s">
        <v>105</v>
      </c>
      <c r="C170" s="450">
        <f>C175+C173+C171</f>
        <v>8726.1</v>
      </c>
      <c r="D170" s="450">
        <f t="shared" ref="D170" si="57">D175+D173+D171</f>
        <v>6480.875</v>
      </c>
      <c r="E170" s="450">
        <f t="shared" si="51"/>
        <v>74.270006073732816</v>
      </c>
    </row>
    <row r="171" spans="1:9" ht="52.5" customHeight="1" x14ac:dyDescent="0.25">
      <c r="A171" s="137" t="s">
        <v>1657</v>
      </c>
      <c r="B171" s="446" t="s">
        <v>1658</v>
      </c>
      <c r="C171" s="450">
        <f>C172</f>
        <v>1500</v>
      </c>
      <c r="D171" s="450">
        <f t="shared" ref="D171" si="58">D172</f>
        <v>1500</v>
      </c>
      <c r="E171" s="450">
        <f t="shared" si="51"/>
        <v>100</v>
      </c>
    </row>
    <row r="172" spans="1:9" ht="51.75" customHeight="1" x14ac:dyDescent="0.25">
      <c r="A172" s="198" t="s">
        <v>1659</v>
      </c>
      <c r="B172" s="149" t="s">
        <v>1660</v>
      </c>
      <c r="C172" s="451">
        <v>1500</v>
      </c>
      <c r="D172" s="451">
        <v>1500</v>
      </c>
      <c r="E172" s="451">
        <f t="shared" si="51"/>
        <v>100</v>
      </c>
    </row>
    <row r="173" spans="1:9" ht="48.2" customHeight="1" x14ac:dyDescent="0.25">
      <c r="A173" s="286" t="s">
        <v>1391</v>
      </c>
      <c r="B173" s="291" t="s">
        <v>1389</v>
      </c>
      <c r="C173" s="450">
        <f>C174</f>
        <v>7226.1</v>
      </c>
      <c r="D173" s="450">
        <f t="shared" ref="D173" si="59">D174</f>
        <v>4980.875</v>
      </c>
      <c r="E173" s="450">
        <f t="shared" si="51"/>
        <v>68.928951993468118</v>
      </c>
    </row>
    <row r="174" spans="1:9" ht="46.9" customHeight="1" x14ac:dyDescent="0.25">
      <c r="A174" s="257" t="s">
        <v>1682</v>
      </c>
      <c r="B174" s="151" t="s">
        <v>1390</v>
      </c>
      <c r="C174" s="451">
        <v>7226.1</v>
      </c>
      <c r="D174" s="451">
        <v>4980.875</v>
      </c>
      <c r="E174" s="451">
        <f t="shared" si="51"/>
        <v>68.928951993468118</v>
      </c>
    </row>
    <row r="175" spans="1:9" ht="15.75" hidden="1" x14ac:dyDescent="0.25">
      <c r="A175" s="137" t="s">
        <v>803</v>
      </c>
      <c r="B175" s="146" t="s">
        <v>106</v>
      </c>
      <c r="C175" s="450">
        <f>C176</f>
        <v>0</v>
      </c>
      <c r="D175" s="450">
        <f t="shared" ref="D175" si="60">D176</f>
        <v>0</v>
      </c>
      <c r="E175" s="451" t="e">
        <f t="shared" si="51"/>
        <v>#DIV/0!</v>
      </c>
    </row>
    <row r="176" spans="1:9" ht="31.5" hidden="1" x14ac:dyDescent="0.25">
      <c r="A176" s="198" t="s">
        <v>815</v>
      </c>
      <c r="B176" s="139" t="s">
        <v>1126</v>
      </c>
      <c r="C176" s="432">
        <f>SUM(C177:C179)</f>
        <v>0</v>
      </c>
      <c r="D176" s="432">
        <f t="shared" ref="D176" si="61">SUM(D177:D179)</f>
        <v>0</v>
      </c>
      <c r="E176" s="451" t="e">
        <f t="shared" si="51"/>
        <v>#DIV/0!</v>
      </c>
    </row>
    <row r="177" spans="1:12" ht="15.75" hidden="1" x14ac:dyDescent="0.25">
      <c r="A177" s="548"/>
      <c r="B177" s="151"/>
      <c r="C177" s="432"/>
      <c r="D177" s="432"/>
      <c r="E177" s="451" t="e">
        <f t="shared" si="51"/>
        <v>#DIV/0!</v>
      </c>
    </row>
    <row r="178" spans="1:12" ht="112.7" hidden="1" customHeight="1" x14ac:dyDescent="0.25">
      <c r="A178" s="549"/>
      <c r="B178" s="151"/>
      <c r="C178" s="432"/>
      <c r="D178" s="432"/>
      <c r="E178" s="451" t="e">
        <f t="shared" si="51"/>
        <v>#DIV/0!</v>
      </c>
    </row>
    <row r="179" spans="1:12" ht="15.75" hidden="1" x14ac:dyDescent="0.25">
      <c r="A179" s="550"/>
      <c r="B179" s="151"/>
      <c r="C179" s="432"/>
      <c r="D179" s="432"/>
      <c r="E179" s="451" t="e">
        <f t="shared" si="51"/>
        <v>#DIV/0!</v>
      </c>
    </row>
    <row r="180" spans="1:12" ht="31.5" x14ac:dyDescent="0.25">
      <c r="A180" s="426" t="s">
        <v>1635</v>
      </c>
      <c r="B180" s="291" t="s">
        <v>1641</v>
      </c>
      <c r="C180" s="433">
        <f>C181</f>
        <v>55649.8</v>
      </c>
      <c r="D180" s="433">
        <f t="shared" ref="D180:D181" si="62">D181</f>
        <v>5307.049</v>
      </c>
      <c r="E180" s="450">
        <f t="shared" si="51"/>
        <v>9.5365104636494635</v>
      </c>
    </row>
    <row r="181" spans="1:12" s="190" customFormat="1" ht="31.5" x14ac:dyDescent="0.25">
      <c r="A181" s="511" t="s">
        <v>1640</v>
      </c>
      <c r="B181" s="291" t="s">
        <v>1642</v>
      </c>
      <c r="C181" s="433">
        <f>C182</f>
        <v>55649.8</v>
      </c>
      <c r="D181" s="433">
        <f t="shared" si="62"/>
        <v>5307.049</v>
      </c>
      <c r="E181" s="450">
        <f t="shared" si="51"/>
        <v>9.5365104636494635</v>
      </c>
      <c r="J181" s="417"/>
    </row>
    <row r="182" spans="1:12" ht="33.75" customHeight="1" x14ac:dyDescent="0.25">
      <c r="A182" s="513" t="s">
        <v>1633</v>
      </c>
      <c r="B182" s="151" t="s">
        <v>1634</v>
      </c>
      <c r="C182" s="432">
        <f>44726.9+10922.9</f>
        <v>55649.8</v>
      </c>
      <c r="D182" s="432">
        <v>5307.049</v>
      </c>
      <c r="E182" s="451">
        <f t="shared" si="51"/>
        <v>9.5365104636494635</v>
      </c>
      <c r="J182" s="477" t="s">
        <v>1732</v>
      </c>
    </row>
    <row r="183" spans="1:12" s="529" customFormat="1" ht="33.75" customHeight="1" x14ac:dyDescent="0.25">
      <c r="A183" s="545" t="s">
        <v>1799</v>
      </c>
      <c r="B183" s="541" t="s">
        <v>1802</v>
      </c>
      <c r="C183" s="544">
        <f>C184+C185</f>
        <v>0</v>
      </c>
      <c r="D183" s="544">
        <f>D184+D185</f>
        <v>-5833.223</v>
      </c>
      <c r="E183" s="528" t="s">
        <v>1805</v>
      </c>
      <c r="J183" s="477"/>
    </row>
    <row r="184" spans="1:12" s="529" customFormat="1" ht="33.75" customHeight="1" x14ac:dyDescent="0.25">
      <c r="A184" s="546" t="s">
        <v>1800</v>
      </c>
      <c r="B184" s="534" t="s">
        <v>1803</v>
      </c>
      <c r="C184" s="543">
        <v>0</v>
      </c>
      <c r="D184" s="543">
        <v>-5831.2240000000002</v>
      </c>
      <c r="E184" s="528" t="s">
        <v>1805</v>
      </c>
      <c r="J184" s="477"/>
    </row>
    <row r="185" spans="1:12" s="529" customFormat="1" ht="33.75" customHeight="1" x14ac:dyDescent="0.25">
      <c r="A185" s="546" t="s">
        <v>1801</v>
      </c>
      <c r="B185" s="534" t="s">
        <v>1804</v>
      </c>
      <c r="C185" s="543">
        <v>0</v>
      </c>
      <c r="D185" s="543">
        <v>-1.9990000000000001</v>
      </c>
      <c r="E185" s="528" t="s">
        <v>1805</v>
      </c>
      <c r="J185" s="477"/>
    </row>
    <row r="186" spans="1:12" ht="15.75" x14ac:dyDescent="0.25">
      <c r="A186" s="198"/>
      <c r="B186" s="183" t="s">
        <v>107</v>
      </c>
      <c r="C186" s="450">
        <f>SUM(C11+C86+C183)</f>
        <v>927515.78099999996</v>
      </c>
      <c r="D186" s="450">
        <f>SUM(D11+D86+D183)</f>
        <v>656641.70279000001</v>
      </c>
      <c r="E186" s="450">
        <f t="shared" si="51"/>
        <v>70.795744529763425</v>
      </c>
      <c r="G186" s="192"/>
      <c r="H186" s="115"/>
      <c r="L186" s="115"/>
    </row>
    <row r="187" spans="1:12" x14ac:dyDescent="0.25">
      <c r="C187" s="175">
        <f>C11+C90+C92</f>
        <v>534477.64099999995</v>
      </c>
      <c r="D187" s="175">
        <f>D11+D90+D92</f>
        <v>409723.37279000005</v>
      </c>
    </row>
    <row r="188" spans="1:12" ht="21.2" customHeight="1" x14ac:dyDescent="0.25">
      <c r="C188" s="175">
        <f>C86-C90-C92</f>
        <v>393038.14</v>
      </c>
      <c r="D188" s="175">
        <f t="shared" ref="D188" si="63">D86-D90-D92</f>
        <v>252751.55299999996</v>
      </c>
      <c r="I188" s="225"/>
    </row>
  </sheetData>
  <mergeCells count="11">
    <mergeCell ref="D1:E1"/>
    <mergeCell ref="D3:E3"/>
    <mergeCell ref="A6:C6"/>
    <mergeCell ref="A8:C8"/>
    <mergeCell ref="A177:A179"/>
    <mergeCell ref="A145:A163"/>
    <mergeCell ref="A116:A141"/>
    <mergeCell ref="A7:E7"/>
    <mergeCell ref="D5:E5"/>
    <mergeCell ref="D4:E4"/>
    <mergeCell ref="D2:E2"/>
  </mergeCells>
  <hyperlinks>
    <hyperlink ref="B72" r:id="rId1" display="consultantplus://offline/ref=90DD075742B43C415054D7C57EEE35341F87E5BC1D9D1BDE3A747C0D881C15D50B24F795703DF0A84C588B73F9A8AC3C8A6AC02CDB9A5E68c4m2F"/>
    <hyperlink ref="B74" r:id="rId2" display="consultantplus://offline/ref=90DD075742B43C415054D7C57EEE35341F87E5BC1D9D1BDE3A747C0D881C15D50B24F795703DF2AD4E588B73F9A8AC3C8A6AC02CDB9A5E68c4m2F"/>
    <hyperlink ref="B76" r:id="rId3" display="consultantplus://offline/ref=90DD075742B43C415054D7C57EEE35341F87E5BC1D9D1BDE3A747C0D881C15D50B24F795703CF7A64B588B73F9A8AC3C8A6AC02CDB9A5E68c4m2F"/>
    <hyperlink ref="B75" r:id="rId4" display="consultantplus://offline/ref=90DD075742B43C415054D7C57EEE35341F87E5BC1D9D1BDE3A747C0D881C15D50B24F795703CF7A64B588B73F9A8AC3C8A6AC02CDB9A5E68c4m2F"/>
    <hyperlink ref="B71" r:id="rId5" display="consultantplus://offline/ref=90DD075742B43C415054D7C57EEE35341F87E5BC1D9D1BDE3A747C0D881C15D50B24F795703DF0A84C588B73F9A8AC3C8A6AC02CDB9A5E68c4m2F"/>
    <hyperlink ref="B73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5" fitToHeight="6" orientation="portrait" r:id="rId7"/>
  <rowBreaks count="1" manualBreakCount="1">
    <brk id="28" max="4" man="1"/>
  </rowBreaks>
  <colBreaks count="1" manualBreakCount="1">
    <brk id="5" max="182" man="1"/>
  </colBreaks>
  <ignoredErrors>
    <ignoredError sqref="C47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3"/>
  <sheetViews>
    <sheetView view="pageBreakPreview" zoomScaleNormal="100" zoomScaleSheetLayoutView="100" workbookViewId="0">
      <selection activeCell="L11" sqref="L11"/>
    </sheetView>
  </sheetViews>
  <sheetFormatPr defaultColWidth="9.140625" defaultRowHeight="15" x14ac:dyDescent="0.25"/>
  <cols>
    <col min="1" max="1" width="62.28515625" style="201" customWidth="1"/>
    <col min="2" max="2" width="7" style="201" customWidth="1"/>
    <col min="3" max="3" width="4.28515625" style="201" customWidth="1"/>
    <col min="4" max="4" width="4.85546875" style="201" customWidth="1"/>
    <col min="5" max="5" width="15.42578125" style="201" customWidth="1"/>
    <col min="6" max="6" width="5.7109375" style="201" customWidth="1"/>
    <col min="7" max="9" width="15" style="115" customWidth="1"/>
    <col min="10" max="10" width="21.85546875" style="479" customWidth="1"/>
    <col min="11" max="11" width="24.140625" style="1" customWidth="1"/>
    <col min="12" max="12" width="12.42578125" style="1" customWidth="1"/>
    <col min="13" max="13" width="10.5703125" style="1" customWidth="1"/>
    <col min="14" max="14" width="12.7109375" style="1" customWidth="1"/>
    <col min="15" max="15" width="16.42578125" style="1" customWidth="1"/>
    <col min="16" max="16" width="9.140625" style="1"/>
    <col min="17" max="17" width="10" style="1" customWidth="1"/>
    <col min="18" max="18" width="9.140625" style="1" customWidth="1"/>
    <col min="19" max="19" width="10.28515625" style="1" customWidth="1"/>
    <col min="20" max="20" width="9.140625" style="1" customWidth="1"/>
    <col min="21" max="27" width="9.140625" style="1"/>
    <col min="28" max="28" width="11.42578125" style="1" customWidth="1"/>
    <col min="29" max="30" width="9.140625" style="1"/>
    <col min="31" max="38" width="9.140625" style="201"/>
    <col min="39" max="40" width="9.140625" style="1"/>
    <col min="41" max="42" width="9.140625" style="201"/>
    <col min="43" max="43" width="9.140625" style="1"/>
    <col min="44" max="44" width="9.140625" style="201"/>
    <col min="45" max="45" width="9.140625" style="1"/>
    <col min="46" max="46" width="11.42578125" style="1" customWidth="1"/>
    <col min="47" max="16384" width="9.140625" style="1"/>
  </cols>
  <sheetData>
    <row r="1" spans="1:12" ht="15.75" x14ac:dyDescent="0.25">
      <c r="A1" s="63"/>
      <c r="B1" s="63"/>
      <c r="C1" s="63"/>
      <c r="D1" s="63"/>
      <c r="E1" s="515"/>
      <c r="F1" s="515"/>
      <c r="G1" s="195"/>
      <c r="H1" s="582" t="s">
        <v>1644</v>
      </c>
      <c r="I1" s="582"/>
      <c r="K1" s="201"/>
      <c r="L1" s="201"/>
    </row>
    <row r="2" spans="1:12" ht="15.75" x14ac:dyDescent="0.25">
      <c r="A2" s="63"/>
      <c r="B2" s="63"/>
      <c r="C2" s="63"/>
      <c r="D2" s="63"/>
      <c r="E2" s="515"/>
      <c r="F2" s="515"/>
      <c r="G2" s="515"/>
      <c r="H2" s="583" t="s">
        <v>1809</v>
      </c>
      <c r="I2" s="583"/>
      <c r="K2" s="201"/>
      <c r="L2" s="201"/>
    </row>
    <row r="3" spans="1:12" ht="15.75" x14ac:dyDescent="0.25">
      <c r="A3" s="130"/>
      <c r="B3" s="130"/>
      <c r="C3" s="130"/>
      <c r="D3" s="130"/>
      <c r="E3" s="515"/>
      <c r="F3" s="515"/>
      <c r="G3" s="434"/>
      <c r="H3" s="583" t="s">
        <v>1808</v>
      </c>
      <c r="I3" s="583"/>
      <c r="K3" s="201"/>
      <c r="L3" s="201"/>
    </row>
    <row r="4" spans="1:12" s="201" customFormat="1" ht="15.75" x14ac:dyDescent="0.25">
      <c r="A4" s="130"/>
      <c r="B4" s="130"/>
      <c r="C4" s="130"/>
      <c r="D4" s="130"/>
      <c r="E4" s="515"/>
      <c r="F4" s="515"/>
      <c r="G4" s="434"/>
      <c r="H4" s="583" t="s">
        <v>1807</v>
      </c>
      <c r="I4" s="583"/>
      <c r="J4" s="479"/>
    </row>
    <row r="5" spans="1:12" s="201" customFormat="1" ht="15.75" x14ac:dyDescent="0.25">
      <c r="A5" s="130"/>
      <c r="B5" s="130"/>
      <c r="C5" s="130"/>
      <c r="D5" s="130"/>
      <c r="E5" s="515"/>
      <c r="F5" s="515"/>
      <c r="G5" s="434"/>
      <c r="H5" s="583" t="s">
        <v>1812</v>
      </c>
      <c r="I5" s="583"/>
      <c r="J5" s="479"/>
    </row>
    <row r="6" spans="1:12" s="201" customFormat="1" ht="15.75" x14ac:dyDescent="0.25">
      <c r="A6" s="517"/>
      <c r="B6" s="517"/>
      <c r="C6" s="517"/>
      <c r="D6" s="517"/>
      <c r="E6" s="517"/>
      <c r="F6" s="517"/>
      <c r="G6" s="507"/>
      <c r="H6" s="507"/>
      <c r="I6" s="507"/>
      <c r="J6" s="479"/>
    </row>
    <row r="7" spans="1:12" ht="15.75" customHeight="1" x14ac:dyDescent="0.25">
      <c r="A7" s="563" t="s">
        <v>1777</v>
      </c>
      <c r="B7" s="563"/>
      <c r="C7" s="563"/>
      <c r="D7" s="563"/>
      <c r="E7" s="563"/>
      <c r="F7" s="563"/>
      <c r="G7" s="563"/>
      <c r="H7" s="563"/>
      <c r="I7" s="563"/>
      <c r="K7" s="201"/>
      <c r="L7" s="201"/>
    </row>
    <row r="8" spans="1:12" ht="15.75" x14ac:dyDescent="0.25">
      <c r="A8" s="516"/>
      <c r="B8" s="516"/>
      <c r="C8" s="516"/>
      <c r="D8" s="516"/>
      <c r="E8" s="516"/>
      <c r="F8" s="516"/>
      <c r="K8" s="201"/>
      <c r="L8" s="201"/>
    </row>
    <row r="9" spans="1:12" ht="15.75" x14ac:dyDescent="0.25">
      <c r="A9" s="13"/>
      <c r="B9" s="13"/>
      <c r="C9" s="13"/>
      <c r="D9" s="13"/>
      <c r="E9" s="13"/>
      <c r="F9" s="13"/>
      <c r="G9" s="268"/>
      <c r="H9" s="268"/>
      <c r="I9" s="268"/>
      <c r="K9" s="201"/>
      <c r="L9" s="201"/>
    </row>
    <row r="10" spans="1:12" ht="47.25" x14ac:dyDescent="0.25">
      <c r="A10" s="508" t="s">
        <v>110</v>
      </c>
      <c r="B10" s="508" t="s">
        <v>111</v>
      </c>
      <c r="C10" s="15" t="s">
        <v>112</v>
      </c>
      <c r="D10" s="15" t="s">
        <v>113</v>
      </c>
      <c r="E10" s="15" t="s">
        <v>114</v>
      </c>
      <c r="F10" s="15" t="s">
        <v>115</v>
      </c>
      <c r="G10" s="366" t="s">
        <v>1771</v>
      </c>
      <c r="H10" s="366" t="s">
        <v>1772</v>
      </c>
      <c r="I10" s="366" t="s">
        <v>1773</v>
      </c>
      <c r="J10" s="478"/>
      <c r="K10" s="463"/>
      <c r="L10" s="201"/>
    </row>
    <row r="11" spans="1:12" ht="31.5" x14ac:dyDescent="0.25">
      <c r="A11" s="453" t="s">
        <v>116</v>
      </c>
      <c r="B11" s="453">
        <v>901</v>
      </c>
      <c r="C11" s="454"/>
      <c r="D11" s="454"/>
      <c r="E11" s="454"/>
      <c r="F11" s="454"/>
      <c r="G11" s="455">
        <f>G12</f>
        <v>13636</v>
      </c>
      <c r="H11" s="455">
        <f t="shared" ref="H11" si="0">H12</f>
        <v>10218.901</v>
      </c>
      <c r="I11" s="455">
        <f>H11/G11*100</f>
        <v>74.94060574948665</v>
      </c>
      <c r="J11" s="478"/>
      <c r="K11" s="463"/>
      <c r="L11" s="201"/>
    </row>
    <row r="12" spans="1:12" ht="15.75" x14ac:dyDescent="0.25">
      <c r="A12" s="456" t="s">
        <v>117</v>
      </c>
      <c r="B12" s="453">
        <v>901</v>
      </c>
      <c r="C12" s="457" t="s">
        <v>118</v>
      </c>
      <c r="D12" s="454"/>
      <c r="E12" s="454"/>
      <c r="F12" s="454"/>
      <c r="G12" s="455">
        <f>G13+G26</f>
        <v>13636</v>
      </c>
      <c r="H12" s="455">
        <f t="shared" ref="H12" si="1">H13+H26</f>
        <v>10218.901</v>
      </c>
      <c r="I12" s="455">
        <f t="shared" ref="I12:I75" si="2">H12/G12*100</f>
        <v>74.94060574948665</v>
      </c>
      <c r="J12" s="478"/>
      <c r="K12" s="463"/>
      <c r="L12" s="201"/>
    </row>
    <row r="13" spans="1:12" ht="47.25" x14ac:dyDescent="0.25">
      <c r="A13" s="456" t="s">
        <v>119</v>
      </c>
      <c r="B13" s="453">
        <v>901</v>
      </c>
      <c r="C13" s="457" t="s">
        <v>118</v>
      </c>
      <c r="D13" s="457" t="s">
        <v>120</v>
      </c>
      <c r="E13" s="457"/>
      <c r="F13" s="457"/>
      <c r="G13" s="455">
        <f>G14</f>
        <v>13586</v>
      </c>
      <c r="H13" s="455">
        <f t="shared" ref="H13:H14" si="3">H14</f>
        <v>10218.901</v>
      </c>
      <c r="I13" s="455">
        <f t="shared" si="2"/>
        <v>75.216406595024282</v>
      </c>
      <c r="J13" s="478"/>
      <c r="K13" s="463"/>
      <c r="L13" s="201"/>
    </row>
    <row r="14" spans="1:12" ht="31.5" x14ac:dyDescent="0.25">
      <c r="A14" s="456" t="s">
        <v>917</v>
      </c>
      <c r="B14" s="453">
        <v>901</v>
      </c>
      <c r="C14" s="457" t="s">
        <v>118</v>
      </c>
      <c r="D14" s="457" t="s">
        <v>120</v>
      </c>
      <c r="E14" s="457" t="s">
        <v>858</v>
      </c>
      <c r="F14" s="457"/>
      <c r="G14" s="455">
        <f>G15</f>
        <v>13586</v>
      </c>
      <c r="H14" s="455">
        <f t="shared" si="3"/>
        <v>10218.901</v>
      </c>
      <c r="I14" s="455">
        <f t="shared" si="2"/>
        <v>75.216406595024282</v>
      </c>
      <c r="J14" s="478"/>
      <c r="K14" s="463"/>
      <c r="L14" s="201"/>
    </row>
    <row r="15" spans="1:12" ht="15.75" x14ac:dyDescent="0.25">
      <c r="A15" s="456" t="s">
        <v>918</v>
      </c>
      <c r="B15" s="453">
        <v>901</v>
      </c>
      <c r="C15" s="457" t="s">
        <v>118</v>
      </c>
      <c r="D15" s="457" t="s">
        <v>120</v>
      </c>
      <c r="E15" s="457" t="s">
        <v>859</v>
      </c>
      <c r="F15" s="457"/>
      <c r="G15" s="455">
        <f>G16+G23</f>
        <v>13586</v>
      </c>
      <c r="H15" s="455">
        <f t="shared" ref="H15" si="4">H16+H23</f>
        <v>10218.901</v>
      </c>
      <c r="I15" s="455">
        <f t="shared" si="2"/>
        <v>75.216406595024282</v>
      </c>
      <c r="J15" s="478"/>
      <c r="K15" s="463"/>
      <c r="L15" s="201"/>
    </row>
    <row r="16" spans="1:12" ht="31.5" x14ac:dyDescent="0.25">
      <c r="A16" s="458" t="s">
        <v>897</v>
      </c>
      <c r="B16" s="452">
        <v>901</v>
      </c>
      <c r="C16" s="454" t="s">
        <v>118</v>
      </c>
      <c r="D16" s="454" t="s">
        <v>120</v>
      </c>
      <c r="E16" s="454" t="s">
        <v>860</v>
      </c>
      <c r="F16" s="454"/>
      <c r="G16" s="459">
        <f>G17+G19+G21</f>
        <v>13166</v>
      </c>
      <c r="H16" s="459">
        <f t="shared" ref="H16" si="5">H17+H19+H21</f>
        <v>9952.759</v>
      </c>
      <c r="I16" s="459">
        <f t="shared" si="2"/>
        <v>75.594402248215104</v>
      </c>
      <c r="J16" s="478"/>
      <c r="K16" s="463"/>
      <c r="L16" s="201"/>
    </row>
    <row r="17" spans="1:12" ht="63" x14ac:dyDescent="0.25">
      <c r="A17" s="458" t="s">
        <v>127</v>
      </c>
      <c r="B17" s="452">
        <v>901</v>
      </c>
      <c r="C17" s="454" t="s">
        <v>118</v>
      </c>
      <c r="D17" s="454" t="s">
        <v>120</v>
      </c>
      <c r="E17" s="454" t="s">
        <v>860</v>
      </c>
      <c r="F17" s="454" t="s">
        <v>128</v>
      </c>
      <c r="G17" s="459">
        <f>G18</f>
        <v>12081</v>
      </c>
      <c r="H17" s="459">
        <f t="shared" ref="H17" si="6">H18</f>
        <v>9442.0069999999996</v>
      </c>
      <c r="I17" s="459">
        <f t="shared" si="2"/>
        <v>78.155839748365196</v>
      </c>
      <c r="J17" s="478"/>
      <c r="K17" s="463"/>
      <c r="L17" s="201"/>
    </row>
    <row r="18" spans="1:12" ht="31.5" x14ac:dyDescent="0.25">
      <c r="A18" s="458" t="s">
        <v>129</v>
      </c>
      <c r="B18" s="452">
        <v>901</v>
      </c>
      <c r="C18" s="454" t="s">
        <v>118</v>
      </c>
      <c r="D18" s="454" t="s">
        <v>120</v>
      </c>
      <c r="E18" s="454" t="s">
        <v>860</v>
      </c>
      <c r="F18" s="454" t="s">
        <v>130</v>
      </c>
      <c r="G18" s="27">
        <f>10929+384+384+384-2000+2000</f>
        <v>12081</v>
      </c>
      <c r="H18" s="27">
        <v>9442.0069999999996</v>
      </c>
      <c r="I18" s="459">
        <f t="shared" si="2"/>
        <v>78.155839748365196</v>
      </c>
      <c r="J18" s="478"/>
      <c r="K18" s="478">
        <v>44414</v>
      </c>
      <c r="L18" s="201"/>
    </row>
    <row r="19" spans="1:12" ht="31.5" x14ac:dyDescent="0.25">
      <c r="A19" s="458" t="s">
        <v>131</v>
      </c>
      <c r="B19" s="452">
        <v>901</v>
      </c>
      <c r="C19" s="454" t="s">
        <v>118</v>
      </c>
      <c r="D19" s="454" t="s">
        <v>120</v>
      </c>
      <c r="E19" s="454" t="s">
        <v>860</v>
      </c>
      <c r="F19" s="454" t="s">
        <v>132</v>
      </c>
      <c r="G19" s="459">
        <f>G20</f>
        <v>1060</v>
      </c>
      <c r="H19" s="459">
        <f t="shared" ref="H19" si="7">H20</f>
        <v>509.33699999999999</v>
      </c>
      <c r="I19" s="459">
        <f t="shared" si="2"/>
        <v>48.05066037735849</v>
      </c>
      <c r="J19" s="478"/>
      <c r="K19" s="463"/>
      <c r="L19" s="201"/>
    </row>
    <row r="20" spans="1:12" ht="31.5" x14ac:dyDescent="0.25">
      <c r="A20" s="458" t="s">
        <v>133</v>
      </c>
      <c r="B20" s="452">
        <v>901</v>
      </c>
      <c r="C20" s="454" t="s">
        <v>118</v>
      </c>
      <c r="D20" s="454" t="s">
        <v>120</v>
      </c>
      <c r="E20" s="454" t="s">
        <v>860</v>
      </c>
      <c r="F20" s="454" t="s">
        <v>134</v>
      </c>
      <c r="G20" s="27">
        <f>977+3+80</f>
        <v>1060</v>
      </c>
      <c r="H20" s="27">
        <v>509.33699999999999</v>
      </c>
      <c r="I20" s="459">
        <f t="shared" si="2"/>
        <v>48.05066037735849</v>
      </c>
      <c r="J20" s="478"/>
      <c r="K20" s="463"/>
      <c r="L20" s="201"/>
    </row>
    <row r="21" spans="1:12" ht="15.75" x14ac:dyDescent="0.25">
      <c r="A21" s="458" t="s">
        <v>135</v>
      </c>
      <c r="B21" s="452">
        <v>901</v>
      </c>
      <c r="C21" s="454" t="s">
        <v>118</v>
      </c>
      <c r="D21" s="454" t="s">
        <v>120</v>
      </c>
      <c r="E21" s="454" t="s">
        <v>860</v>
      </c>
      <c r="F21" s="454" t="s">
        <v>136</v>
      </c>
      <c r="G21" s="459">
        <f>G22</f>
        <v>25</v>
      </c>
      <c r="H21" s="459">
        <f t="shared" ref="H21" si="8">H22</f>
        <v>1.415</v>
      </c>
      <c r="I21" s="459">
        <f t="shared" si="2"/>
        <v>5.66</v>
      </c>
      <c r="J21" s="478"/>
      <c r="K21" s="463"/>
      <c r="L21" s="201"/>
    </row>
    <row r="22" spans="1:12" ht="15.75" x14ac:dyDescent="0.25">
      <c r="A22" s="458" t="s">
        <v>568</v>
      </c>
      <c r="B22" s="452">
        <v>901</v>
      </c>
      <c r="C22" s="454" t="s">
        <v>118</v>
      </c>
      <c r="D22" s="454" t="s">
        <v>120</v>
      </c>
      <c r="E22" s="454" t="s">
        <v>860</v>
      </c>
      <c r="F22" s="454" t="s">
        <v>138</v>
      </c>
      <c r="G22" s="459">
        <f>28-3</f>
        <v>25</v>
      </c>
      <c r="H22" s="459">
        <v>1.415</v>
      </c>
      <c r="I22" s="459">
        <f t="shared" si="2"/>
        <v>5.66</v>
      </c>
      <c r="J22" s="478"/>
      <c r="K22" s="463"/>
      <c r="L22" s="201"/>
    </row>
    <row r="23" spans="1:12" s="201" customFormat="1" ht="31.5" x14ac:dyDescent="0.25">
      <c r="A23" s="458" t="s">
        <v>839</v>
      </c>
      <c r="B23" s="452">
        <v>901</v>
      </c>
      <c r="C23" s="454" t="s">
        <v>118</v>
      </c>
      <c r="D23" s="454" t="s">
        <v>120</v>
      </c>
      <c r="E23" s="454" t="s">
        <v>862</v>
      </c>
      <c r="F23" s="454"/>
      <c r="G23" s="459">
        <f>G24</f>
        <v>420</v>
      </c>
      <c r="H23" s="459">
        <f t="shared" ref="H23:H24" si="9">H24</f>
        <v>266.142</v>
      </c>
      <c r="I23" s="459">
        <f t="shared" si="2"/>
        <v>63.367142857142852</v>
      </c>
      <c r="J23" s="478"/>
      <c r="K23" s="463"/>
    </row>
    <row r="24" spans="1:12" s="201" customFormat="1" ht="63" x14ac:dyDescent="0.25">
      <c r="A24" s="458" t="s">
        <v>127</v>
      </c>
      <c r="B24" s="452">
        <v>901</v>
      </c>
      <c r="C24" s="454" t="s">
        <v>118</v>
      </c>
      <c r="D24" s="454" t="s">
        <v>120</v>
      </c>
      <c r="E24" s="454" t="s">
        <v>862</v>
      </c>
      <c r="F24" s="454" t="s">
        <v>128</v>
      </c>
      <c r="G24" s="459">
        <f>G25</f>
        <v>420</v>
      </c>
      <c r="H24" s="459">
        <f t="shared" si="9"/>
        <v>266.142</v>
      </c>
      <c r="I24" s="459">
        <f t="shared" si="2"/>
        <v>63.367142857142852</v>
      </c>
      <c r="J24" s="478"/>
      <c r="K24" s="463"/>
    </row>
    <row r="25" spans="1:12" s="201" customFormat="1" ht="31.5" x14ac:dyDescent="0.25">
      <c r="A25" s="458" t="s">
        <v>129</v>
      </c>
      <c r="B25" s="452">
        <v>901</v>
      </c>
      <c r="C25" s="454" t="s">
        <v>118</v>
      </c>
      <c r="D25" s="454" t="s">
        <v>120</v>
      </c>
      <c r="E25" s="454" t="s">
        <v>862</v>
      </c>
      <c r="F25" s="454" t="s">
        <v>130</v>
      </c>
      <c r="G25" s="459">
        <v>420</v>
      </c>
      <c r="H25" s="459">
        <v>266.142</v>
      </c>
      <c r="I25" s="459">
        <f t="shared" si="2"/>
        <v>63.367142857142852</v>
      </c>
      <c r="J25" s="478"/>
      <c r="K25" s="463"/>
    </row>
    <row r="26" spans="1:12" s="201" customFormat="1" ht="15.75" x14ac:dyDescent="0.25">
      <c r="A26" s="456" t="s">
        <v>1403</v>
      </c>
      <c r="B26" s="453">
        <v>901</v>
      </c>
      <c r="C26" s="457" t="s">
        <v>118</v>
      </c>
      <c r="D26" s="457" t="s">
        <v>491</v>
      </c>
      <c r="E26" s="457"/>
      <c r="F26" s="457"/>
      <c r="G26" s="455">
        <f>G27</f>
        <v>50</v>
      </c>
      <c r="H26" s="455">
        <f t="shared" ref="H26:H30" si="10">H27</f>
        <v>0</v>
      </c>
      <c r="I26" s="455">
        <f t="shared" si="2"/>
        <v>0</v>
      </c>
      <c r="J26" s="478"/>
      <c r="K26" s="463"/>
    </row>
    <row r="27" spans="1:12" s="201" customFormat="1" ht="15.75" x14ac:dyDescent="0.25">
      <c r="A27" s="456" t="s">
        <v>141</v>
      </c>
      <c r="B27" s="453">
        <v>901</v>
      </c>
      <c r="C27" s="457" t="s">
        <v>118</v>
      </c>
      <c r="D27" s="457" t="s">
        <v>491</v>
      </c>
      <c r="E27" s="457" t="s">
        <v>866</v>
      </c>
      <c r="F27" s="457"/>
      <c r="G27" s="455">
        <f>G28</f>
        <v>50</v>
      </c>
      <c r="H27" s="455">
        <f t="shared" si="10"/>
        <v>0</v>
      </c>
      <c r="I27" s="455">
        <f t="shared" si="2"/>
        <v>0</v>
      </c>
      <c r="J27" s="478"/>
      <c r="K27" s="463"/>
    </row>
    <row r="28" spans="1:12" s="201" customFormat="1" ht="31.5" x14ac:dyDescent="0.25">
      <c r="A28" s="456" t="s">
        <v>870</v>
      </c>
      <c r="B28" s="453">
        <v>901</v>
      </c>
      <c r="C28" s="457" t="s">
        <v>118</v>
      </c>
      <c r="D28" s="457" t="s">
        <v>491</v>
      </c>
      <c r="E28" s="457" t="s">
        <v>865</v>
      </c>
      <c r="F28" s="457"/>
      <c r="G28" s="455">
        <f>G29</f>
        <v>50</v>
      </c>
      <c r="H28" s="455">
        <f t="shared" si="10"/>
        <v>0</v>
      </c>
      <c r="I28" s="455">
        <f t="shared" si="2"/>
        <v>0</v>
      </c>
      <c r="J28" s="478"/>
      <c r="K28" s="463"/>
    </row>
    <row r="29" spans="1:12" s="201" customFormat="1" ht="15.75" x14ac:dyDescent="0.25">
      <c r="A29" s="458" t="s">
        <v>1138</v>
      </c>
      <c r="B29" s="452">
        <v>901</v>
      </c>
      <c r="C29" s="454" t="s">
        <v>118</v>
      </c>
      <c r="D29" s="454" t="s">
        <v>491</v>
      </c>
      <c r="E29" s="454" t="s">
        <v>1139</v>
      </c>
      <c r="F29" s="454"/>
      <c r="G29" s="459">
        <f>G30</f>
        <v>50</v>
      </c>
      <c r="H29" s="459">
        <f t="shared" si="10"/>
        <v>0</v>
      </c>
      <c r="I29" s="459">
        <f t="shared" si="2"/>
        <v>0</v>
      </c>
      <c r="J29" s="478"/>
      <c r="K29" s="463"/>
    </row>
    <row r="30" spans="1:12" s="201" customFormat="1" ht="15.75" x14ac:dyDescent="0.25">
      <c r="A30" s="458" t="s">
        <v>135</v>
      </c>
      <c r="B30" s="452">
        <v>901</v>
      </c>
      <c r="C30" s="454" t="s">
        <v>118</v>
      </c>
      <c r="D30" s="454" t="s">
        <v>491</v>
      </c>
      <c r="E30" s="454" t="s">
        <v>1139</v>
      </c>
      <c r="F30" s="454" t="s">
        <v>145</v>
      </c>
      <c r="G30" s="459">
        <f>G31</f>
        <v>50</v>
      </c>
      <c r="H30" s="459">
        <f t="shared" si="10"/>
        <v>0</v>
      </c>
      <c r="I30" s="459">
        <f t="shared" si="2"/>
        <v>0</v>
      </c>
      <c r="J30" s="478"/>
      <c r="K30" s="463"/>
    </row>
    <row r="31" spans="1:12" s="201" customFormat="1" ht="15.75" x14ac:dyDescent="0.25">
      <c r="A31" s="458" t="s">
        <v>1138</v>
      </c>
      <c r="B31" s="452">
        <v>901</v>
      </c>
      <c r="C31" s="454" t="s">
        <v>118</v>
      </c>
      <c r="D31" s="454" t="s">
        <v>491</v>
      </c>
      <c r="E31" s="454" t="s">
        <v>1139</v>
      </c>
      <c r="F31" s="454" t="s">
        <v>1140</v>
      </c>
      <c r="G31" s="459">
        <v>50</v>
      </c>
      <c r="H31" s="459">
        <v>0</v>
      </c>
      <c r="I31" s="459">
        <f t="shared" si="2"/>
        <v>0</v>
      </c>
      <c r="J31" s="478"/>
      <c r="K31" s="463"/>
    </row>
    <row r="32" spans="1:12" ht="15.75" x14ac:dyDescent="0.25">
      <c r="A32" s="453" t="s">
        <v>148</v>
      </c>
      <c r="B32" s="453">
        <v>902</v>
      </c>
      <c r="C32" s="454"/>
      <c r="D32" s="454"/>
      <c r="E32" s="454"/>
      <c r="F32" s="454"/>
      <c r="G32" s="455">
        <f>G33+G165+G195+G219+G158</f>
        <v>95082.994999999995</v>
      </c>
      <c r="H32" s="455">
        <f t="shared" ref="H32" si="11">H33+H165+H195+H219+H158</f>
        <v>63126.751000000004</v>
      </c>
      <c r="I32" s="455">
        <f t="shared" si="2"/>
        <v>66.391210121220951</v>
      </c>
      <c r="J32" s="478"/>
      <c r="K32" s="463"/>
      <c r="L32" s="225"/>
    </row>
    <row r="33" spans="1:12" ht="15.75" x14ac:dyDescent="0.25">
      <c r="A33" s="456" t="s">
        <v>117</v>
      </c>
      <c r="B33" s="453">
        <v>902</v>
      </c>
      <c r="C33" s="457" t="s">
        <v>118</v>
      </c>
      <c r="D33" s="454"/>
      <c r="E33" s="454"/>
      <c r="F33" s="454"/>
      <c r="G33" s="455">
        <f>G50+G111+G128+G120+G34</f>
        <v>73992.569999999992</v>
      </c>
      <c r="H33" s="455">
        <f t="shared" ref="H33" si="12">H50+H111+H128+H120+H34</f>
        <v>48073.466</v>
      </c>
      <c r="I33" s="455">
        <f t="shared" si="2"/>
        <v>64.970666649367644</v>
      </c>
      <c r="J33" s="478"/>
      <c r="K33" s="463"/>
      <c r="L33" s="201"/>
    </row>
    <row r="34" spans="1:12" s="201" customFormat="1" ht="31.9" customHeight="1" x14ac:dyDescent="0.25">
      <c r="A34" s="456" t="s">
        <v>575</v>
      </c>
      <c r="B34" s="453">
        <v>902</v>
      </c>
      <c r="C34" s="457" t="s">
        <v>118</v>
      </c>
      <c r="D34" s="457" t="s">
        <v>213</v>
      </c>
      <c r="E34" s="454"/>
      <c r="F34" s="454"/>
      <c r="G34" s="455">
        <f>G35</f>
        <v>4828.54</v>
      </c>
      <c r="H34" s="455">
        <f t="shared" ref="H34" si="13">H35</f>
        <v>3939.4849999999997</v>
      </c>
      <c r="I34" s="455">
        <f t="shared" si="2"/>
        <v>81.587498498510939</v>
      </c>
      <c r="J34" s="478"/>
      <c r="K34" s="463"/>
    </row>
    <row r="35" spans="1:12" s="201" customFormat="1" ht="31.5" x14ac:dyDescent="0.25">
      <c r="A35" s="456" t="s">
        <v>917</v>
      </c>
      <c r="B35" s="453">
        <v>902</v>
      </c>
      <c r="C35" s="457" t="s">
        <v>118</v>
      </c>
      <c r="D35" s="457" t="s">
        <v>213</v>
      </c>
      <c r="E35" s="457" t="s">
        <v>858</v>
      </c>
      <c r="F35" s="454"/>
      <c r="G35" s="455">
        <f>G36+G45</f>
        <v>4828.54</v>
      </c>
      <c r="H35" s="455">
        <f t="shared" ref="H35" si="14">H36+H45</f>
        <v>3939.4849999999997</v>
      </c>
      <c r="I35" s="455">
        <f t="shared" si="2"/>
        <v>81.587498498510939</v>
      </c>
      <c r="J35" s="478"/>
      <c r="K35" s="463"/>
    </row>
    <row r="36" spans="1:12" s="201" customFormat="1" ht="15.75" x14ac:dyDescent="0.25">
      <c r="A36" s="456" t="s">
        <v>918</v>
      </c>
      <c r="B36" s="453">
        <v>902</v>
      </c>
      <c r="C36" s="457" t="s">
        <v>118</v>
      </c>
      <c r="D36" s="457" t="s">
        <v>213</v>
      </c>
      <c r="E36" s="457" t="s">
        <v>859</v>
      </c>
      <c r="F36" s="454"/>
      <c r="G36" s="455">
        <f>G37+G42</f>
        <v>4786.8999999999996</v>
      </c>
      <c r="H36" s="455">
        <f t="shared" ref="H36" si="15">H37+H42</f>
        <v>3939.4849999999997</v>
      </c>
      <c r="I36" s="455">
        <f t="shared" si="2"/>
        <v>82.297206960663473</v>
      </c>
      <c r="J36" s="478"/>
      <c r="K36" s="463"/>
    </row>
    <row r="37" spans="1:12" s="201" customFormat="1" ht="31.5" x14ac:dyDescent="0.25">
      <c r="A37" s="458" t="s">
        <v>576</v>
      </c>
      <c r="B37" s="452">
        <v>902</v>
      </c>
      <c r="C37" s="454" t="s">
        <v>118</v>
      </c>
      <c r="D37" s="454" t="s">
        <v>213</v>
      </c>
      <c r="E37" s="454" t="s">
        <v>1331</v>
      </c>
      <c r="F37" s="454"/>
      <c r="G37" s="459">
        <f>G38+G40</f>
        <v>4786.8999999999996</v>
      </c>
      <c r="H37" s="459">
        <f t="shared" ref="H37" si="16">H38+H40</f>
        <v>3939.4849999999997</v>
      </c>
      <c r="I37" s="459">
        <f t="shared" si="2"/>
        <v>82.297206960663473</v>
      </c>
      <c r="J37" s="478"/>
      <c r="K37" s="463"/>
    </row>
    <row r="38" spans="1:12" s="201" customFormat="1" ht="78.75" x14ac:dyDescent="0.25">
      <c r="A38" s="458" t="s">
        <v>127</v>
      </c>
      <c r="B38" s="452">
        <v>902</v>
      </c>
      <c r="C38" s="454" t="s">
        <v>118</v>
      </c>
      <c r="D38" s="454" t="s">
        <v>213</v>
      </c>
      <c r="E38" s="454" t="s">
        <v>1331</v>
      </c>
      <c r="F38" s="454" t="s">
        <v>128</v>
      </c>
      <c r="G38" s="459">
        <f>G39</f>
        <v>4696.8999999999996</v>
      </c>
      <c r="H38" s="459">
        <f t="shared" ref="H38" si="17">H39</f>
        <v>3911.7849999999999</v>
      </c>
      <c r="I38" s="459">
        <f t="shared" si="2"/>
        <v>83.284400349166475</v>
      </c>
      <c r="J38" s="478"/>
      <c r="K38" s="463"/>
    </row>
    <row r="39" spans="1:12" s="201" customFormat="1" ht="31.5" x14ac:dyDescent="0.25">
      <c r="A39" s="458" t="s">
        <v>129</v>
      </c>
      <c r="B39" s="452">
        <v>902</v>
      </c>
      <c r="C39" s="454" t="s">
        <v>118</v>
      </c>
      <c r="D39" s="454" t="s">
        <v>213</v>
      </c>
      <c r="E39" s="454" t="s">
        <v>1331</v>
      </c>
      <c r="F39" s="454" t="s">
        <v>130</v>
      </c>
      <c r="G39" s="27">
        <f>4736.9-15-25</f>
        <v>4696.8999999999996</v>
      </c>
      <c r="H39" s="27">
        <v>3911.7849999999999</v>
      </c>
      <c r="I39" s="459">
        <f t="shared" si="2"/>
        <v>83.284400349166475</v>
      </c>
      <c r="J39" s="478"/>
      <c r="K39" s="463"/>
      <c r="L39" s="489"/>
    </row>
    <row r="40" spans="1:12" s="201" customFormat="1" ht="31.5" x14ac:dyDescent="0.25">
      <c r="A40" s="458" t="s">
        <v>198</v>
      </c>
      <c r="B40" s="452">
        <v>902</v>
      </c>
      <c r="C40" s="454" t="s">
        <v>118</v>
      </c>
      <c r="D40" s="454" t="s">
        <v>213</v>
      </c>
      <c r="E40" s="454" t="s">
        <v>1331</v>
      </c>
      <c r="F40" s="454" t="s">
        <v>132</v>
      </c>
      <c r="G40" s="459">
        <f>G41</f>
        <v>90</v>
      </c>
      <c r="H40" s="459">
        <f t="shared" ref="H40" si="18">H41</f>
        <v>27.7</v>
      </c>
      <c r="I40" s="459">
        <f t="shared" si="2"/>
        <v>30.777777777777775</v>
      </c>
      <c r="J40" s="478"/>
      <c r="K40" s="463"/>
    </row>
    <row r="41" spans="1:12" s="201" customFormat="1" ht="31.5" x14ac:dyDescent="0.25">
      <c r="A41" s="458" t="s">
        <v>133</v>
      </c>
      <c r="B41" s="452">
        <v>902</v>
      </c>
      <c r="C41" s="454" t="s">
        <v>118</v>
      </c>
      <c r="D41" s="454" t="s">
        <v>213</v>
      </c>
      <c r="E41" s="454" t="s">
        <v>1331</v>
      </c>
      <c r="F41" s="454" t="s">
        <v>134</v>
      </c>
      <c r="G41" s="459">
        <v>90</v>
      </c>
      <c r="H41" s="459">
        <v>27.7</v>
      </c>
      <c r="I41" s="459">
        <f t="shared" si="2"/>
        <v>30.777777777777775</v>
      </c>
      <c r="J41" s="478"/>
      <c r="K41" s="463"/>
    </row>
    <row r="42" spans="1:12" s="201" customFormat="1" ht="31.5" hidden="1" x14ac:dyDescent="0.25">
      <c r="A42" s="458" t="s">
        <v>839</v>
      </c>
      <c r="B42" s="452">
        <v>902</v>
      </c>
      <c r="C42" s="454" t="s">
        <v>118</v>
      </c>
      <c r="D42" s="454" t="s">
        <v>213</v>
      </c>
      <c r="E42" s="454" t="s">
        <v>862</v>
      </c>
      <c r="F42" s="454"/>
      <c r="G42" s="459">
        <f>G43</f>
        <v>0</v>
      </c>
      <c r="H42" s="459">
        <f t="shared" ref="H42:H43" si="19">H43</f>
        <v>0</v>
      </c>
      <c r="I42" s="455" t="e">
        <f t="shared" si="2"/>
        <v>#DIV/0!</v>
      </c>
      <c r="J42" s="478"/>
      <c r="K42" s="463"/>
    </row>
    <row r="43" spans="1:12" s="201" customFormat="1" ht="78.75" hidden="1" x14ac:dyDescent="0.25">
      <c r="A43" s="458" t="s">
        <v>127</v>
      </c>
      <c r="B43" s="452">
        <v>902</v>
      </c>
      <c r="C43" s="454" t="s">
        <v>118</v>
      </c>
      <c r="D43" s="454" t="s">
        <v>213</v>
      </c>
      <c r="E43" s="454" t="s">
        <v>862</v>
      </c>
      <c r="F43" s="454" t="s">
        <v>128</v>
      </c>
      <c r="G43" s="459">
        <f>G44</f>
        <v>0</v>
      </c>
      <c r="H43" s="459">
        <f t="shared" si="19"/>
        <v>0</v>
      </c>
      <c r="I43" s="455" t="e">
        <f t="shared" si="2"/>
        <v>#DIV/0!</v>
      </c>
      <c r="J43" s="478"/>
      <c r="K43" s="463"/>
    </row>
    <row r="44" spans="1:12" s="201" customFormat="1" ht="31.5" hidden="1" x14ac:dyDescent="0.25">
      <c r="A44" s="458" t="s">
        <v>129</v>
      </c>
      <c r="B44" s="452">
        <v>902</v>
      </c>
      <c r="C44" s="454" t="s">
        <v>118</v>
      </c>
      <c r="D44" s="454" t="s">
        <v>213</v>
      </c>
      <c r="E44" s="454" t="s">
        <v>862</v>
      </c>
      <c r="F44" s="454" t="s">
        <v>130</v>
      </c>
      <c r="G44" s="459">
        <f>42-42</f>
        <v>0</v>
      </c>
      <c r="H44" s="459">
        <f t="shared" ref="H44" si="20">42-42</f>
        <v>0</v>
      </c>
      <c r="I44" s="455" t="e">
        <f t="shared" si="2"/>
        <v>#DIV/0!</v>
      </c>
      <c r="J44" s="478"/>
      <c r="K44" s="463"/>
    </row>
    <row r="45" spans="1:12" s="201" customFormat="1" ht="31.5" x14ac:dyDescent="0.25">
      <c r="A45" s="456" t="s">
        <v>1341</v>
      </c>
      <c r="B45" s="453">
        <v>902</v>
      </c>
      <c r="C45" s="457" t="s">
        <v>118</v>
      </c>
      <c r="D45" s="457" t="s">
        <v>213</v>
      </c>
      <c r="E45" s="457" t="s">
        <v>162</v>
      </c>
      <c r="F45" s="457"/>
      <c r="G45" s="455">
        <f>G46</f>
        <v>41.64</v>
      </c>
      <c r="H45" s="455">
        <f t="shared" ref="H45:H48" si="21">H46</f>
        <v>0</v>
      </c>
      <c r="I45" s="455">
        <f t="shared" si="2"/>
        <v>0</v>
      </c>
      <c r="J45" s="478"/>
      <c r="K45" s="463"/>
    </row>
    <row r="46" spans="1:12" s="201" customFormat="1" ht="63" x14ac:dyDescent="0.25">
      <c r="A46" s="211" t="s">
        <v>1343</v>
      </c>
      <c r="B46" s="270">
        <v>902</v>
      </c>
      <c r="C46" s="457" t="s">
        <v>118</v>
      </c>
      <c r="D46" s="457" t="s">
        <v>213</v>
      </c>
      <c r="E46" s="7" t="s">
        <v>850</v>
      </c>
      <c r="F46" s="457"/>
      <c r="G46" s="455">
        <f>G47</f>
        <v>41.64</v>
      </c>
      <c r="H46" s="455">
        <f t="shared" si="21"/>
        <v>0</v>
      </c>
      <c r="I46" s="455">
        <f t="shared" si="2"/>
        <v>0</v>
      </c>
      <c r="J46" s="478"/>
      <c r="K46" s="463"/>
    </row>
    <row r="47" spans="1:12" s="201" customFormat="1" ht="59.1" customHeight="1" x14ac:dyDescent="0.25">
      <c r="A47" s="31" t="s">
        <v>695</v>
      </c>
      <c r="B47" s="452">
        <v>902</v>
      </c>
      <c r="C47" s="454" t="s">
        <v>118</v>
      </c>
      <c r="D47" s="454" t="s">
        <v>213</v>
      </c>
      <c r="E47" s="461" t="s">
        <v>993</v>
      </c>
      <c r="F47" s="454"/>
      <c r="G47" s="459">
        <f>G48</f>
        <v>41.64</v>
      </c>
      <c r="H47" s="459">
        <f t="shared" si="21"/>
        <v>0</v>
      </c>
      <c r="I47" s="459">
        <f t="shared" si="2"/>
        <v>0</v>
      </c>
      <c r="J47" s="478"/>
      <c r="K47" s="463"/>
    </row>
    <row r="48" spans="1:12" s="201" customFormat="1" ht="31.5" x14ac:dyDescent="0.25">
      <c r="A48" s="458" t="s">
        <v>131</v>
      </c>
      <c r="B48" s="452">
        <v>902</v>
      </c>
      <c r="C48" s="454" t="s">
        <v>118</v>
      </c>
      <c r="D48" s="454" t="s">
        <v>213</v>
      </c>
      <c r="E48" s="461" t="s">
        <v>993</v>
      </c>
      <c r="F48" s="454" t="s">
        <v>132</v>
      </c>
      <c r="G48" s="459">
        <f>G49</f>
        <v>41.64</v>
      </c>
      <c r="H48" s="459">
        <f t="shared" si="21"/>
        <v>0</v>
      </c>
      <c r="I48" s="459">
        <f t="shared" si="2"/>
        <v>0</v>
      </c>
      <c r="J48" s="478"/>
      <c r="K48" s="463"/>
    </row>
    <row r="49" spans="1:12" s="201" customFormat="1" ht="31.5" x14ac:dyDescent="0.25">
      <c r="A49" s="458" t="s">
        <v>133</v>
      </c>
      <c r="B49" s="452">
        <v>902</v>
      </c>
      <c r="C49" s="454" t="s">
        <v>118</v>
      </c>
      <c r="D49" s="454" t="s">
        <v>213</v>
      </c>
      <c r="E49" s="461" t="s">
        <v>993</v>
      </c>
      <c r="F49" s="454" t="s">
        <v>134</v>
      </c>
      <c r="G49" s="459">
        <f>0.5+40+1.14</f>
        <v>41.64</v>
      </c>
      <c r="H49" s="459">
        <v>0</v>
      </c>
      <c r="I49" s="459">
        <f t="shared" si="2"/>
        <v>0</v>
      </c>
      <c r="J49" s="478"/>
      <c r="K49" s="463"/>
    </row>
    <row r="50" spans="1:12" ht="46.15" customHeight="1" x14ac:dyDescent="0.25">
      <c r="A50" s="456" t="s">
        <v>149</v>
      </c>
      <c r="B50" s="453">
        <v>902</v>
      </c>
      <c r="C50" s="457" t="s">
        <v>118</v>
      </c>
      <c r="D50" s="457" t="s">
        <v>150</v>
      </c>
      <c r="E50" s="457"/>
      <c r="F50" s="457"/>
      <c r="G50" s="455">
        <f>G51+G90</f>
        <v>61196.73</v>
      </c>
      <c r="H50" s="455">
        <f t="shared" ref="H50" si="22">H51+H90</f>
        <v>38511.862999999998</v>
      </c>
      <c r="I50" s="455">
        <f t="shared" si="2"/>
        <v>62.931243221655784</v>
      </c>
      <c r="J50" s="478"/>
      <c r="K50" s="463"/>
      <c r="L50" s="201"/>
    </row>
    <row r="51" spans="1:12" ht="31.5" x14ac:dyDescent="0.25">
      <c r="A51" s="456" t="s">
        <v>917</v>
      </c>
      <c r="B51" s="453">
        <v>902</v>
      </c>
      <c r="C51" s="457" t="s">
        <v>118</v>
      </c>
      <c r="D51" s="457" t="s">
        <v>150</v>
      </c>
      <c r="E51" s="457" t="s">
        <v>858</v>
      </c>
      <c r="F51" s="457"/>
      <c r="G51" s="44">
        <f>G52+G68</f>
        <v>60615.93</v>
      </c>
      <c r="H51" s="44">
        <f t="shared" ref="H51" si="23">H52+H68</f>
        <v>38073.752</v>
      </c>
      <c r="I51" s="455">
        <f t="shared" si="2"/>
        <v>62.811462267427068</v>
      </c>
      <c r="J51" s="478"/>
      <c r="K51" s="463"/>
      <c r="L51" s="201"/>
    </row>
    <row r="52" spans="1:12" s="201" customFormat="1" ht="15.75" x14ac:dyDescent="0.25">
      <c r="A52" s="456" t="s">
        <v>918</v>
      </c>
      <c r="B52" s="453">
        <v>902</v>
      </c>
      <c r="C52" s="457" t="s">
        <v>118</v>
      </c>
      <c r="D52" s="457" t="s">
        <v>150</v>
      </c>
      <c r="E52" s="457" t="s">
        <v>859</v>
      </c>
      <c r="F52" s="457"/>
      <c r="G52" s="44">
        <f>G53+G62+G65</f>
        <v>57237.03</v>
      </c>
      <c r="H52" s="44">
        <f t="shared" ref="H52" si="24">H53+H62+H65</f>
        <v>36119.476000000002</v>
      </c>
      <c r="I52" s="455">
        <f t="shared" si="2"/>
        <v>63.105084243539544</v>
      </c>
      <c r="J52" s="478"/>
      <c r="K52" s="463"/>
    </row>
    <row r="53" spans="1:12" ht="31.5" x14ac:dyDescent="0.25">
      <c r="A53" s="458" t="s">
        <v>897</v>
      </c>
      <c r="B53" s="452">
        <v>902</v>
      </c>
      <c r="C53" s="454" t="s">
        <v>118</v>
      </c>
      <c r="D53" s="454" t="s">
        <v>150</v>
      </c>
      <c r="E53" s="454" t="s">
        <v>860</v>
      </c>
      <c r="F53" s="454"/>
      <c r="G53" s="459">
        <f>G54+G56+G60+G58</f>
        <v>53764.654999999999</v>
      </c>
      <c r="H53" s="459">
        <f t="shared" ref="H53" si="25">H54+H56+H60+H58</f>
        <v>33217.189000000006</v>
      </c>
      <c r="I53" s="459">
        <f t="shared" si="2"/>
        <v>61.782576304079342</v>
      </c>
      <c r="J53" s="478"/>
      <c r="K53" s="463"/>
      <c r="L53" s="201"/>
    </row>
    <row r="54" spans="1:12" ht="62.1" customHeight="1" x14ac:dyDescent="0.25">
      <c r="A54" s="458" t="s">
        <v>127</v>
      </c>
      <c r="B54" s="452">
        <v>902</v>
      </c>
      <c r="C54" s="454" t="s">
        <v>118</v>
      </c>
      <c r="D54" s="454" t="s">
        <v>150</v>
      </c>
      <c r="E54" s="454" t="s">
        <v>860</v>
      </c>
      <c r="F54" s="454" t="s">
        <v>128</v>
      </c>
      <c r="G54" s="459">
        <f>G55</f>
        <v>42939.49</v>
      </c>
      <c r="H54" s="459">
        <f t="shared" ref="H54" si="26">H55</f>
        <v>28026.780999999999</v>
      </c>
      <c r="I54" s="459">
        <f t="shared" si="2"/>
        <v>65.270409592661665</v>
      </c>
      <c r="J54" s="478"/>
      <c r="K54" s="463"/>
      <c r="L54" s="201"/>
    </row>
    <row r="55" spans="1:12" ht="31.5" x14ac:dyDescent="0.25">
      <c r="A55" s="458" t="s">
        <v>129</v>
      </c>
      <c r="B55" s="452">
        <v>902</v>
      </c>
      <c r="C55" s="454" t="s">
        <v>118</v>
      </c>
      <c r="D55" s="454" t="s">
        <v>150</v>
      </c>
      <c r="E55" s="454" t="s">
        <v>860</v>
      </c>
      <c r="F55" s="454" t="s">
        <v>130</v>
      </c>
      <c r="G55" s="27">
        <f>36772.2+2068.3+300+1000-786.27+4540.56-55.3-17-923+15+25-4000+4000</f>
        <v>42939.49</v>
      </c>
      <c r="H55" s="27">
        <v>28026.780999999999</v>
      </c>
      <c r="I55" s="459">
        <f t="shared" si="2"/>
        <v>65.270409592661665</v>
      </c>
      <c r="J55" s="478">
        <v>44414</v>
      </c>
      <c r="K55" s="463"/>
      <c r="L55" s="489"/>
    </row>
    <row r="56" spans="1:12" ht="31.5" x14ac:dyDescent="0.25">
      <c r="A56" s="458" t="s">
        <v>131</v>
      </c>
      <c r="B56" s="452">
        <v>902</v>
      </c>
      <c r="C56" s="454" t="s">
        <v>118</v>
      </c>
      <c r="D56" s="454" t="s">
        <v>150</v>
      </c>
      <c r="E56" s="454" t="s">
        <v>860</v>
      </c>
      <c r="F56" s="454" t="s">
        <v>132</v>
      </c>
      <c r="G56" s="459">
        <f>G57</f>
        <v>10750.164999999999</v>
      </c>
      <c r="H56" s="459">
        <f t="shared" ref="H56" si="27">H57</f>
        <v>5150.6970000000001</v>
      </c>
      <c r="I56" s="459">
        <f t="shared" si="2"/>
        <v>47.912725060499078</v>
      </c>
      <c r="J56" s="478"/>
      <c r="K56" s="463"/>
      <c r="L56" s="201"/>
    </row>
    <row r="57" spans="1:12" ht="31.5" x14ac:dyDescent="0.25">
      <c r="A57" s="458" t="s">
        <v>133</v>
      </c>
      <c r="B57" s="452">
        <v>902</v>
      </c>
      <c r="C57" s="454" t="s">
        <v>118</v>
      </c>
      <c r="D57" s="454" t="s">
        <v>150</v>
      </c>
      <c r="E57" s="454" t="s">
        <v>860</v>
      </c>
      <c r="F57" s="454" t="s">
        <v>134</v>
      </c>
      <c r="G57" s="27">
        <f>6101-541.6+72+430-100-383+1300+13+100-518-23.5-85+3.5+105+39+413-1.99-170+170+444-37.75+35+730+277+923+68+83+830+15+348.505+15+38+58</f>
        <v>10750.164999999999</v>
      </c>
      <c r="H57" s="27">
        <v>5150.6970000000001</v>
      </c>
      <c r="I57" s="459">
        <f t="shared" si="2"/>
        <v>47.912725060499078</v>
      </c>
      <c r="J57" s="480"/>
      <c r="K57" s="463"/>
      <c r="L57" s="201"/>
    </row>
    <row r="58" spans="1:12" s="201" customFormat="1" ht="15.75" hidden="1" x14ac:dyDescent="0.25">
      <c r="A58" s="458" t="s">
        <v>248</v>
      </c>
      <c r="B58" s="452">
        <v>902</v>
      </c>
      <c r="C58" s="454" t="s">
        <v>118</v>
      </c>
      <c r="D58" s="454" t="s">
        <v>150</v>
      </c>
      <c r="E58" s="454" t="s">
        <v>860</v>
      </c>
      <c r="F58" s="454" t="s">
        <v>249</v>
      </c>
      <c r="G58" s="27">
        <f>G59</f>
        <v>0</v>
      </c>
      <c r="H58" s="27">
        <f t="shared" ref="H58" si="28">H59</f>
        <v>0</v>
      </c>
      <c r="I58" s="459" t="e">
        <f t="shared" si="2"/>
        <v>#DIV/0!</v>
      </c>
      <c r="J58" s="478"/>
      <c r="K58" s="463"/>
    </row>
    <row r="59" spans="1:12" s="201" customFormat="1" ht="31.5" hidden="1" x14ac:dyDescent="0.25">
      <c r="A59" s="458" t="s">
        <v>250</v>
      </c>
      <c r="B59" s="452">
        <v>902</v>
      </c>
      <c r="C59" s="454" t="s">
        <v>118</v>
      </c>
      <c r="D59" s="454" t="s">
        <v>150</v>
      </c>
      <c r="E59" s="454" t="s">
        <v>860</v>
      </c>
      <c r="F59" s="454" t="s">
        <v>251</v>
      </c>
      <c r="G59" s="27">
        <f>755-755</f>
        <v>0</v>
      </c>
      <c r="H59" s="27">
        <f t="shared" ref="H59" si="29">755-755</f>
        <v>0</v>
      </c>
      <c r="I59" s="459" t="e">
        <f t="shared" si="2"/>
        <v>#DIV/0!</v>
      </c>
      <c r="J59" s="478"/>
      <c r="K59" s="463"/>
    </row>
    <row r="60" spans="1:12" ht="15.75" x14ac:dyDescent="0.25">
      <c r="A60" s="458" t="s">
        <v>135</v>
      </c>
      <c r="B60" s="452">
        <v>902</v>
      </c>
      <c r="C60" s="454" t="s">
        <v>118</v>
      </c>
      <c r="D60" s="454" t="s">
        <v>150</v>
      </c>
      <c r="E60" s="454" t="s">
        <v>860</v>
      </c>
      <c r="F60" s="454" t="s">
        <v>145</v>
      </c>
      <c r="G60" s="459">
        <f>G61</f>
        <v>75</v>
      </c>
      <c r="H60" s="459">
        <f t="shared" ref="H60" si="30">H61</f>
        <v>39.710999999999999</v>
      </c>
      <c r="I60" s="459">
        <f t="shared" si="2"/>
        <v>52.947999999999993</v>
      </c>
      <c r="J60" s="480"/>
      <c r="K60" s="463"/>
      <c r="L60" s="201"/>
    </row>
    <row r="61" spans="1:12" ht="15.75" x14ac:dyDescent="0.25">
      <c r="A61" s="458" t="s">
        <v>568</v>
      </c>
      <c r="B61" s="452">
        <v>902</v>
      </c>
      <c r="C61" s="454" t="s">
        <v>118</v>
      </c>
      <c r="D61" s="454" t="s">
        <v>150</v>
      </c>
      <c r="E61" s="454" t="s">
        <v>860</v>
      </c>
      <c r="F61" s="454" t="s">
        <v>138</v>
      </c>
      <c r="G61" s="27">
        <v>75</v>
      </c>
      <c r="H61" s="27">
        <v>39.710999999999999</v>
      </c>
      <c r="I61" s="459">
        <f t="shared" si="2"/>
        <v>52.947999999999993</v>
      </c>
      <c r="J61" s="478"/>
      <c r="K61" s="463"/>
      <c r="L61" s="201"/>
    </row>
    <row r="62" spans="1:12" s="201" customFormat="1" ht="31.5" x14ac:dyDescent="0.25">
      <c r="A62" s="458" t="s">
        <v>840</v>
      </c>
      <c r="B62" s="452">
        <v>902</v>
      </c>
      <c r="C62" s="454" t="s">
        <v>118</v>
      </c>
      <c r="D62" s="454" t="s">
        <v>150</v>
      </c>
      <c r="E62" s="454" t="s">
        <v>861</v>
      </c>
      <c r="F62" s="454"/>
      <c r="G62" s="27">
        <f>G63</f>
        <v>2071.4</v>
      </c>
      <c r="H62" s="27">
        <f t="shared" ref="H62:H63" si="31">H63</f>
        <v>1975.9939999999999</v>
      </c>
      <c r="I62" s="459">
        <f t="shared" si="2"/>
        <v>95.394129574201017</v>
      </c>
      <c r="J62" s="478"/>
      <c r="K62" s="463"/>
    </row>
    <row r="63" spans="1:12" s="201" customFormat="1" ht="67.7" customHeight="1" x14ac:dyDescent="0.25">
      <c r="A63" s="458" t="s">
        <v>127</v>
      </c>
      <c r="B63" s="452">
        <v>902</v>
      </c>
      <c r="C63" s="454" t="s">
        <v>118</v>
      </c>
      <c r="D63" s="454" t="s">
        <v>150</v>
      </c>
      <c r="E63" s="454" t="s">
        <v>861</v>
      </c>
      <c r="F63" s="454" t="s">
        <v>128</v>
      </c>
      <c r="G63" s="27">
        <f>G64</f>
        <v>2071.4</v>
      </c>
      <c r="H63" s="27">
        <f t="shared" si="31"/>
        <v>1975.9939999999999</v>
      </c>
      <c r="I63" s="459">
        <f t="shared" si="2"/>
        <v>95.394129574201017</v>
      </c>
      <c r="J63" s="478"/>
      <c r="K63" s="463"/>
    </row>
    <row r="64" spans="1:12" s="201" customFormat="1" ht="31.5" x14ac:dyDescent="0.25">
      <c r="A64" s="458" t="s">
        <v>129</v>
      </c>
      <c r="B64" s="452">
        <v>902</v>
      </c>
      <c r="C64" s="454" t="s">
        <v>118</v>
      </c>
      <c r="D64" s="454" t="s">
        <v>150</v>
      </c>
      <c r="E64" s="454" t="s">
        <v>861</v>
      </c>
      <c r="F64" s="454" t="s">
        <v>130</v>
      </c>
      <c r="G64" s="27">
        <v>2071.4</v>
      </c>
      <c r="H64" s="27">
        <v>1975.9939999999999</v>
      </c>
      <c r="I64" s="459">
        <f t="shared" si="2"/>
        <v>95.394129574201017</v>
      </c>
      <c r="J64" s="478"/>
      <c r="K64" s="463"/>
    </row>
    <row r="65" spans="1:12" s="201" customFormat="1" ht="31.5" x14ac:dyDescent="0.25">
      <c r="A65" s="458" t="s">
        <v>839</v>
      </c>
      <c r="B65" s="452">
        <v>902</v>
      </c>
      <c r="C65" s="454" t="s">
        <v>118</v>
      </c>
      <c r="D65" s="454" t="s">
        <v>150</v>
      </c>
      <c r="E65" s="454" t="s">
        <v>862</v>
      </c>
      <c r="F65" s="454"/>
      <c r="G65" s="459">
        <f>G66</f>
        <v>1400.9749999999999</v>
      </c>
      <c r="H65" s="459">
        <f t="shared" ref="H65:H66" si="32">H66</f>
        <v>926.29300000000001</v>
      </c>
      <c r="I65" s="459">
        <f t="shared" si="2"/>
        <v>66.117739431467371</v>
      </c>
      <c r="J65" s="478"/>
      <c r="K65" s="463"/>
    </row>
    <row r="66" spans="1:12" s="201" customFormat="1" ht="78.75" x14ac:dyDescent="0.25">
      <c r="A66" s="458" t="s">
        <v>127</v>
      </c>
      <c r="B66" s="452">
        <v>902</v>
      </c>
      <c r="C66" s="454" t="s">
        <v>118</v>
      </c>
      <c r="D66" s="454" t="s">
        <v>150</v>
      </c>
      <c r="E66" s="454" t="s">
        <v>862</v>
      </c>
      <c r="F66" s="454" t="s">
        <v>128</v>
      </c>
      <c r="G66" s="459">
        <f>G67</f>
        <v>1400.9749999999999</v>
      </c>
      <c r="H66" s="459">
        <f t="shared" si="32"/>
        <v>926.29300000000001</v>
      </c>
      <c r="I66" s="459">
        <f t="shared" si="2"/>
        <v>66.117739431467371</v>
      </c>
      <c r="J66" s="478"/>
      <c r="K66" s="463"/>
    </row>
    <row r="67" spans="1:12" s="201" customFormat="1" ht="31.5" x14ac:dyDescent="0.25">
      <c r="A67" s="458" t="s">
        <v>129</v>
      </c>
      <c r="B67" s="452">
        <v>902</v>
      </c>
      <c r="C67" s="454" t="s">
        <v>118</v>
      </c>
      <c r="D67" s="454" t="s">
        <v>150</v>
      </c>
      <c r="E67" s="454" t="s">
        <v>862</v>
      </c>
      <c r="F67" s="454" t="s">
        <v>130</v>
      </c>
      <c r="G67" s="459">
        <f>1545+46-10-40-79-18.025-43</f>
        <v>1400.9749999999999</v>
      </c>
      <c r="H67" s="459">
        <v>926.29300000000001</v>
      </c>
      <c r="I67" s="459">
        <f t="shared" si="2"/>
        <v>66.117739431467371</v>
      </c>
      <c r="J67" s="478"/>
      <c r="K67" s="463"/>
      <c r="L67" s="489"/>
    </row>
    <row r="68" spans="1:12" s="201" customFormat="1" ht="31.5" x14ac:dyDescent="0.25">
      <c r="A68" s="456" t="s">
        <v>885</v>
      </c>
      <c r="B68" s="453">
        <v>902</v>
      </c>
      <c r="C68" s="457" t="s">
        <v>118</v>
      </c>
      <c r="D68" s="457" t="s">
        <v>150</v>
      </c>
      <c r="E68" s="457" t="s">
        <v>863</v>
      </c>
      <c r="F68" s="457"/>
      <c r="G68" s="455">
        <f>G69+G75+G80+G85+G72</f>
        <v>3378.9</v>
      </c>
      <c r="H68" s="455">
        <f t="shared" ref="H68" si="33">H69+H75+H80+H85+H72</f>
        <v>1954.2760000000001</v>
      </c>
      <c r="I68" s="455">
        <f t="shared" si="2"/>
        <v>57.837639468466072</v>
      </c>
      <c r="J68" s="478"/>
      <c r="K68" s="463"/>
    </row>
    <row r="69" spans="1:12" s="201" customFormat="1" ht="35.450000000000003" hidden="1" customHeight="1" x14ac:dyDescent="0.25">
      <c r="A69" s="458" t="s">
        <v>779</v>
      </c>
      <c r="B69" s="452">
        <v>902</v>
      </c>
      <c r="C69" s="454" t="s">
        <v>118</v>
      </c>
      <c r="D69" s="454" t="s">
        <v>150</v>
      </c>
      <c r="E69" s="454" t="s">
        <v>919</v>
      </c>
      <c r="F69" s="457"/>
      <c r="G69" s="459">
        <f>G70</f>
        <v>0</v>
      </c>
      <c r="H69" s="459">
        <f t="shared" ref="H69:H70" si="34">H70</f>
        <v>0</v>
      </c>
      <c r="I69" s="455" t="e">
        <f t="shared" si="2"/>
        <v>#DIV/0!</v>
      </c>
      <c r="J69" s="478"/>
      <c r="K69" s="463"/>
    </row>
    <row r="70" spans="1:12" s="201" customFormat="1" ht="31.5" hidden="1" x14ac:dyDescent="0.25">
      <c r="A70" s="458" t="s">
        <v>131</v>
      </c>
      <c r="B70" s="452">
        <v>902</v>
      </c>
      <c r="C70" s="454" t="s">
        <v>118</v>
      </c>
      <c r="D70" s="454" t="s">
        <v>150</v>
      </c>
      <c r="E70" s="454" t="s">
        <v>919</v>
      </c>
      <c r="F70" s="454" t="s">
        <v>132</v>
      </c>
      <c r="G70" s="459">
        <f>G71</f>
        <v>0</v>
      </c>
      <c r="H70" s="459">
        <f t="shared" si="34"/>
        <v>0</v>
      </c>
      <c r="I70" s="455" t="e">
        <f t="shared" si="2"/>
        <v>#DIV/0!</v>
      </c>
      <c r="J70" s="478"/>
      <c r="K70" s="463"/>
    </row>
    <row r="71" spans="1:12" s="201" customFormat="1" ht="31.5" hidden="1" x14ac:dyDescent="0.25">
      <c r="A71" s="458" t="s">
        <v>133</v>
      </c>
      <c r="B71" s="452">
        <v>902</v>
      </c>
      <c r="C71" s="454" t="s">
        <v>118</v>
      </c>
      <c r="D71" s="454" t="s">
        <v>150</v>
      </c>
      <c r="E71" s="454" t="s">
        <v>919</v>
      </c>
      <c r="F71" s="454" t="s">
        <v>134</v>
      </c>
      <c r="G71" s="459">
        <v>0</v>
      </c>
      <c r="H71" s="459">
        <v>0</v>
      </c>
      <c r="I71" s="455" t="e">
        <f t="shared" si="2"/>
        <v>#DIV/0!</v>
      </c>
      <c r="J71" s="478"/>
      <c r="K71" s="463"/>
    </row>
    <row r="72" spans="1:12" s="201" customFormat="1" ht="47.25" x14ac:dyDescent="0.25">
      <c r="A72" s="31" t="s">
        <v>1175</v>
      </c>
      <c r="B72" s="452">
        <v>902</v>
      </c>
      <c r="C72" s="454" t="s">
        <v>118</v>
      </c>
      <c r="D72" s="454" t="s">
        <v>150</v>
      </c>
      <c r="E72" s="454" t="s">
        <v>1174</v>
      </c>
      <c r="F72" s="454"/>
      <c r="G72" s="459">
        <f>G73</f>
        <v>105.9</v>
      </c>
      <c r="H72" s="459">
        <f t="shared" ref="H72:H73" si="35">H73</f>
        <v>0</v>
      </c>
      <c r="I72" s="459">
        <f t="shared" si="2"/>
        <v>0</v>
      </c>
      <c r="J72" s="478"/>
      <c r="K72" s="463"/>
    </row>
    <row r="73" spans="1:12" s="201" customFormat="1" ht="31.5" x14ac:dyDescent="0.25">
      <c r="A73" s="458" t="s">
        <v>131</v>
      </c>
      <c r="B73" s="452">
        <v>902</v>
      </c>
      <c r="C73" s="454" t="s">
        <v>118</v>
      </c>
      <c r="D73" s="454" t="s">
        <v>150</v>
      </c>
      <c r="E73" s="454" t="s">
        <v>1174</v>
      </c>
      <c r="F73" s="454" t="s">
        <v>132</v>
      </c>
      <c r="G73" s="459">
        <f>G74</f>
        <v>105.9</v>
      </c>
      <c r="H73" s="459">
        <f t="shared" si="35"/>
        <v>0</v>
      </c>
      <c r="I73" s="459">
        <f t="shared" si="2"/>
        <v>0</v>
      </c>
      <c r="J73" s="478"/>
      <c r="K73" s="463"/>
    </row>
    <row r="74" spans="1:12" s="201" customFormat="1" ht="31.5" x14ac:dyDescent="0.25">
      <c r="A74" s="458" t="s">
        <v>133</v>
      </c>
      <c r="B74" s="452">
        <v>902</v>
      </c>
      <c r="C74" s="454" t="s">
        <v>118</v>
      </c>
      <c r="D74" s="454" t="s">
        <v>150</v>
      </c>
      <c r="E74" s="454" t="s">
        <v>1174</v>
      </c>
      <c r="F74" s="454" t="s">
        <v>134</v>
      </c>
      <c r="G74" s="459">
        <v>105.9</v>
      </c>
      <c r="H74" s="459">
        <v>0</v>
      </c>
      <c r="I74" s="459">
        <f t="shared" si="2"/>
        <v>0</v>
      </c>
      <c r="J74" s="478"/>
      <c r="K74" s="463"/>
    </row>
    <row r="75" spans="1:12" s="201" customFormat="1" ht="47.25" x14ac:dyDescent="0.25">
      <c r="A75" s="31" t="s">
        <v>189</v>
      </c>
      <c r="B75" s="452">
        <v>902</v>
      </c>
      <c r="C75" s="454" t="s">
        <v>118</v>
      </c>
      <c r="D75" s="454" t="s">
        <v>150</v>
      </c>
      <c r="E75" s="454" t="s">
        <v>920</v>
      </c>
      <c r="F75" s="454"/>
      <c r="G75" s="459">
        <f>G76+G78</f>
        <v>499.29999999999995</v>
      </c>
      <c r="H75" s="459">
        <f t="shared" ref="H75" si="36">H76+H78</f>
        <v>309</v>
      </c>
      <c r="I75" s="459">
        <f t="shared" si="2"/>
        <v>61.886641297816944</v>
      </c>
      <c r="J75" s="478"/>
      <c r="K75" s="463"/>
    </row>
    <row r="76" spans="1:12" s="201" customFormat="1" ht="78.75" x14ac:dyDescent="0.25">
      <c r="A76" s="458" t="s">
        <v>127</v>
      </c>
      <c r="B76" s="452">
        <v>902</v>
      </c>
      <c r="C76" s="454" t="s">
        <v>118</v>
      </c>
      <c r="D76" s="454" t="s">
        <v>150</v>
      </c>
      <c r="E76" s="454" t="s">
        <v>920</v>
      </c>
      <c r="F76" s="454" t="s">
        <v>128</v>
      </c>
      <c r="G76" s="459">
        <f>G77</f>
        <v>499.29999999999995</v>
      </c>
      <c r="H76" s="459">
        <f t="shared" ref="H76" si="37">H77</f>
        <v>309</v>
      </c>
      <c r="I76" s="459">
        <f t="shared" ref="I76:I139" si="38">H76/G76*100</f>
        <v>61.886641297816944</v>
      </c>
      <c r="J76" s="478"/>
      <c r="K76" s="463"/>
    </row>
    <row r="77" spans="1:12" s="201" customFormat="1" ht="31.5" x14ac:dyDescent="0.25">
      <c r="A77" s="458" t="s">
        <v>129</v>
      </c>
      <c r="B77" s="452">
        <v>902</v>
      </c>
      <c r="C77" s="454" t="s">
        <v>118</v>
      </c>
      <c r="D77" s="454" t="s">
        <v>150</v>
      </c>
      <c r="E77" s="454" t="s">
        <v>920</v>
      </c>
      <c r="F77" s="454" t="s">
        <v>130</v>
      </c>
      <c r="G77" s="459">
        <f>555.9-56.6</f>
        <v>499.29999999999995</v>
      </c>
      <c r="H77" s="459">
        <v>309</v>
      </c>
      <c r="I77" s="459">
        <f t="shared" si="38"/>
        <v>61.886641297816944</v>
      </c>
      <c r="J77" s="478"/>
      <c r="K77" s="463"/>
    </row>
    <row r="78" spans="1:12" s="201" customFormat="1" ht="31.5" hidden="1" x14ac:dyDescent="0.25">
      <c r="A78" s="458" t="s">
        <v>131</v>
      </c>
      <c r="B78" s="452">
        <v>902</v>
      </c>
      <c r="C78" s="454" t="s">
        <v>118</v>
      </c>
      <c r="D78" s="454" t="s">
        <v>150</v>
      </c>
      <c r="E78" s="454" t="s">
        <v>920</v>
      </c>
      <c r="F78" s="454" t="s">
        <v>132</v>
      </c>
      <c r="G78" s="459">
        <f>G79</f>
        <v>0</v>
      </c>
      <c r="H78" s="459">
        <f t="shared" ref="H78" si="39">H79</f>
        <v>0</v>
      </c>
      <c r="I78" s="459" t="e">
        <f t="shared" si="38"/>
        <v>#DIV/0!</v>
      </c>
      <c r="J78" s="478"/>
      <c r="K78" s="463"/>
    </row>
    <row r="79" spans="1:12" s="201" customFormat="1" ht="31.5" hidden="1" x14ac:dyDescent="0.25">
      <c r="A79" s="458" t="s">
        <v>133</v>
      </c>
      <c r="B79" s="452">
        <v>902</v>
      </c>
      <c r="C79" s="454" t="s">
        <v>118</v>
      </c>
      <c r="D79" s="454" t="s">
        <v>150</v>
      </c>
      <c r="E79" s="454" t="s">
        <v>920</v>
      </c>
      <c r="F79" s="454" t="s">
        <v>134</v>
      </c>
      <c r="G79" s="459">
        <v>0</v>
      </c>
      <c r="H79" s="459">
        <v>0</v>
      </c>
      <c r="I79" s="459" t="e">
        <f t="shared" si="38"/>
        <v>#DIV/0!</v>
      </c>
      <c r="J79" s="478"/>
      <c r="K79" s="463"/>
    </row>
    <row r="80" spans="1:12" s="201" customFormat="1" ht="47.25" x14ac:dyDescent="0.25">
      <c r="A80" s="31" t="s">
        <v>194</v>
      </c>
      <c r="B80" s="452">
        <v>902</v>
      </c>
      <c r="C80" s="454" t="s">
        <v>118</v>
      </c>
      <c r="D80" s="454" t="s">
        <v>150</v>
      </c>
      <c r="E80" s="454" t="s">
        <v>1028</v>
      </c>
      <c r="F80" s="454"/>
      <c r="G80" s="459">
        <f>G81+G83</f>
        <v>1439.3999999999999</v>
      </c>
      <c r="H80" s="459">
        <f t="shared" ref="H80" si="40">H81+H83</f>
        <v>790.75800000000004</v>
      </c>
      <c r="I80" s="459">
        <f t="shared" si="38"/>
        <v>54.936640266777836</v>
      </c>
      <c r="J80" s="478"/>
      <c r="K80" s="463"/>
    </row>
    <row r="81" spans="1:11" s="201" customFormat="1" ht="78.75" x14ac:dyDescent="0.25">
      <c r="A81" s="458" t="s">
        <v>127</v>
      </c>
      <c r="B81" s="452">
        <v>902</v>
      </c>
      <c r="C81" s="454" t="s">
        <v>118</v>
      </c>
      <c r="D81" s="454" t="s">
        <v>150</v>
      </c>
      <c r="E81" s="454" t="s">
        <v>1028</v>
      </c>
      <c r="F81" s="454" t="s">
        <v>128</v>
      </c>
      <c r="G81" s="459">
        <f>G82</f>
        <v>1359.1</v>
      </c>
      <c r="H81" s="459">
        <f t="shared" ref="H81" si="41">H82</f>
        <v>766.15800000000002</v>
      </c>
      <c r="I81" s="459">
        <f t="shared" si="38"/>
        <v>56.372452358178215</v>
      </c>
      <c r="J81" s="478"/>
      <c r="K81" s="463"/>
    </row>
    <row r="82" spans="1:11" s="201" customFormat="1" ht="31.5" x14ac:dyDescent="0.25">
      <c r="A82" s="458" t="s">
        <v>129</v>
      </c>
      <c r="B82" s="452">
        <v>902</v>
      </c>
      <c r="C82" s="454" t="s">
        <v>118</v>
      </c>
      <c r="D82" s="454" t="s">
        <v>150</v>
      </c>
      <c r="E82" s="454" t="s">
        <v>1028</v>
      </c>
      <c r="F82" s="454" t="s">
        <v>130</v>
      </c>
      <c r="G82" s="459">
        <f>1333.1-39.7-21.5+100.2+8.8-21.8</f>
        <v>1359.1</v>
      </c>
      <c r="H82" s="459">
        <v>766.15800000000002</v>
      </c>
      <c r="I82" s="459">
        <f t="shared" si="38"/>
        <v>56.372452358178215</v>
      </c>
      <c r="J82" s="478"/>
      <c r="K82" s="463"/>
    </row>
    <row r="83" spans="1:11" s="201" customFormat="1" ht="31.5" x14ac:dyDescent="0.25">
      <c r="A83" s="458" t="s">
        <v>131</v>
      </c>
      <c r="B83" s="452">
        <v>902</v>
      </c>
      <c r="C83" s="454" t="s">
        <v>118</v>
      </c>
      <c r="D83" s="454" t="s">
        <v>150</v>
      </c>
      <c r="E83" s="454" t="s">
        <v>1028</v>
      </c>
      <c r="F83" s="454" t="s">
        <v>132</v>
      </c>
      <c r="G83" s="459">
        <f>G84</f>
        <v>80.3</v>
      </c>
      <c r="H83" s="459">
        <f t="shared" ref="H83" si="42">H84</f>
        <v>24.6</v>
      </c>
      <c r="I83" s="459">
        <f t="shared" si="38"/>
        <v>30.635118306351185</v>
      </c>
      <c r="J83" s="478"/>
      <c r="K83" s="463"/>
    </row>
    <row r="84" spans="1:11" s="201" customFormat="1" ht="31.5" x14ac:dyDescent="0.25">
      <c r="A84" s="458" t="s">
        <v>133</v>
      </c>
      <c r="B84" s="452">
        <v>902</v>
      </c>
      <c r="C84" s="454" t="s">
        <v>118</v>
      </c>
      <c r="D84" s="454" t="s">
        <v>150</v>
      </c>
      <c r="E84" s="454" t="s">
        <v>1028</v>
      </c>
      <c r="F84" s="454" t="s">
        <v>134</v>
      </c>
      <c r="G84" s="459">
        <f>156.9-116.5-0.7+21.5-2.7+21.8</f>
        <v>80.3</v>
      </c>
      <c r="H84" s="459">
        <v>24.6</v>
      </c>
      <c r="I84" s="459">
        <f t="shared" si="38"/>
        <v>30.635118306351185</v>
      </c>
      <c r="J84" s="478"/>
      <c r="K84" s="463"/>
    </row>
    <row r="85" spans="1:11" s="201" customFormat="1" ht="31.5" x14ac:dyDescent="0.25">
      <c r="A85" s="31" t="s">
        <v>196</v>
      </c>
      <c r="B85" s="452">
        <v>902</v>
      </c>
      <c r="C85" s="454" t="s">
        <v>118</v>
      </c>
      <c r="D85" s="454" t="s">
        <v>150</v>
      </c>
      <c r="E85" s="454" t="s">
        <v>921</v>
      </c>
      <c r="F85" s="454"/>
      <c r="G85" s="459">
        <f>G86+G88</f>
        <v>1334.3000000000002</v>
      </c>
      <c r="H85" s="459">
        <f t="shared" ref="H85" si="43">H86+H88</f>
        <v>854.51800000000003</v>
      </c>
      <c r="I85" s="459">
        <f t="shared" si="38"/>
        <v>64.042419246046606</v>
      </c>
      <c r="J85" s="478"/>
      <c r="K85" s="463"/>
    </row>
    <row r="86" spans="1:11" s="201" customFormat="1" ht="78.75" x14ac:dyDescent="0.25">
      <c r="A86" s="458" t="s">
        <v>127</v>
      </c>
      <c r="B86" s="452">
        <v>902</v>
      </c>
      <c r="C86" s="454" t="s">
        <v>118</v>
      </c>
      <c r="D86" s="454" t="s">
        <v>150</v>
      </c>
      <c r="E86" s="454" t="s">
        <v>921</v>
      </c>
      <c r="F86" s="454" t="s">
        <v>128</v>
      </c>
      <c r="G86" s="459">
        <f>G87</f>
        <v>1293.0000000000002</v>
      </c>
      <c r="H86" s="459">
        <f t="shared" ref="H86" si="44">H87</f>
        <v>845.51800000000003</v>
      </c>
      <c r="I86" s="459">
        <f t="shared" si="38"/>
        <v>65.391956689868508</v>
      </c>
      <c r="J86" s="478"/>
      <c r="K86" s="463"/>
    </row>
    <row r="87" spans="1:11" s="201" customFormat="1" ht="31.5" x14ac:dyDescent="0.25">
      <c r="A87" s="458" t="s">
        <v>129</v>
      </c>
      <c r="B87" s="452">
        <v>902</v>
      </c>
      <c r="C87" s="454" t="s">
        <v>118</v>
      </c>
      <c r="D87" s="454" t="s">
        <v>150</v>
      </c>
      <c r="E87" s="454" t="s">
        <v>921</v>
      </c>
      <c r="F87" s="454" t="s">
        <v>130</v>
      </c>
      <c r="G87" s="459">
        <f>1026.5+55.4+218.4-7.3</f>
        <v>1293.0000000000002</v>
      </c>
      <c r="H87" s="459">
        <v>845.51800000000003</v>
      </c>
      <c r="I87" s="459">
        <f t="shared" si="38"/>
        <v>65.391956689868508</v>
      </c>
      <c r="J87" s="478"/>
      <c r="K87" s="463"/>
    </row>
    <row r="88" spans="1:11" s="201" customFormat="1" ht="31.5" x14ac:dyDescent="0.25">
      <c r="A88" s="458" t="s">
        <v>198</v>
      </c>
      <c r="B88" s="452">
        <v>902</v>
      </c>
      <c r="C88" s="454" t="s">
        <v>118</v>
      </c>
      <c r="D88" s="454" t="s">
        <v>150</v>
      </c>
      <c r="E88" s="454" t="s">
        <v>921</v>
      </c>
      <c r="F88" s="454" t="s">
        <v>132</v>
      </c>
      <c r="G88" s="459">
        <f>G89</f>
        <v>41.300000000000004</v>
      </c>
      <c r="H88" s="459">
        <f t="shared" ref="H88" si="45">H89</f>
        <v>9</v>
      </c>
      <c r="I88" s="459">
        <f t="shared" si="38"/>
        <v>21.791767554479417</v>
      </c>
      <c r="J88" s="478"/>
      <c r="K88" s="463"/>
    </row>
    <row r="89" spans="1:11" s="201" customFormat="1" ht="31.5" x14ac:dyDescent="0.25">
      <c r="A89" s="458" t="s">
        <v>133</v>
      </c>
      <c r="B89" s="452">
        <v>902</v>
      </c>
      <c r="C89" s="454" t="s">
        <v>118</v>
      </c>
      <c r="D89" s="454" t="s">
        <v>150</v>
      </c>
      <c r="E89" s="454" t="s">
        <v>921</v>
      </c>
      <c r="F89" s="454" t="s">
        <v>134</v>
      </c>
      <c r="G89" s="459">
        <f>89.4-55.4+7.3</f>
        <v>41.300000000000004</v>
      </c>
      <c r="H89" s="459">
        <v>9</v>
      </c>
      <c r="I89" s="459">
        <f t="shared" si="38"/>
        <v>21.791767554479417</v>
      </c>
      <c r="J89" s="478"/>
      <c r="K89" s="463"/>
    </row>
    <row r="90" spans="1:11" s="201" customFormat="1" ht="31.5" x14ac:dyDescent="0.25">
      <c r="A90" s="456" t="s">
        <v>1341</v>
      </c>
      <c r="B90" s="453">
        <v>902</v>
      </c>
      <c r="C90" s="457" t="s">
        <v>118</v>
      </c>
      <c r="D90" s="457" t="s">
        <v>150</v>
      </c>
      <c r="E90" s="457" t="s">
        <v>162</v>
      </c>
      <c r="F90" s="457"/>
      <c r="G90" s="455">
        <f>G91+G95+G104</f>
        <v>580.79999999999995</v>
      </c>
      <c r="H90" s="455">
        <f t="shared" ref="H90" si="46">H91+H95+H104</f>
        <v>438.11099999999999</v>
      </c>
      <c r="I90" s="455">
        <f t="shared" si="38"/>
        <v>75.432334710743802</v>
      </c>
      <c r="J90" s="478"/>
      <c r="K90" s="463"/>
    </row>
    <row r="91" spans="1:11" s="201" customFormat="1" ht="63" x14ac:dyDescent="0.25">
      <c r="A91" s="289" t="s">
        <v>1342</v>
      </c>
      <c r="B91" s="453">
        <v>902</v>
      </c>
      <c r="C91" s="457" t="s">
        <v>118</v>
      </c>
      <c r="D91" s="457" t="s">
        <v>150</v>
      </c>
      <c r="E91" s="7" t="s">
        <v>849</v>
      </c>
      <c r="F91" s="457"/>
      <c r="G91" s="455">
        <f>G92</f>
        <v>426</v>
      </c>
      <c r="H91" s="455">
        <f t="shared" ref="H91:H93" si="47">H92</f>
        <v>283.86200000000002</v>
      </c>
      <c r="I91" s="455">
        <f t="shared" si="38"/>
        <v>66.63427230046949</v>
      </c>
      <c r="J91" s="478"/>
      <c r="K91" s="463"/>
    </row>
    <row r="92" spans="1:11" s="201" customFormat="1" ht="47.25" x14ac:dyDescent="0.25">
      <c r="A92" s="29" t="s">
        <v>1309</v>
      </c>
      <c r="B92" s="452">
        <v>902</v>
      </c>
      <c r="C92" s="454" t="s">
        <v>118</v>
      </c>
      <c r="D92" s="454" t="s">
        <v>150</v>
      </c>
      <c r="E92" s="461" t="s">
        <v>841</v>
      </c>
      <c r="F92" s="454"/>
      <c r="G92" s="459">
        <f>G93</f>
        <v>426</v>
      </c>
      <c r="H92" s="459">
        <f t="shared" si="47"/>
        <v>283.86200000000002</v>
      </c>
      <c r="I92" s="459">
        <f t="shared" si="38"/>
        <v>66.63427230046949</v>
      </c>
      <c r="J92" s="478"/>
      <c r="K92" s="463"/>
    </row>
    <row r="93" spans="1:11" s="201" customFormat="1" ht="31.5" x14ac:dyDescent="0.25">
      <c r="A93" s="458" t="s">
        <v>131</v>
      </c>
      <c r="B93" s="452">
        <v>902</v>
      </c>
      <c r="C93" s="454" t="s">
        <v>118</v>
      </c>
      <c r="D93" s="454" t="s">
        <v>150</v>
      </c>
      <c r="E93" s="461" t="s">
        <v>841</v>
      </c>
      <c r="F93" s="454" t="s">
        <v>132</v>
      </c>
      <c r="G93" s="459">
        <f>G94</f>
        <v>426</v>
      </c>
      <c r="H93" s="459">
        <f t="shared" si="47"/>
        <v>283.86200000000002</v>
      </c>
      <c r="I93" s="459">
        <f t="shared" si="38"/>
        <v>66.63427230046949</v>
      </c>
      <c r="J93" s="478"/>
      <c r="K93" s="463"/>
    </row>
    <row r="94" spans="1:11" s="201" customFormat="1" ht="31.5" x14ac:dyDescent="0.25">
      <c r="A94" s="458" t="s">
        <v>133</v>
      </c>
      <c r="B94" s="452">
        <v>902</v>
      </c>
      <c r="C94" s="454" t="s">
        <v>118</v>
      </c>
      <c r="D94" s="454" t="s">
        <v>150</v>
      </c>
      <c r="E94" s="461" t="s">
        <v>841</v>
      </c>
      <c r="F94" s="454" t="s">
        <v>134</v>
      </c>
      <c r="G94" s="459">
        <f>606-180</f>
        <v>426</v>
      </c>
      <c r="H94" s="459">
        <v>283.86200000000002</v>
      </c>
      <c r="I94" s="459">
        <f t="shared" si="38"/>
        <v>66.63427230046949</v>
      </c>
      <c r="J94" s="478"/>
      <c r="K94" s="463"/>
    </row>
    <row r="95" spans="1:11" s="201" customFormat="1" ht="69.75" customHeight="1" x14ac:dyDescent="0.25">
      <c r="A95" s="211" t="s">
        <v>1343</v>
      </c>
      <c r="B95" s="270">
        <v>902</v>
      </c>
      <c r="C95" s="457" t="s">
        <v>118</v>
      </c>
      <c r="D95" s="457" t="s">
        <v>150</v>
      </c>
      <c r="E95" s="7" t="s">
        <v>850</v>
      </c>
      <c r="F95" s="457"/>
      <c r="G95" s="455">
        <f>G96+G101</f>
        <v>154.30000000000001</v>
      </c>
      <c r="H95" s="455">
        <f t="shared" ref="H95" si="48">H96+H101</f>
        <v>154.249</v>
      </c>
      <c r="I95" s="459">
        <f t="shared" si="38"/>
        <v>99.966947504860642</v>
      </c>
      <c r="J95" s="478"/>
      <c r="K95" s="463"/>
    </row>
    <row r="96" spans="1:11" s="201" customFormat="1" ht="47.25" x14ac:dyDescent="0.25">
      <c r="A96" s="174" t="s">
        <v>165</v>
      </c>
      <c r="B96" s="452">
        <v>902</v>
      </c>
      <c r="C96" s="454" t="s">
        <v>118</v>
      </c>
      <c r="D96" s="454" t="s">
        <v>150</v>
      </c>
      <c r="E96" s="461" t="s">
        <v>842</v>
      </c>
      <c r="F96" s="454"/>
      <c r="G96" s="459">
        <f>G97+G99</f>
        <v>154.30000000000001</v>
      </c>
      <c r="H96" s="459">
        <f t="shared" ref="H96" si="49">H97+H99</f>
        <v>154.249</v>
      </c>
      <c r="I96" s="459">
        <f t="shared" si="38"/>
        <v>99.966947504860642</v>
      </c>
      <c r="J96" s="478"/>
      <c r="K96" s="463"/>
    </row>
    <row r="97" spans="1:12" s="201" customFormat="1" ht="78.75" x14ac:dyDescent="0.25">
      <c r="A97" s="458" t="s">
        <v>127</v>
      </c>
      <c r="B97" s="452">
        <v>902</v>
      </c>
      <c r="C97" s="454" t="s">
        <v>118</v>
      </c>
      <c r="D97" s="454" t="s">
        <v>150</v>
      </c>
      <c r="E97" s="461" t="s">
        <v>842</v>
      </c>
      <c r="F97" s="454" t="s">
        <v>128</v>
      </c>
      <c r="G97" s="459">
        <f>G98</f>
        <v>109.3</v>
      </c>
      <c r="H97" s="459">
        <f t="shared" ref="H97" si="50">H98</f>
        <v>109.249</v>
      </c>
      <c r="I97" s="459">
        <f t="shared" si="38"/>
        <v>99.953339432753879</v>
      </c>
      <c r="J97" s="478"/>
      <c r="K97" s="463"/>
    </row>
    <row r="98" spans="1:12" s="201" customFormat="1" ht="31.5" x14ac:dyDescent="0.25">
      <c r="A98" s="458" t="s">
        <v>129</v>
      </c>
      <c r="B98" s="452">
        <v>902</v>
      </c>
      <c r="C98" s="454" t="s">
        <v>118</v>
      </c>
      <c r="D98" s="454" t="s">
        <v>150</v>
      </c>
      <c r="E98" s="461" t="s">
        <v>842</v>
      </c>
      <c r="F98" s="454" t="s">
        <v>130</v>
      </c>
      <c r="G98" s="459">
        <f>37+55.3+17</f>
        <v>109.3</v>
      </c>
      <c r="H98" s="459">
        <v>109.249</v>
      </c>
      <c r="I98" s="459">
        <f t="shared" si="38"/>
        <v>99.953339432753879</v>
      </c>
      <c r="J98" s="478"/>
      <c r="K98" s="463"/>
    </row>
    <row r="99" spans="1:12" s="201" customFormat="1" ht="31.5" x14ac:dyDescent="0.25">
      <c r="A99" s="458" t="s">
        <v>131</v>
      </c>
      <c r="B99" s="452">
        <v>902</v>
      </c>
      <c r="C99" s="454" t="s">
        <v>118</v>
      </c>
      <c r="D99" s="454" t="s">
        <v>150</v>
      </c>
      <c r="E99" s="461" t="s">
        <v>842</v>
      </c>
      <c r="F99" s="454" t="s">
        <v>132</v>
      </c>
      <c r="G99" s="459">
        <f>G100</f>
        <v>45</v>
      </c>
      <c r="H99" s="459">
        <f t="shared" ref="H99" si="51">H100</f>
        <v>45</v>
      </c>
      <c r="I99" s="459">
        <f t="shared" si="38"/>
        <v>100</v>
      </c>
      <c r="J99" s="478"/>
      <c r="K99" s="463"/>
    </row>
    <row r="100" spans="1:12" s="201" customFormat="1" ht="31.5" x14ac:dyDescent="0.25">
      <c r="A100" s="458" t="s">
        <v>133</v>
      </c>
      <c r="B100" s="452">
        <v>902</v>
      </c>
      <c r="C100" s="454" t="s">
        <v>118</v>
      </c>
      <c r="D100" s="454" t="s">
        <v>150</v>
      </c>
      <c r="E100" s="461" t="s">
        <v>842</v>
      </c>
      <c r="F100" s="454" t="s">
        <v>134</v>
      </c>
      <c r="G100" s="459">
        <f>40+5</f>
        <v>45</v>
      </c>
      <c r="H100" s="459">
        <v>45</v>
      </c>
      <c r="I100" s="459">
        <f t="shared" si="38"/>
        <v>100</v>
      </c>
      <c r="J100" s="478"/>
      <c r="K100" s="463"/>
    </row>
    <row r="101" spans="1:12" s="201" customFormat="1" ht="47.25" hidden="1" x14ac:dyDescent="0.25">
      <c r="A101" s="31" t="s">
        <v>1095</v>
      </c>
      <c r="B101" s="452">
        <v>902</v>
      </c>
      <c r="C101" s="454" t="s">
        <v>118</v>
      </c>
      <c r="D101" s="454" t="s">
        <v>150</v>
      </c>
      <c r="E101" s="461" t="s">
        <v>993</v>
      </c>
      <c r="F101" s="454"/>
      <c r="G101" s="459">
        <f>G102</f>
        <v>0</v>
      </c>
      <c r="H101" s="459">
        <f t="shared" ref="H101:H102" si="52">H102</f>
        <v>0</v>
      </c>
      <c r="I101" s="455" t="e">
        <f t="shared" si="38"/>
        <v>#DIV/0!</v>
      </c>
      <c r="J101" s="478"/>
      <c r="K101" s="463"/>
    </row>
    <row r="102" spans="1:12" s="201" customFormat="1" ht="31.5" hidden="1" x14ac:dyDescent="0.25">
      <c r="A102" s="458" t="s">
        <v>131</v>
      </c>
      <c r="B102" s="452">
        <v>902</v>
      </c>
      <c r="C102" s="454" t="s">
        <v>118</v>
      </c>
      <c r="D102" s="454" t="s">
        <v>150</v>
      </c>
      <c r="E102" s="461" t="s">
        <v>993</v>
      </c>
      <c r="F102" s="454" t="s">
        <v>132</v>
      </c>
      <c r="G102" s="459">
        <f>G103</f>
        <v>0</v>
      </c>
      <c r="H102" s="459">
        <f t="shared" si="52"/>
        <v>0</v>
      </c>
      <c r="I102" s="455" t="e">
        <f t="shared" si="38"/>
        <v>#DIV/0!</v>
      </c>
      <c r="J102" s="478"/>
      <c r="K102" s="463"/>
    </row>
    <row r="103" spans="1:12" s="201" customFormat="1" ht="31.5" hidden="1" x14ac:dyDescent="0.25">
      <c r="A103" s="458" t="s">
        <v>133</v>
      </c>
      <c r="B103" s="452">
        <v>902</v>
      </c>
      <c r="C103" s="454" t="s">
        <v>118</v>
      </c>
      <c r="D103" s="454" t="s">
        <v>150</v>
      </c>
      <c r="E103" s="461" t="s">
        <v>696</v>
      </c>
      <c r="F103" s="454" t="s">
        <v>134</v>
      </c>
      <c r="G103" s="459">
        <v>0</v>
      </c>
      <c r="H103" s="459">
        <v>0</v>
      </c>
      <c r="I103" s="455" t="e">
        <f t="shared" si="38"/>
        <v>#DIV/0!</v>
      </c>
      <c r="J103" s="478"/>
      <c r="K103" s="463"/>
    </row>
    <row r="104" spans="1:12" s="201" customFormat="1" ht="51" customHeight="1" x14ac:dyDescent="0.25">
      <c r="A104" s="216" t="s">
        <v>1003</v>
      </c>
      <c r="B104" s="453">
        <v>902</v>
      </c>
      <c r="C104" s="457" t="s">
        <v>118</v>
      </c>
      <c r="D104" s="457" t="s">
        <v>150</v>
      </c>
      <c r="E104" s="7" t="s">
        <v>851</v>
      </c>
      <c r="F104" s="457"/>
      <c r="G104" s="455">
        <f>G105+G108</f>
        <v>0.5</v>
      </c>
      <c r="H104" s="455">
        <f t="shared" ref="H104" si="53">H105+H108</f>
        <v>0</v>
      </c>
      <c r="I104" s="455">
        <f t="shared" si="38"/>
        <v>0</v>
      </c>
      <c r="J104" s="478"/>
      <c r="K104" s="463"/>
    </row>
    <row r="105" spans="1:12" s="201" customFormat="1" ht="31.5" x14ac:dyDescent="0.25">
      <c r="A105" s="33" t="s">
        <v>191</v>
      </c>
      <c r="B105" s="452">
        <v>902</v>
      </c>
      <c r="C105" s="454" t="s">
        <v>118</v>
      </c>
      <c r="D105" s="454" t="s">
        <v>150</v>
      </c>
      <c r="E105" s="461" t="s">
        <v>844</v>
      </c>
      <c r="F105" s="454"/>
      <c r="G105" s="459">
        <f>G106</f>
        <v>0.5</v>
      </c>
      <c r="H105" s="459">
        <f t="shared" ref="H105:H106" si="54">H106</f>
        <v>0</v>
      </c>
      <c r="I105" s="459">
        <f t="shared" si="38"/>
        <v>0</v>
      </c>
      <c r="J105" s="478"/>
      <c r="K105" s="463"/>
    </row>
    <row r="106" spans="1:12" s="201" customFormat="1" ht="31.5" x14ac:dyDescent="0.25">
      <c r="A106" s="458" t="s">
        <v>131</v>
      </c>
      <c r="B106" s="452">
        <v>902</v>
      </c>
      <c r="C106" s="454" t="s">
        <v>118</v>
      </c>
      <c r="D106" s="454" t="s">
        <v>150</v>
      </c>
      <c r="E106" s="461" t="s">
        <v>844</v>
      </c>
      <c r="F106" s="454" t="s">
        <v>132</v>
      </c>
      <c r="G106" s="459">
        <f>G107</f>
        <v>0.5</v>
      </c>
      <c r="H106" s="459">
        <f t="shared" si="54"/>
        <v>0</v>
      </c>
      <c r="I106" s="459">
        <f t="shared" si="38"/>
        <v>0</v>
      </c>
      <c r="J106" s="478"/>
      <c r="K106" s="463"/>
    </row>
    <row r="107" spans="1:12" s="201" customFormat="1" ht="31.5" x14ac:dyDescent="0.25">
      <c r="A107" s="458" t="s">
        <v>133</v>
      </c>
      <c r="B107" s="452">
        <v>902</v>
      </c>
      <c r="C107" s="454" t="s">
        <v>118</v>
      </c>
      <c r="D107" s="454" t="s">
        <v>150</v>
      </c>
      <c r="E107" s="461" t="s">
        <v>844</v>
      </c>
      <c r="F107" s="454" t="s">
        <v>134</v>
      </c>
      <c r="G107" s="459">
        <v>0.5</v>
      </c>
      <c r="H107" s="459">
        <v>0</v>
      </c>
      <c r="I107" s="459">
        <f t="shared" si="38"/>
        <v>0</v>
      </c>
      <c r="J107" s="478"/>
      <c r="K107" s="463"/>
    </row>
    <row r="108" spans="1:12" s="201" customFormat="1" ht="31.5" hidden="1" x14ac:dyDescent="0.25">
      <c r="A108" s="33" t="s">
        <v>191</v>
      </c>
      <c r="B108" s="452">
        <v>902</v>
      </c>
      <c r="C108" s="454" t="s">
        <v>118</v>
      </c>
      <c r="D108" s="454" t="s">
        <v>150</v>
      </c>
      <c r="E108" s="454" t="s">
        <v>845</v>
      </c>
      <c r="F108" s="454"/>
      <c r="G108" s="459">
        <f>G109</f>
        <v>0</v>
      </c>
      <c r="H108" s="459">
        <f t="shared" ref="H108:H109" si="55">H109</f>
        <v>0</v>
      </c>
      <c r="I108" s="455" t="e">
        <f t="shared" si="38"/>
        <v>#DIV/0!</v>
      </c>
      <c r="J108" s="478"/>
      <c r="K108" s="463"/>
    </row>
    <row r="109" spans="1:12" s="201" customFormat="1" ht="31.5" hidden="1" x14ac:dyDescent="0.25">
      <c r="A109" s="458" t="s">
        <v>131</v>
      </c>
      <c r="B109" s="452">
        <v>902</v>
      </c>
      <c r="C109" s="454" t="s">
        <v>118</v>
      </c>
      <c r="D109" s="454" t="s">
        <v>150</v>
      </c>
      <c r="E109" s="454" t="s">
        <v>845</v>
      </c>
      <c r="F109" s="454" t="s">
        <v>132</v>
      </c>
      <c r="G109" s="459">
        <f>G110</f>
        <v>0</v>
      </c>
      <c r="H109" s="459">
        <f t="shared" si="55"/>
        <v>0</v>
      </c>
      <c r="I109" s="455" t="e">
        <f t="shared" si="38"/>
        <v>#DIV/0!</v>
      </c>
      <c r="J109" s="478"/>
      <c r="K109" s="463"/>
    </row>
    <row r="110" spans="1:12" s="201" customFormat="1" ht="31.5" hidden="1" x14ac:dyDescent="0.25">
      <c r="A110" s="458" t="s">
        <v>133</v>
      </c>
      <c r="B110" s="452">
        <v>902</v>
      </c>
      <c r="C110" s="454" t="s">
        <v>118</v>
      </c>
      <c r="D110" s="454" t="s">
        <v>150</v>
      </c>
      <c r="E110" s="454" t="s">
        <v>845</v>
      </c>
      <c r="F110" s="454" t="s">
        <v>134</v>
      </c>
      <c r="G110" s="459">
        <v>0</v>
      </c>
      <c r="H110" s="459">
        <v>0</v>
      </c>
      <c r="I110" s="455" t="e">
        <f t="shared" si="38"/>
        <v>#DIV/0!</v>
      </c>
      <c r="J110" s="478"/>
      <c r="K110" s="463"/>
    </row>
    <row r="111" spans="1:12" ht="47.25" x14ac:dyDescent="0.25">
      <c r="A111" s="456" t="s">
        <v>119</v>
      </c>
      <c r="B111" s="453">
        <v>902</v>
      </c>
      <c r="C111" s="457" t="s">
        <v>118</v>
      </c>
      <c r="D111" s="457" t="s">
        <v>120</v>
      </c>
      <c r="E111" s="457"/>
      <c r="F111" s="454"/>
      <c r="G111" s="455">
        <f>G112</f>
        <v>1342.2</v>
      </c>
      <c r="H111" s="455">
        <f t="shared" ref="H111:H112" si="56">H112</f>
        <v>1116.3710000000001</v>
      </c>
      <c r="I111" s="455">
        <f t="shared" si="38"/>
        <v>83.174713157502609</v>
      </c>
      <c r="J111" s="478"/>
      <c r="K111" s="463"/>
      <c r="L111" s="201"/>
    </row>
    <row r="112" spans="1:12" ht="39.200000000000003" customHeight="1" x14ac:dyDescent="0.25">
      <c r="A112" s="456" t="s">
        <v>917</v>
      </c>
      <c r="B112" s="453">
        <v>902</v>
      </c>
      <c r="C112" s="457" t="s">
        <v>118</v>
      </c>
      <c r="D112" s="457" t="s">
        <v>120</v>
      </c>
      <c r="E112" s="457" t="s">
        <v>858</v>
      </c>
      <c r="F112" s="457"/>
      <c r="G112" s="455">
        <f>G113</f>
        <v>1342.2</v>
      </c>
      <c r="H112" s="455">
        <f t="shared" si="56"/>
        <v>1116.3710000000001</v>
      </c>
      <c r="I112" s="455">
        <f t="shared" si="38"/>
        <v>83.174713157502609</v>
      </c>
      <c r="J112" s="478"/>
      <c r="K112" s="463"/>
      <c r="L112" s="201"/>
    </row>
    <row r="113" spans="1:12" ht="15.75" x14ac:dyDescent="0.25">
      <c r="A113" s="456" t="s">
        <v>918</v>
      </c>
      <c r="B113" s="453">
        <v>902</v>
      </c>
      <c r="C113" s="457" t="s">
        <v>118</v>
      </c>
      <c r="D113" s="457" t="s">
        <v>120</v>
      </c>
      <c r="E113" s="457" t="s">
        <v>859</v>
      </c>
      <c r="F113" s="457"/>
      <c r="G113" s="455">
        <f>G114+G117</f>
        <v>1342.2</v>
      </c>
      <c r="H113" s="455">
        <f t="shared" ref="H113" si="57">H114+H117</f>
        <v>1116.3710000000001</v>
      </c>
      <c r="I113" s="455">
        <f t="shared" si="38"/>
        <v>83.174713157502609</v>
      </c>
      <c r="J113" s="478"/>
      <c r="K113" s="463"/>
      <c r="L113" s="201"/>
    </row>
    <row r="114" spans="1:12" ht="31.5" x14ac:dyDescent="0.25">
      <c r="A114" s="458" t="s">
        <v>897</v>
      </c>
      <c r="B114" s="452">
        <v>902</v>
      </c>
      <c r="C114" s="454" t="s">
        <v>118</v>
      </c>
      <c r="D114" s="454" t="s">
        <v>120</v>
      </c>
      <c r="E114" s="454" t="s">
        <v>860</v>
      </c>
      <c r="F114" s="454"/>
      <c r="G114" s="459">
        <f>G115</f>
        <v>1286.2</v>
      </c>
      <c r="H114" s="459">
        <f t="shared" ref="H114:H115" si="58">H115</f>
        <v>1063.3510000000001</v>
      </c>
      <c r="I114" s="459">
        <f t="shared" si="38"/>
        <v>82.673845436168563</v>
      </c>
      <c r="J114" s="478"/>
      <c r="K114" s="463"/>
      <c r="L114" s="201"/>
    </row>
    <row r="115" spans="1:12" ht="78.75" x14ac:dyDescent="0.25">
      <c r="A115" s="458" t="s">
        <v>127</v>
      </c>
      <c r="B115" s="452">
        <v>902</v>
      </c>
      <c r="C115" s="454" t="s">
        <v>118</v>
      </c>
      <c r="D115" s="454" t="s">
        <v>120</v>
      </c>
      <c r="E115" s="454" t="s">
        <v>860</v>
      </c>
      <c r="F115" s="454" t="s">
        <v>128</v>
      </c>
      <c r="G115" s="459">
        <f>G116</f>
        <v>1286.2</v>
      </c>
      <c r="H115" s="459">
        <f t="shared" si="58"/>
        <v>1063.3510000000001</v>
      </c>
      <c r="I115" s="459">
        <f t="shared" si="38"/>
        <v>82.673845436168563</v>
      </c>
      <c r="J115" s="478"/>
      <c r="K115" s="463"/>
      <c r="L115" s="201"/>
    </row>
    <row r="116" spans="1:12" ht="31.5" x14ac:dyDescent="0.25">
      <c r="A116" s="458" t="s">
        <v>129</v>
      </c>
      <c r="B116" s="452">
        <v>902</v>
      </c>
      <c r="C116" s="454" t="s">
        <v>118</v>
      </c>
      <c r="D116" s="454" t="s">
        <v>120</v>
      </c>
      <c r="E116" s="454" t="s">
        <v>860</v>
      </c>
      <c r="F116" s="454" t="s">
        <v>130</v>
      </c>
      <c r="G116" s="27">
        <v>1286.2</v>
      </c>
      <c r="H116" s="27">
        <v>1063.3510000000001</v>
      </c>
      <c r="I116" s="459">
        <f t="shared" si="38"/>
        <v>82.673845436168563</v>
      </c>
      <c r="J116" s="478"/>
      <c r="K116" s="463"/>
      <c r="L116" s="201"/>
    </row>
    <row r="117" spans="1:12" ht="31.7" customHeight="1" x14ac:dyDescent="0.25">
      <c r="A117" s="458" t="s">
        <v>839</v>
      </c>
      <c r="B117" s="452">
        <v>902</v>
      </c>
      <c r="C117" s="454" t="s">
        <v>118</v>
      </c>
      <c r="D117" s="454" t="s">
        <v>120</v>
      </c>
      <c r="E117" s="454" t="s">
        <v>862</v>
      </c>
      <c r="F117" s="454"/>
      <c r="G117" s="459">
        <f>G118</f>
        <v>56</v>
      </c>
      <c r="H117" s="459">
        <f t="shared" ref="H117:H118" si="59">H118</f>
        <v>53.02</v>
      </c>
      <c r="I117" s="459">
        <f t="shared" si="38"/>
        <v>94.678571428571431</v>
      </c>
      <c r="J117" s="478"/>
      <c r="K117" s="463"/>
      <c r="L117" s="201"/>
    </row>
    <row r="118" spans="1:12" s="201" customFormat="1" ht="31.7" customHeight="1" x14ac:dyDescent="0.25">
      <c r="A118" s="458" t="s">
        <v>127</v>
      </c>
      <c r="B118" s="452">
        <v>902</v>
      </c>
      <c r="C118" s="454" t="s">
        <v>118</v>
      </c>
      <c r="D118" s="454" t="s">
        <v>120</v>
      </c>
      <c r="E118" s="454" t="s">
        <v>862</v>
      </c>
      <c r="F118" s="454" t="s">
        <v>128</v>
      </c>
      <c r="G118" s="459">
        <f>G119</f>
        <v>56</v>
      </c>
      <c r="H118" s="459">
        <f t="shared" si="59"/>
        <v>53.02</v>
      </c>
      <c r="I118" s="459">
        <f t="shared" si="38"/>
        <v>94.678571428571431</v>
      </c>
      <c r="J118" s="478"/>
      <c r="K118" s="463"/>
    </row>
    <row r="119" spans="1:12" ht="34.5" customHeight="1" x14ac:dyDescent="0.25">
      <c r="A119" s="458" t="s">
        <v>129</v>
      </c>
      <c r="B119" s="452">
        <v>902</v>
      </c>
      <c r="C119" s="454" t="s">
        <v>118</v>
      </c>
      <c r="D119" s="454" t="s">
        <v>120</v>
      </c>
      <c r="E119" s="454" t="s">
        <v>862</v>
      </c>
      <c r="F119" s="454" t="s">
        <v>130</v>
      </c>
      <c r="G119" s="459">
        <f>46+10</f>
        <v>56</v>
      </c>
      <c r="H119" s="459">
        <v>53.02</v>
      </c>
      <c r="I119" s="459">
        <f t="shared" si="38"/>
        <v>94.678571428571431</v>
      </c>
      <c r="J119" s="478"/>
      <c r="K119" s="463"/>
      <c r="L119" s="201"/>
    </row>
    <row r="120" spans="1:12" s="201" customFormat="1" ht="17.45" hidden="1" customHeight="1" x14ac:dyDescent="0.25">
      <c r="A120" s="456" t="s">
        <v>1148</v>
      </c>
      <c r="B120" s="453">
        <v>902</v>
      </c>
      <c r="C120" s="457" t="s">
        <v>118</v>
      </c>
      <c r="D120" s="457" t="s">
        <v>264</v>
      </c>
      <c r="E120" s="457"/>
      <c r="F120" s="454"/>
      <c r="G120" s="455">
        <f>G121</f>
        <v>0</v>
      </c>
      <c r="H120" s="455">
        <f t="shared" ref="H120:H122" si="60">H121</f>
        <v>0</v>
      </c>
      <c r="I120" s="455" t="e">
        <f t="shared" si="38"/>
        <v>#DIV/0!</v>
      </c>
      <c r="J120" s="478"/>
      <c r="K120" s="463"/>
    </row>
    <row r="121" spans="1:12" s="201" customFormat="1" ht="21.75" hidden="1" customHeight="1" x14ac:dyDescent="0.25">
      <c r="A121" s="456" t="s">
        <v>141</v>
      </c>
      <c r="B121" s="453">
        <v>902</v>
      </c>
      <c r="C121" s="457" t="s">
        <v>118</v>
      </c>
      <c r="D121" s="457" t="s">
        <v>264</v>
      </c>
      <c r="E121" s="457" t="s">
        <v>866</v>
      </c>
      <c r="F121" s="454"/>
      <c r="G121" s="455">
        <f>G122</f>
        <v>0</v>
      </c>
      <c r="H121" s="455">
        <f t="shared" si="60"/>
        <v>0</v>
      </c>
      <c r="I121" s="455" t="e">
        <f t="shared" si="38"/>
        <v>#DIV/0!</v>
      </c>
      <c r="J121" s="478"/>
      <c r="K121" s="463"/>
    </row>
    <row r="122" spans="1:12" s="201" customFormat="1" ht="34.5" hidden="1" customHeight="1" x14ac:dyDescent="0.25">
      <c r="A122" s="456" t="s">
        <v>870</v>
      </c>
      <c r="B122" s="453">
        <v>902</v>
      </c>
      <c r="C122" s="457" t="s">
        <v>118</v>
      </c>
      <c r="D122" s="457" t="s">
        <v>264</v>
      </c>
      <c r="E122" s="457" t="s">
        <v>865</v>
      </c>
      <c r="F122" s="454"/>
      <c r="G122" s="455">
        <f>G123</f>
        <v>0</v>
      </c>
      <c r="H122" s="455">
        <f t="shared" si="60"/>
        <v>0</v>
      </c>
      <c r="I122" s="455" t="e">
        <f t="shared" si="38"/>
        <v>#DIV/0!</v>
      </c>
      <c r="J122" s="478"/>
      <c r="K122" s="463"/>
    </row>
    <row r="123" spans="1:12" s="201" customFormat="1" ht="18" hidden="1" customHeight="1" x14ac:dyDescent="0.25">
      <c r="A123" s="45" t="s">
        <v>199</v>
      </c>
      <c r="B123" s="452">
        <v>902</v>
      </c>
      <c r="C123" s="454" t="s">
        <v>118</v>
      </c>
      <c r="D123" s="454" t="s">
        <v>264</v>
      </c>
      <c r="E123" s="454" t="s">
        <v>1147</v>
      </c>
      <c r="F123" s="454"/>
      <c r="G123" s="459">
        <f>G124+G126</f>
        <v>0</v>
      </c>
      <c r="H123" s="459">
        <f t="shared" ref="H123" si="61">H124+H126</f>
        <v>0</v>
      </c>
      <c r="I123" s="455" t="e">
        <f t="shared" si="38"/>
        <v>#DIV/0!</v>
      </c>
      <c r="J123" s="478"/>
      <c r="K123" s="463"/>
    </row>
    <row r="124" spans="1:12" s="201" customFormat="1" ht="69.75" hidden="1" customHeight="1" x14ac:dyDescent="0.25">
      <c r="A124" s="458" t="s">
        <v>127</v>
      </c>
      <c r="B124" s="452">
        <v>902</v>
      </c>
      <c r="C124" s="454" t="s">
        <v>118</v>
      </c>
      <c r="D124" s="454" t="s">
        <v>264</v>
      </c>
      <c r="E124" s="454" t="s">
        <v>1147</v>
      </c>
      <c r="F124" s="454" t="s">
        <v>128</v>
      </c>
      <c r="G124" s="459">
        <f>G125</f>
        <v>0</v>
      </c>
      <c r="H124" s="459">
        <f t="shared" ref="H124" si="62">H125</f>
        <v>0</v>
      </c>
      <c r="I124" s="455" t="e">
        <f t="shared" si="38"/>
        <v>#DIV/0!</v>
      </c>
      <c r="J124" s="478"/>
      <c r="K124" s="463"/>
    </row>
    <row r="125" spans="1:12" s="201" customFormat="1" ht="34.5" hidden="1" customHeight="1" x14ac:dyDescent="0.25">
      <c r="A125" s="458" t="s">
        <v>129</v>
      </c>
      <c r="B125" s="452">
        <v>902</v>
      </c>
      <c r="C125" s="454" t="s">
        <v>118</v>
      </c>
      <c r="D125" s="454" t="s">
        <v>264</v>
      </c>
      <c r="E125" s="454" t="s">
        <v>1147</v>
      </c>
      <c r="F125" s="454" t="s">
        <v>130</v>
      </c>
      <c r="G125" s="459">
        <v>0</v>
      </c>
      <c r="H125" s="459">
        <v>0</v>
      </c>
      <c r="I125" s="455" t="e">
        <f t="shared" si="38"/>
        <v>#DIV/0!</v>
      </c>
      <c r="J125" s="478"/>
      <c r="K125" s="463"/>
    </row>
    <row r="126" spans="1:12" s="201" customFormat="1" ht="34.5" hidden="1" customHeight="1" x14ac:dyDescent="0.25">
      <c r="A126" s="458" t="s">
        <v>198</v>
      </c>
      <c r="B126" s="452">
        <v>902</v>
      </c>
      <c r="C126" s="454" t="s">
        <v>118</v>
      </c>
      <c r="D126" s="454" t="s">
        <v>264</v>
      </c>
      <c r="E126" s="454" t="s">
        <v>1147</v>
      </c>
      <c r="F126" s="454" t="s">
        <v>132</v>
      </c>
      <c r="G126" s="459">
        <f>G127</f>
        <v>0</v>
      </c>
      <c r="H126" s="459">
        <f t="shared" ref="H126" si="63">H127</f>
        <v>0</v>
      </c>
      <c r="I126" s="455" t="e">
        <f t="shared" si="38"/>
        <v>#DIV/0!</v>
      </c>
      <c r="J126" s="478"/>
      <c r="K126" s="463"/>
    </row>
    <row r="127" spans="1:12" s="201" customFormat="1" ht="34.5" hidden="1" customHeight="1" x14ac:dyDescent="0.25">
      <c r="A127" s="458" t="s">
        <v>133</v>
      </c>
      <c r="B127" s="452">
        <v>902</v>
      </c>
      <c r="C127" s="454" t="s">
        <v>118</v>
      </c>
      <c r="D127" s="454" t="s">
        <v>264</v>
      </c>
      <c r="E127" s="454" t="s">
        <v>1147</v>
      </c>
      <c r="F127" s="454" t="s">
        <v>134</v>
      </c>
      <c r="G127" s="459">
        <v>0</v>
      </c>
      <c r="H127" s="459">
        <v>0</v>
      </c>
      <c r="I127" s="455" t="e">
        <f t="shared" si="38"/>
        <v>#DIV/0!</v>
      </c>
      <c r="J127" s="478"/>
      <c r="K127" s="463"/>
    </row>
    <row r="128" spans="1:12" ht="15.75" x14ac:dyDescent="0.25">
      <c r="A128" s="456" t="s">
        <v>139</v>
      </c>
      <c r="B128" s="453">
        <v>902</v>
      </c>
      <c r="C128" s="457" t="s">
        <v>118</v>
      </c>
      <c r="D128" s="457" t="s">
        <v>140</v>
      </c>
      <c r="E128" s="457"/>
      <c r="F128" s="457"/>
      <c r="G128" s="455">
        <f>G139+G148+G129+G153</f>
        <v>6625.1</v>
      </c>
      <c r="H128" s="455">
        <f t="shared" ref="H128" si="64">H139+H148+H129+H153</f>
        <v>4505.7469999999994</v>
      </c>
      <c r="I128" s="455">
        <f t="shared" si="38"/>
        <v>68.010248901903353</v>
      </c>
      <c r="J128" s="478"/>
      <c r="K128" s="463"/>
      <c r="L128" s="201"/>
    </row>
    <row r="129" spans="1:16" s="201" customFormat="1" ht="19.5" customHeight="1" x14ac:dyDescent="0.25">
      <c r="A129" s="456" t="s">
        <v>141</v>
      </c>
      <c r="B129" s="453">
        <v>902</v>
      </c>
      <c r="C129" s="457" t="s">
        <v>118</v>
      </c>
      <c r="D129" s="457" t="s">
        <v>140</v>
      </c>
      <c r="E129" s="457" t="s">
        <v>866</v>
      </c>
      <c r="F129" s="457"/>
      <c r="G129" s="455">
        <f>G130</f>
        <v>6455</v>
      </c>
      <c r="H129" s="455">
        <f t="shared" ref="H129" si="65">H130</f>
        <v>4477.5869999999995</v>
      </c>
      <c r="I129" s="455">
        <f t="shared" si="38"/>
        <v>69.366181254841194</v>
      </c>
      <c r="J129" s="478"/>
      <c r="K129" s="463"/>
    </row>
    <row r="130" spans="1:16" s="201" customFormat="1" ht="34.5" customHeight="1" x14ac:dyDescent="0.25">
      <c r="A130" s="456" t="s">
        <v>922</v>
      </c>
      <c r="B130" s="453">
        <v>902</v>
      </c>
      <c r="C130" s="457" t="s">
        <v>118</v>
      </c>
      <c r="D130" s="457" t="s">
        <v>140</v>
      </c>
      <c r="E130" s="457" t="s">
        <v>867</v>
      </c>
      <c r="F130" s="457"/>
      <c r="G130" s="455">
        <f>G131+G136</f>
        <v>6455</v>
      </c>
      <c r="H130" s="455">
        <f t="shared" ref="H130" si="66">H131+H136</f>
        <v>4477.5869999999995</v>
      </c>
      <c r="I130" s="455">
        <f t="shared" si="38"/>
        <v>69.366181254841194</v>
      </c>
      <c r="J130" s="478"/>
      <c r="K130" s="463"/>
    </row>
    <row r="131" spans="1:16" s="201" customFormat="1" ht="21.75" customHeight="1" x14ac:dyDescent="0.25">
      <c r="A131" s="458" t="s">
        <v>928</v>
      </c>
      <c r="B131" s="452">
        <v>902</v>
      </c>
      <c r="C131" s="454" t="s">
        <v>118</v>
      </c>
      <c r="D131" s="454" t="s">
        <v>140</v>
      </c>
      <c r="E131" s="454" t="s">
        <v>868</v>
      </c>
      <c r="F131" s="454"/>
      <c r="G131" s="459">
        <f>G132+G134</f>
        <v>6205</v>
      </c>
      <c r="H131" s="459">
        <f t="shared" ref="H131" si="67">H132+H134</f>
        <v>4227.6819999999998</v>
      </c>
      <c r="I131" s="459">
        <f t="shared" si="38"/>
        <v>68.13347300564061</v>
      </c>
      <c r="J131" s="478"/>
      <c r="K131" s="463"/>
    </row>
    <row r="132" spans="1:16" s="201" customFormat="1" ht="66.75" customHeight="1" x14ac:dyDescent="0.25">
      <c r="A132" s="458" t="s">
        <v>127</v>
      </c>
      <c r="B132" s="452">
        <v>902</v>
      </c>
      <c r="C132" s="454" t="s">
        <v>118</v>
      </c>
      <c r="D132" s="454" t="s">
        <v>140</v>
      </c>
      <c r="E132" s="454" t="s">
        <v>868</v>
      </c>
      <c r="F132" s="454" t="s">
        <v>128</v>
      </c>
      <c r="G132" s="459">
        <f>G133</f>
        <v>4501</v>
      </c>
      <c r="H132" s="459">
        <f t="shared" ref="H132" si="68">H133</f>
        <v>3289.4740000000002</v>
      </c>
      <c r="I132" s="459">
        <f t="shared" si="38"/>
        <v>73.08318151521884</v>
      </c>
      <c r="J132" s="478"/>
      <c r="K132" s="463"/>
    </row>
    <row r="133" spans="1:16" s="201" customFormat="1" ht="20.25" customHeight="1" x14ac:dyDescent="0.25">
      <c r="A133" s="458" t="s">
        <v>208</v>
      </c>
      <c r="B133" s="452">
        <v>902</v>
      </c>
      <c r="C133" s="454" t="s">
        <v>118</v>
      </c>
      <c r="D133" s="454" t="s">
        <v>140</v>
      </c>
      <c r="E133" s="454" t="s">
        <v>868</v>
      </c>
      <c r="F133" s="454" t="s">
        <v>209</v>
      </c>
      <c r="G133" s="27">
        <v>4501</v>
      </c>
      <c r="H133" s="27">
        <v>3289.4740000000002</v>
      </c>
      <c r="I133" s="459">
        <f t="shared" si="38"/>
        <v>73.08318151521884</v>
      </c>
      <c r="J133" s="478"/>
      <c r="K133" s="463"/>
    </row>
    <row r="134" spans="1:16" s="201" customFormat="1" ht="39.200000000000003" customHeight="1" x14ac:dyDescent="0.25">
      <c r="A134" s="458" t="s">
        <v>198</v>
      </c>
      <c r="B134" s="452">
        <v>902</v>
      </c>
      <c r="C134" s="454" t="s">
        <v>118</v>
      </c>
      <c r="D134" s="454" t="s">
        <v>140</v>
      </c>
      <c r="E134" s="454" t="s">
        <v>868</v>
      </c>
      <c r="F134" s="454" t="s">
        <v>132</v>
      </c>
      <c r="G134" s="459">
        <f>G135</f>
        <v>1703.9999999999998</v>
      </c>
      <c r="H134" s="459">
        <f t="shared" ref="H134" si="69">H135</f>
        <v>938.20799999999997</v>
      </c>
      <c r="I134" s="459">
        <f t="shared" si="38"/>
        <v>55.059154929577467</v>
      </c>
      <c r="J134" s="478"/>
      <c r="K134" s="463"/>
    </row>
    <row r="135" spans="1:16" s="201" customFormat="1" ht="39.200000000000003" customHeight="1" x14ac:dyDescent="0.25">
      <c r="A135" s="458" t="s">
        <v>133</v>
      </c>
      <c r="B135" s="452">
        <v>902</v>
      </c>
      <c r="C135" s="454" t="s">
        <v>118</v>
      </c>
      <c r="D135" s="454" t="s">
        <v>140</v>
      </c>
      <c r="E135" s="454" t="s">
        <v>868</v>
      </c>
      <c r="F135" s="454" t="s">
        <v>134</v>
      </c>
      <c r="G135" s="27">
        <f>1174.7+113.8-77.5-11-972-15.9+972+7.3+8.6+134+162+198+10</f>
        <v>1703.9999999999998</v>
      </c>
      <c r="H135" s="27">
        <v>938.20799999999997</v>
      </c>
      <c r="I135" s="459">
        <f t="shared" si="38"/>
        <v>55.059154929577467</v>
      </c>
      <c r="J135" s="478"/>
      <c r="K135" s="463"/>
    </row>
    <row r="136" spans="1:16" s="201" customFormat="1" ht="28.5" customHeight="1" x14ac:dyDescent="0.25">
      <c r="A136" s="458" t="s">
        <v>839</v>
      </c>
      <c r="B136" s="452">
        <v>902</v>
      </c>
      <c r="C136" s="454" t="s">
        <v>118</v>
      </c>
      <c r="D136" s="454" t="s">
        <v>140</v>
      </c>
      <c r="E136" s="454" t="s">
        <v>869</v>
      </c>
      <c r="F136" s="454"/>
      <c r="G136" s="459">
        <f>G137</f>
        <v>250</v>
      </c>
      <c r="H136" s="459">
        <f t="shared" ref="H136:H137" si="70">H137</f>
        <v>249.905</v>
      </c>
      <c r="I136" s="459">
        <f t="shared" si="38"/>
        <v>99.961999999999989</v>
      </c>
      <c r="J136" s="478"/>
      <c r="K136" s="463"/>
    </row>
    <row r="137" spans="1:16" s="201" customFormat="1" ht="63" customHeight="1" x14ac:dyDescent="0.25">
      <c r="A137" s="458" t="s">
        <v>127</v>
      </c>
      <c r="B137" s="452">
        <v>902</v>
      </c>
      <c r="C137" s="454" t="s">
        <v>118</v>
      </c>
      <c r="D137" s="454" t="s">
        <v>140</v>
      </c>
      <c r="E137" s="454" t="s">
        <v>869</v>
      </c>
      <c r="F137" s="454" t="s">
        <v>128</v>
      </c>
      <c r="G137" s="459">
        <f>G138</f>
        <v>250</v>
      </c>
      <c r="H137" s="459">
        <f t="shared" si="70"/>
        <v>249.905</v>
      </c>
      <c r="I137" s="459">
        <f t="shared" si="38"/>
        <v>99.961999999999989</v>
      </c>
      <c r="J137" s="478"/>
      <c r="K137" s="463"/>
    </row>
    <row r="138" spans="1:16" s="201" customFormat="1" ht="23.25" customHeight="1" x14ac:dyDescent="0.25">
      <c r="A138" s="458" t="s">
        <v>208</v>
      </c>
      <c r="B138" s="452">
        <v>902</v>
      </c>
      <c r="C138" s="454" t="s">
        <v>118</v>
      </c>
      <c r="D138" s="454" t="s">
        <v>140</v>
      </c>
      <c r="E138" s="454" t="s">
        <v>869</v>
      </c>
      <c r="F138" s="454" t="s">
        <v>209</v>
      </c>
      <c r="G138" s="459">
        <f>128+79+18.025-18.025+43</f>
        <v>250</v>
      </c>
      <c r="H138" s="459">
        <v>249.905</v>
      </c>
      <c r="I138" s="459">
        <f t="shared" si="38"/>
        <v>99.961999999999989</v>
      </c>
      <c r="J138" s="478"/>
      <c r="K138" s="463"/>
      <c r="L138" s="489"/>
      <c r="N138" s="489"/>
      <c r="P138" s="489"/>
    </row>
    <row r="139" spans="1:16" ht="47.25" x14ac:dyDescent="0.25">
      <c r="A139" s="462" t="s">
        <v>1344</v>
      </c>
      <c r="B139" s="453">
        <v>902</v>
      </c>
      <c r="C139" s="457" t="s">
        <v>118</v>
      </c>
      <c r="D139" s="457" t="s">
        <v>140</v>
      </c>
      <c r="E139" s="457" t="s">
        <v>705</v>
      </c>
      <c r="F139" s="465"/>
      <c r="G139" s="455">
        <f>G140+G144</f>
        <v>43</v>
      </c>
      <c r="H139" s="455">
        <f t="shared" ref="H139" si="71">H140+H144</f>
        <v>15</v>
      </c>
      <c r="I139" s="455">
        <f t="shared" si="38"/>
        <v>34.883720930232556</v>
      </c>
      <c r="J139" s="478"/>
      <c r="K139" s="463"/>
      <c r="L139" s="201"/>
    </row>
    <row r="140" spans="1:16" s="201" customFormat="1" ht="47.25" customHeight="1" x14ac:dyDescent="0.25">
      <c r="A140" s="206" t="s">
        <v>846</v>
      </c>
      <c r="B140" s="453">
        <v>902</v>
      </c>
      <c r="C140" s="457" t="s">
        <v>118</v>
      </c>
      <c r="D140" s="457" t="s">
        <v>140</v>
      </c>
      <c r="E140" s="457" t="s">
        <v>852</v>
      </c>
      <c r="F140" s="465"/>
      <c r="G140" s="455">
        <f>G141</f>
        <v>28</v>
      </c>
      <c r="H140" s="455">
        <f t="shared" ref="H140:H142" si="72">H141</f>
        <v>0</v>
      </c>
      <c r="I140" s="455">
        <f t="shared" ref="I140:I203" si="73">H140/G140*100</f>
        <v>0</v>
      </c>
      <c r="J140" s="478"/>
      <c r="K140" s="463"/>
    </row>
    <row r="141" spans="1:16" ht="36.75" customHeight="1" x14ac:dyDescent="0.25">
      <c r="A141" s="98" t="s">
        <v>776</v>
      </c>
      <c r="B141" s="452">
        <v>902</v>
      </c>
      <c r="C141" s="454" t="s">
        <v>118</v>
      </c>
      <c r="D141" s="454" t="s">
        <v>140</v>
      </c>
      <c r="E141" s="454" t="s">
        <v>847</v>
      </c>
      <c r="F141" s="460"/>
      <c r="G141" s="459">
        <f>G142</f>
        <v>28</v>
      </c>
      <c r="H141" s="459">
        <f t="shared" si="72"/>
        <v>0</v>
      </c>
      <c r="I141" s="459">
        <f t="shared" si="73"/>
        <v>0</v>
      </c>
      <c r="J141" s="478"/>
      <c r="K141" s="463"/>
      <c r="L141" s="201"/>
    </row>
    <row r="142" spans="1:16" ht="31.5" x14ac:dyDescent="0.25">
      <c r="A142" s="458" t="s">
        <v>131</v>
      </c>
      <c r="B142" s="452">
        <v>902</v>
      </c>
      <c r="C142" s="454" t="s">
        <v>118</v>
      </c>
      <c r="D142" s="454" t="s">
        <v>140</v>
      </c>
      <c r="E142" s="454" t="s">
        <v>847</v>
      </c>
      <c r="F142" s="460" t="s">
        <v>132</v>
      </c>
      <c r="G142" s="459">
        <f>G143</f>
        <v>28</v>
      </c>
      <c r="H142" s="459">
        <f t="shared" si="72"/>
        <v>0</v>
      </c>
      <c r="I142" s="459">
        <f t="shared" si="73"/>
        <v>0</v>
      </c>
      <c r="J142" s="478"/>
      <c r="K142" s="463"/>
      <c r="L142" s="201"/>
    </row>
    <row r="143" spans="1:16" ht="31.5" x14ac:dyDescent="0.25">
      <c r="A143" s="458" t="s">
        <v>133</v>
      </c>
      <c r="B143" s="452">
        <v>902</v>
      </c>
      <c r="C143" s="454" t="s">
        <v>118</v>
      </c>
      <c r="D143" s="454" t="s">
        <v>140</v>
      </c>
      <c r="E143" s="454" t="s">
        <v>847</v>
      </c>
      <c r="F143" s="460" t="s">
        <v>134</v>
      </c>
      <c r="G143" s="459">
        <v>28</v>
      </c>
      <c r="H143" s="459">
        <v>0</v>
      </c>
      <c r="I143" s="459">
        <f t="shared" si="73"/>
        <v>0</v>
      </c>
      <c r="J143" s="478"/>
      <c r="K143" s="463"/>
      <c r="L143" s="201"/>
    </row>
    <row r="144" spans="1:16" s="201" customFormat="1" ht="34.5" customHeight="1" x14ac:dyDescent="0.25">
      <c r="A144" s="464" t="s">
        <v>1023</v>
      </c>
      <c r="B144" s="453">
        <v>902</v>
      </c>
      <c r="C144" s="457" t="s">
        <v>118</v>
      </c>
      <c r="D144" s="457" t="s">
        <v>140</v>
      </c>
      <c r="E144" s="457" t="s">
        <v>853</v>
      </c>
      <c r="F144" s="465"/>
      <c r="G144" s="455">
        <f>G145</f>
        <v>15</v>
      </c>
      <c r="H144" s="455">
        <f t="shared" ref="H144:H146" si="74">H145</f>
        <v>15</v>
      </c>
      <c r="I144" s="455">
        <f t="shared" si="73"/>
        <v>100</v>
      </c>
      <c r="J144" s="478"/>
      <c r="K144" s="463"/>
    </row>
    <row r="145" spans="1:12" ht="39.200000000000003" customHeight="1" x14ac:dyDescent="0.25">
      <c r="A145" s="98" t="s">
        <v>777</v>
      </c>
      <c r="B145" s="452">
        <v>902</v>
      </c>
      <c r="C145" s="454" t="s">
        <v>118</v>
      </c>
      <c r="D145" s="454" t="s">
        <v>140</v>
      </c>
      <c r="E145" s="454" t="s">
        <v>848</v>
      </c>
      <c r="F145" s="460"/>
      <c r="G145" s="459">
        <f>G146</f>
        <v>15</v>
      </c>
      <c r="H145" s="459">
        <f t="shared" si="74"/>
        <v>15</v>
      </c>
      <c r="I145" s="459">
        <f t="shared" si="73"/>
        <v>100</v>
      </c>
      <c r="J145" s="478"/>
      <c r="K145" s="463"/>
      <c r="L145" s="201"/>
    </row>
    <row r="146" spans="1:12" ht="31.7" customHeight="1" x14ac:dyDescent="0.25">
      <c r="A146" s="458" t="s">
        <v>131</v>
      </c>
      <c r="B146" s="452">
        <v>902</v>
      </c>
      <c r="C146" s="454" t="s">
        <v>118</v>
      </c>
      <c r="D146" s="454" t="s">
        <v>140</v>
      </c>
      <c r="E146" s="454" t="s">
        <v>848</v>
      </c>
      <c r="F146" s="460" t="s">
        <v>132</v>
      </c>
      <c r="G146" s="459">
        <f>G147</f>
        <v>15</v>
      </c>
      <c r="H146" s="459">
        <f t="shared" si="74"/>
        <v>15</v>
      </c>
      <c r="I146" s="459">
        <f t="shared" si="73"/>
        <v>100</v>
      </c>
      <c r="J146" s="478"/>
      <c r="K146" s="463"/>
      <c r="L146" s="201"/>
    </row>
    <row r="147" spans="1:12" ht="32.25" customHeight="1" x14ac:dyDescent="0.25">
      <c r="A147" s="458" t="s">
        <v>133</v>
      </c>
      <c r="B147" s="452">
        <v>902</v>
      </c>
      <c r="C147" s="454" t="s">
        <v>118</v>
      </c>
      <c r="D147" s="454" t="s">
        <v>140</v>
      </c>
      <c r="E147" s="454" t="s">
        <v>848</v>
      </c>
      <c r="F147" s="460" t="s">
        <v>134</v>
      </c>
      <c r="G147" s="459">
        <v>15</v>
      </c>
      <c r="H147" s="459">
        <v>15</v>
      </c>
      <c r="I147" s="459">
        <f t="shared" si="73"/>
        <v>100</v>
      </c>
      <c r="J147" s="478"/>
      <c r="K147" s="463"/>
      <c r="L147" s="201"/>
    </row>
    <row r="148" spans="1:12" ht="68.25" customHeight="1" x14ac:dyDescent="0.25">
      <c r="A148" s="462" t="s">
        <v>1345</v>
      </c>
      <c r="B148" s="453">
        <v>902</v>
      </c>
      <c r="C148" s="8" t="s">
        <v>118</v>
      </c>
      <c r="D148" s="8" t="s">
        <v>140</v>
      </c>
      <c r="E148" s="193" t="s">
        <v>817</v>
      </c>
      <c r="F148" s="8"/>
      <c r="G148" s="455">
        <f>G150</f>
        <v>40</v>
      </c>
      <c r="H148" s="455">
        <f t="shared" ref="H148" si="75">H150</f>
        <v>0</v>
      </c>
      <c r="I148" s="455">
        <f t="shared" si="73"/>
        <v>0</v>
      </c>
      <c r="J148" s="478"/>
      <c r="K148" s="463"/>
      <c r="L148" s="201"/>
    </row>
    <row r="149" spans="1:12" s="201" customFormat="1" ht="35.450000000000003" customHeight="1" x14ac:dyDescent="0.25">
      <c r="A149" s="208" t="s">
        <v>854</v>
      </c>
      <c r="B149" s="453">
        <v>902</v>
      </c>
      <c r="C149" s="8" t="s">
        <v>118</v>
      </c>
      <c r="D149" s="8" t="s">
        <v>140</v>
      </c>
      <c r="E149" s="193" t="s">
        <v>1076</v>
      </c>
      <c r="F149" s="8"/>
      <c r="G149" s="455">
        <f>G150</f>
        <v>40</v>
      </c>
      <c r="H149" s="455">
        <f t="shared" ref="H149:H151" si="76">H150</f>
        <v>0</v>
      </c>
      <c r="I149" s="455">
        <f t="shared" si="73"/>
        <v>0</v>
      </c>
      <c r="J149" s="478"/>
      <c r="K149" s="463"/>
    </row>
    <row r="150" spans="1:12" ht="31.7" customHeight="1" x14ac:dyDescent="0.25">
      <c r="A150" s="97" t="s">
        <v>171</v>
      </c>
      <c r="B150" s="452">
        <v>902</v>
      </c>
      <c r="C150" s="9" t="s">
        <v>118</v>
      </c>
      <c r="D150" s="9" t="s">
        <v>140</v>
      </c>
      <c r="E150" s="5" t="s">
        <v>855</v>
      </c>
      <c r="F150" s="9"/>
      <c r="G150" s="459">
        <f>G151</f>
        <v>40</v>
      </c>
      <c r="H150" s="459">
        <f t="shared" si="76"/>
        <v>0</v>
      </c>
      <c r="I150" s="459">
        <f t="shared" si="73"/>
        <v>0</v>
      </c>
      <c r="J150" s="478"/>
      <c r="K150" s="463"/>
      <c r="L150" s="201"/>
    </row>
    <row r="151" spans="1:12" ht="35.450000000000003" customHeight="1" x14ac:dyDescent="0.25">
      <c r="A151" s="458" t="s">
        <v>131</v>
      </c>
      <c r="B151" s="452">
        <v>902</v>
      </c>
      <c r="C151" s="9" t="s">
        <v>118</v>
      </c>
      <c r="D151" s="9" t="s">
        <v>140</v>
      </c>
      <c r="E151" s="5" t="s">
        <v>855</v>
      </c>
      <c r="F151" s="9" t="s">
        <v>132</v>
      </c>
      <c r="G151" s="459">
        <f>G152</f>
        <v>40</v>
      </c>
      <c r="H151" s="459">
        <f t="shared" si="76"/>
        <v>0</v>
      </c>
      <c r="I151" s="459">
        <f t="shared" si="73"/>
        <v>0</v>
      </c>
      <c r="J151" s="478"/>
      <c r="K151" s="463"/>
      <c r="L151" s="201"/>
    </row>
    <row r="152" spans="1:12" ht="33" customHeight="1" x14ac:dyDescent="0.25">
      <c r="A152" s="458" t="s">
        <v>133</v>
      </c>
      <c r="B152" s="452">
        <v>902</v>
      </c>
      <c r="C152" s="9" t="s">
        <v>118</v>
      </c>
      <c r="D152" s="9" t="s">
        <v>140</v>
      </c>
      <c r="E152" s="5" t="s">
        <v>855</v>
      </c>
      <c r="F152" s="9" t="s">
        <v>134</v>
      </c>
      <c r="G152" s="459">
        <v>40</v>
      </c>
      <c r="H152" s="459">
        <v>0</v>
      </c>
      <c r="I152" s="459">
        <f t="shared" si="73"/>
        <v>0</v>
      </c>
      <c r="J152" s="478"/>
      <c r="K152" s="463"/>
      <c r="L152" s="201"/>
    </row>
    <row r="153" spans="1:12" s="201" customFormat="1" ht="63" x14ac:dyDescent="0.25">
      <c r="A153" s="462" t="s">
        <v>1678</v>
      </c>
      <c r="B153" s="453">
        <v>902</v>
      </c>
      <c r="C153" s="8" t="s">
        <v>118</v>
      </c>
      <c r="D153" s="8" t="s">
        <v>140</v>
      </c>
      <c r="E153" s="193" t="s">
        <v>818</v>
      </c>
      <c r="F153" s="8"/>
      <c r="G153" s="455">
        <f>G155</f>
        <v>87.1</v>
      </c>
      <c r="H153" s="455">
        <f t="shared" ref="H153" si="77">H155</f>
        <v>13.16</v>
      </c>
      <c r="I153" s="455">
        <f t="shared" si="73"/>
        <v>15.109070034443169</v>
      </c>
      <c r="J153" s="478"/>
      <c r="K153" s="463"/>
    </row>
    <row r="154" spans="1:12" s="201" customFormat="1" ht="31.5" x14ac:dyDescent="0.25">
      <c r="A154" s="58" t="s">
        <v>856</v>
      </c>
      <c r="B154" s="453">
        <v>902</v>
      </c>
      <c r="C154" s="8" t="s">
        <v>118</v>
      </c>
      <c r="D154" s="8" t="s">
        <v>140</v>
      </c>
      <c r="E154" s="193" t="s">
        <v>864</v>
      </c>
      <c r="F154" s="8"/>
      <c r="G154" s="455">
        <f>G155</f>
        <v>87.1</v>
      </c>
      <c r="H154" s="455">
        <f t="shared" ref="H154:H156" si="78">H155</f>
        <v>13.16</v>
      </c>
      <c r="I154" s="455">
        <f t="shared" si="73"/>
        <v>15.109070034443169</v>
      </c>
      <c r="J154" s="478"/>
      <c r="K154" s="463"/>
    </row>
    <row r="155" spans="1:12" s="201" customFormat="1" ht="15.75" x14ac:dyDescent="0.25">
      <c r="A155" s="45" t="s">
        <v>822</v>
      </c>
      <c r="B155" s="452">
        <v>902</v>
      </c>
      <c r="C155" s="9" t="s">
        <v>118</v>
      </c>
      <c r="D155" s="9" t="s">
        <v>140</v>
      </c>
      <c r="E155" s="5" t="s">
        <v>857</v>
      </c>
      <c r="F155" s="9"/>
      <c r="G155" s="459">
        <f>G156</f>
        <v>87.1</v>
      </c>
      <c r="H155" s="459">
        <f t="shared" si="78"/>
        <v>13.16</v>
      </c>
      <c r="I155" s="459">
        <f t="shared" si="73"/>
        <v>15.109070034443169</v>
      </c>
      <c r="J155" s="478"/>
      <c r="K155" s="463"/>
    </row>
    <row r="156" spans="1:12" s="201" customFormat="1" ht="31.5" x14ac:dyDescent="0.25">
      <c r="A156" s="458" t="s">
        <v>131</v>
      </c>
      <c r="B156" s="452">
        <v>902</v>
      </c>
      <c r="C156" s="9" t="s">
        <v>118</v>
      </c>
      <c r="D156" s="9" t="s">
        <v>140</v>
      </c>
      <c r="E156" s="5" t="s">
        <v>857</v>
      </c>
      <c r="F156" s="9" t="s">
        <v>132</v>
      </c>
      <c r="G156" s="459">
        <f>G157</f>
        <v>87.1</v>
      </c>
      <c r="H156" s="459">
        <f t="shared" si="78"/>
        <v>13.16</v>
      </c>
      <c r="I156" s="459">
        <f t="shared" si="73"/>
        <v>15.109070034443169</v>
      </c>
      <c r="J156" s="478"/>
      <c r="K156" s="463"/>
    </row>
    <row r="157" spans="1:12" s="201" customFormat="1" ht="31.5" x14ac:dyDescent="0.25">
      <c r="A157" s="458" t="s">
        <v>133</v>
      </c>
      <c r="B157" s="452">
        <v>902</v>
      </c>
      <c r="C157" s="9" t="s">
        <v>118</v>
      </c>
      <c r="D157" s="9" t="s">
        <v>140</v>
      </c>
      <c r="E157" s="5" t="s">
        <v>857</v>
      </c>
      <c r="F157" s="9" t="s">
        <v>134</v>
      </c>
      <c r="G157" s="459">
        <f>70+17.1</f>
        <v>87.1</v>
      </c>
      <c r="H157" s="459">
        <v>13.16</v>
      </c>
      <c r="I157" s="459">
        <f t="shared" si="73"/>
        <v>15.109070034443169</v>
      </c>
      <c r="J157" s="478"/>
      <c r="K157" s="463"/>
    </row>
    <row r="158" spans="1:12" ht="15.75" hidden="1" customHeight="1" x14ac:dyDescent="0.25">
      <c r="A158" s="456" t="s">
        <v>212</v>
      </c>
      <c r="B158" s="453">
        <v>902</v>
      </c>
      <c r="C158" s="457" t="s">
        <v>213</v>
      </c>
      <c r="D158" s="457"/>
      <c r="E158" s="457"/>
      <c r="F158" s="457"/>
      <c r="G158" s="455">
        <f t="shared" ref="G158:H163" si="79">G159</f>
        <v>0</v>
      </c>
      <c r="H158" s="455">
        <f t="shared" si="79"/>
        <v>0</v>
      </c>
      <c r="I158" s="455" t="e">
        <f t="shared" si="73"/>
        <v>#DIV/0!</v>
      </c>
      <c r="J158" s="478"/>
      <c r="K158" s="463"/>
      <c r="L158" s="201"/>
    </row>
    <row r="159" spans="1:12" ht="20.25" hidden="1" customHeight="1" x14ac:dyDescent="0.25">
      <c r="A159" s="456" t="s">
        <v>218</v>
      </c>
      <c r="B159" s="453">
        <v>902</v>
      </c>
      <c r="C159" s="457" t="s">
        <v>213</v>
      </c>
      <c r="D159" s="457" t="s">
        <v>219</v>
      </c>
      <c r="E159" s="457"/>
      <c r="F159" s="457"/>
      <c r="G159" s="455">
        <f t="shared" si="79"/>
        <v>0</v>
      </c>
      <c r="H159" s="455">
        <f t="shared" si="79"/>
        <v>0</v>
      </c>
      <c r="I159" s="455" t="e">
        <f t="shared" si="73"/>
        <v>#DIV/0!</v>
      </c>
      <c r="J159" s="478"/>
      <c r="K159" s="463"/>
      <c r="L159" s="201"/>
    </row>
    <row r="160" spans="1:12" ht="15.75" hidden="1" customHeight="1" x14ac:dyDescent="0.25">
      <c r="A160" s="456" t="s">
        <v>141</v>
      </c>
      <c r="B160" s="453">
        <v>902</v>
      </c>
      <c r="C160" s="457" t="s">
        <v>213</v>
      </c>
      <c r="D160" s="457" t="s">
        <v>219</v>
      </c>
      <c r="E160" s="457" t="s">
        <v>866</v>
      </c>
      <c r="F160" s="457"/>
      <c r="G160" s="455">
        <f t="shared" si="79"/>
        <v>0</v>
      </c>
      <c r="H160" s="455">
        <f t="shared" si="79"/>
        <v>0</v>
      </c>
      <c r="I160" s="455" t="e">
        <f t="shared" si="73"/>
        <v>#DIV/0!</v>
      </c>
      <c r="J160" s="478"/>
      <c r="K160" s="463"/>
      <c r="L160" s="201"/>
    </row>
    <row r="161" spans="1:12" ht="33.75" hidden="1" customHeight="1" x14ac:dyDescent="0.25">
      <c r="A161" s="456" t="s">
        <v>870</v>
      </c>
      <c r="B161" s="453">
        <v>902</v>
      </c>
      <c r="C161" s="457" t="s">
        <v>213</v>
      </c>
      <c r="D161" s="457" t="s">
        <v>219</v>
      </c>
      <c r="E161" s="457" t="s">
        <v>865</v>
      </c>
      <c r="F161" s="457"/>
      <c r="G161" s="455">
        <f t="shared" si="79"/>
        <v>0</v>
      </c>
      <c r="H161" s="455">
        <f t="shared" si="79"/>
        <v>0</v>
      </c>
      <c r="I161" s="455" t="e">
        <f t="shared" si="73"/>
        <v>#DIV/0!</v>
      </c>
      <c r="J161" s="478"/>
      <c r="K161" s="463"/>
      <c r="L161" s="201"/>
    </row>
    <row r="162" spans="1:12" ht="15.75" hidden="1" customHeight="1" x14ac:dyDescent="0.25">
      <c r="A162" s="458" t="s">
        <v>220</v>
      </c>
      <c r="B162" s="452">
        <v>902</v>
      </c>
      <c r="C162" s="454" t="s">
        <v>213</v>
      </c>
      <c r="D162" s="454" t="s">
        <v>219</v>
      </c>
      <c r="E162" s="454" t="s">
        <v>871</v>
      </c>
      <c r="F162" s="454"/>
      <c r="G162" s="459">
        <f t="shared" si="79"/>
        <v>0</v>
      </c>
      <c r="H162" s="459">
        <f t="shared" si="79"/>
        <v>0</v>
      </c>
      <c r="I162" s="455" t="e">
        <f t="shared" si="73"/>
        <v>#DIV/0!</v>
      </c>
      <c r="J162" s="478"/>
      <c r="K162" s="463"/>
      <c r="L162" s="201"/>
    </row>
    <row r="163" spans="1:12" ht="33.75" hidden="1" customHeight="1" x14ac:dyDescent="0.25">
      <c r="A163" s="458" t="s">
        <v>198</v>
      </c>
      <c r="B163" s="452">
        <v>902</v>
      </c>
      <c r="C163" s="454" t="s">
        <v>213</v>
      </c>
      <c r="D163" s="454" t="s">
        <v>219</v>
      </c>
      <c r="E163" s="454" t="s">
        <v>871</v>
      </c>
      <c r="F163" s="454" t="s">
        <v>132</v>
      </c>
      <c r="G163" s="459">
        <f t="shared" si="79"/>
        <v>0</v>
      </c>
      <c r="H163" s="459">
        <f t="shared" si="79"/>
        <v>0</v>
      </c>
      <c r="I163" s="455" t="e">
        <f t="shared" si="73"/>
        <v>#DIV/0!</v>
      </c>
      <c r="J163" s="478"/>
      <c r="K163" s="463"/>
      <c r="L163" s="201"/>
    </row>
    <row r="164" spans="1:12" ht="40.700000000000003" hidden="1" customHeight="1" x14ac:dyDescent="0.25">
      <c r="A164" s="458" t="s">
        <v>133</v>
      </c>
      <c r="B164" s="452">
        <v>902</v>
      </c>
      <c r="C164" s="454" t="s">
        <v>213</v>
      </c>
      <c r="D164" s="454" t="s">
        <v>219</v>
      </c>
      <c r="E164" s="454" t="s">
        <v>871</v>
      </c>
      <c r="F164" s="454" t="s">
        <v>134</v>
      </c>
      <c r="G164" s="27">
        <v>0</v>
      </c>
      <c r="H164" s="27">
        <v>0</v>
      </c>
      <c r="I164" s="455" t="e">
        <f t="shared" si="73"/>
        <v>#DIV/0!</v>
      </c>
      <c r="J164" s="478"/>
      <c r="K164" s="463"/>
      <c r="L164" s="201"/>
    </row>
    <row r="165" spans="1:12" ht="31.5" x14ac:dyDescent="0.25">
      <c r="A165" s="456" t="s">
        <v>222</v>
      </c>
      <c r="B165" s="453">
        <v>902</v>
      </c>
      <c r="C165" s="457" t="s">
        <v>215</v>
      </c>
      <c r="D165" s="457"/>
      <c r="E165" s="457"/>
      <c r="F165" s="457"/>
      <c r="G165" s="455">
        <f>G166</f>
        <v>7212.7250000000004</v>
      </c>
      <c r="H165" s="455">
        <f t="shared" ref="H165" si="80">H166</f>
        <v>4831.482</v>
      </c>
      <c r="I165" s="455">
        <f t="shared" si="73"/>
        <v>66.985529047620702</v>
      </c>
      <c r="J165" s="478"/>
      <c r="K165" s="463"/>
      <c r="L165" s="201"/>
    </row>
    <row r="166" spans="1:12" ht="47.25" customHeight="1" x14ac:dyDescent="0.25">
      <c r="A166" s="456" t="s">
        <v>1348</v>
      </c>
      <c r="B166" s="453">
        <v>902</v>
      </c>
      <c r="C166" s="457" t="s">
        <v>215</v>
      </c>
      <c r="D166" s="457" t="s">
        <v>244</v>
      </c>
      <c r="E166" s="454"/>
      <c r="F166" s="454"/>
      <c r="G166" s="455">
        <f>G167+G184</f>
        <v>7212.7250000000004</v>
      </c>
      <c r="H166" s="455">
        <f t="shared" ref="H166" si="81">H167+H184</f>
        <v>4831.482</v>
      </c>
      <c r="I166" s="455">
        <f t="shared" si="73"/>
        <v>66.985529047620702</v>
      </c>
      <c r="J166" s="478"/>
      <c r="K166" s="463"/>
      <c r="L166" s="201"/>
    </row>
    <row r="167" spans="1:12" ht="15.75" x14ac:dyDescent="0.25">
      <c r="A167" s="456" t="s">
        <v>141</v>
      </c>
      <c r="B167" s="453">
        <v>902</v>
      </c>
      <c r="C167" s="457" t="s">
        <v>215</v>
      </c>
      <c r="D167" s="457" t="s">
        <v>244</v>
      </c>
      <c r="E167" s="457" t="s">
        <v>866</v>
      </c>
      <c r="F167" s="457"/>
      <c r="G167" s="455">
        <f>G168+G175</f>
        <v>6664.7250000000004</v>
      </c>
      <c r="H167" s="455">
        <f t="shared" ref="H167" si="82">H168+H175</f>
        <v>4831.482</v>
      </c>
      <c r="I167" s="455">
        <f t="shared" si="73"/>
        <v>72.493343686348638</v>
      </c>
      <c r="J167" s="478"/>
      <c r="K167" s="463"/>
      <c r="L167" s="201"/>
    </row>
    <row r="168" spans="1:12" s="201" customFormat="1" ht="31.5" x14ac:dyDescent="0.25">
      <c r="A168" s="456" t="s">
        <v>870</v>
      </c>
      <c r="B168" s="453">
        <v>902</v>
      </c>
      <c r="C168" s="457" t="s">
        <v>215</v>
      </c>
      <c r="D168" s="457" t="s">
        <v>244</v>
      </c>
      <c r="E168" s="457" t="s">
        <v>865</v>
      </c>
      <c r="F168" s="457"/>
      <c r="G168" s="455">
        <f>G169+G172</f>
        <v>476.85</v>
      </c>
      <c r="H168" s="455">
        <f t="shared" ref="H168" si="83">H169+H172</f>
        <v>120.68899999999999</v>
      </c>
      <c r="I168" s="455">
        <f t="shared" si="73"/>
        <v>25.309636153926807</v>
      </c>
      <c r="J168" s="478"/>
      <c r="K168" s="463"/>
    </row>
    <row r="169" spans="1:12" s="201" customFormat="1" ht="47.25" x14ac:dyDescent="0.25">
      <c r="A169" s="458" t="s">
        <v>224</v>
      </c>
      <c r="B169" s="452">
        <v>902</v>
      </c>
      <c r="C169" s="454" t="s">
        <v>215</v>
      </c>
      <c r="D169" s="454" t="s">
        <v>244</v>
      </c>
      <c r="E169" s="454" t="s">
        <v>875</v>
      </c>
      <c r="F169" s="454"/>
      <c r="G169" s="459">
        <f>G170</f>
        <v>279</v>
      </c>
      <c r="H169" s="459">
        <f t="shared" ref="H169:H170" si="84">H170</f>
        <v>120.68899999999999</v>
      </c>
      <c r="I169" s="459">
        <f t="shared" si="73"/>
        <v>43.25770609318996</v>
      </c>
      <c r="J169" s="478"/>
      <c r="K169" s="463"/>
    </row>
    <row r="170" spans="1:12" s="201" customFormat="1" ht="31.5" x14ac:dyDescent="0.25">
      <c r="A170" s="458" t="s">
        <v>198</v>
      </c>
      <c r="B170" s="452">
        <v>902</v>
      </c>
      <c r="C170" s="454" t="s">
        <v>215</v>
      </c>
      <c r="D170" s="454" t="s">
        <v>244</v>
      </c>
      <c r="E170" s="454" t="s">
        <v>875</v>
      </c>
      <c r="F170" s="454" t="s">
        <v>132</v>
      </c>
      <c r="G170" s="459">
        <f>G171</f>
        <v>279</v>
      </c>
      <c r="H170" s="459">
        <f t="shared" si="84"/>
        <v>120.68899999999999</v>
      </c>
      <c r="I170" s="459">
        <f t="shared" si="73"/>
        <v>43.25770609318996</v>
      </c>
      <c r="J170" s="478"/>
      <c r="K170" s="463"/>
    </row>
    <row r="171" spans="1:12" s="201" customFormat="1" ht="31.5" x14ac:dyDescent="0.25">
      <c r="A171" s="458" t="s">
        <v>133</v>
      </c>
      <c r="B171" s="452">
        <v>902</v>
      </c>
      <c r="C171" s="454" t="s">
        <v>215</v>
      </c>
      <c r="D171" s="454" t="s">
        <v>244</v>
      </c>
      <c r="E171" s="454" t="s">
        <v>875</v>
      </c>
      <c r="F171" s="454" t="s">
        <v>134</v>
      </c>
      <c r="G171" s="249">
        <f>1785-521-1064+79</f>
        <v>279</v>
      </c>
      <c r="H171" s="249">
        <v>120.68899999999999</v>
      </c>
      <c r="I171" s="459">
        <f t="shared" si="73"/>
        <v>43.25770609318996</v>
      </c>
      <c r="J171" s="478"/>
      <c r="K171" s="463"/>
    </row>
    <row r="172" spans="1:12" s="201" customFormat="1" ht="15.75" x14ac:dyDescent="0.25">
      <c r="A172" s="458" t="s">
        <v>230</v>
      </c>
      <c r="B172" s="452">
        <v>902</v>
      </c>
      <c r="C172" s="454" t="s">
        <v>215</v>
      </c>
      <c r="D172" s="454" t="s">
        <v>244</v>
      </c>
      <c r="E172" s="454" t="s">
        <v>876</v>
      </c>
      <c r="F172" s="454"/>
      <c r="G172" s="27">
        <f>G173</f>
        <v>197.85</v>
      </c>
      <c r="H172" s="27">
        <f t="shared" ref="H172:H173" si="85">H173</f>
        <v>0</v>
      </c>
      <c r="I172" s="459">
        <f t="shared" si="73"/>
        <v>0</v>
      </c>
      <c r="J172" s="478"/>
      <c r="K172" s="463"/>
    </row>
    <row r="173" spans="1:12" s="201" customFormat="1" ht="31.5" x14ac:dyDescent="0.25">
      <c r="A173" s="458" t="s">
        <v>198</v>
      </c>
      <c r="B173" s="452">
        <v>902</v>
      </c>
      <c r="C173" s="454" t="s">
        <v>215</v>
      </c>
      <c r="D173" s="454" t="s">
        <v>244</v>
      </c>
      <c r="E173" s="454" t="s">
        <v>876</v>
      </c>
      <c r="F173" s="454" t="s">
        <v>132</v>
      </c>
      <c r="G173" s="27">
        <f>G174</f>
        <v>197.85</v>
      </c>
      <c r="H173" s="27">
        <f t="shared" si="85"/>
        <v>0</v>
      </c>
      <c r="I173" s="459">
        <f t="shared" si="73"/>
        <v>0</v>
      </c>
      <c r="J173" s="478"/>
      <c r="K173" s="463"/>
    </row>
    <row r="174" spans="1:12" s="201" customFormat="1" ht="31.5" x14ac:dyDescent="0.25">
      <c r="A174" s="458" t="s">
        <v>133</v>
      </c>
      <c r="B174" s="452">
        <v>902</v>
      </c>
      <c r="C174" s="454" t="s">
        <v>215</v>
      </c>
      <c r="D174" s="454" t="s">
        <v>244</v>
      </c>
      <c r="E174" s="454" t="s">
        <v>876</v>
      </c>
      <c r="F174" s="454" t="s">
        <v>134</v>
      </c>
      <c r="G174" s="27">
        <f>99+98+0.85</f>
        <v>197.85</v>
      </c>
      <c r="H174" s="27">
        <v>0</v>
      </c>
      <c r="I174" s="459">
        <f t="shared" si="73"/>
        <v>0</v>
      </c>
      <c r="J174" s="478"/>
      <c r="K174" s="463"/>
    </row>
    <row r="175" spans="1:12" s="201" customFormat="1" ht="34.5" customHeight="1" x14ac:dyDescent="0.25">
      <c r="A175" s="456" t="s">
        <v>923</v>
      </c>
      <c r="B175" s="453">
        <v>902</v>
      </c>
      <c r="C175" s="457" t="s">
        <v>215</v>
      </c>
      <c r="D175" s="457" t="s">
        <v>244</v>
      </c>
      <c r="E175" s="457" t="s">
        <v>872</v>
      </c>
      <c r="F175" s="457"/>
      <c r="G175" s="455">
        <f>G176+G181</f>
        <v>6187.875</v>
      </c>
      <c r="H175" s="455">
        <f t="shared" ref="H175" si="86">H176+H181</f>
        <v>4710.7929999999997</v>
      </c>
      <c r="I175" s="455">
        <f t="shared" si="73"/>
        <v>76.129414378926526</v>
      </c>
      <c r="J175" s="478"/>
      <c r="K175" s="463"/>
    </row>
    <row r="176" spans="1:12" s="201" customFormat="1" ht="31.5" x14ac:dyDescent="0.25">
      <c r="A176" s="458" t="s">
        <v>927</v>
      </c>
      <c r="B176" s="452">
        <v>902</v>
      </c>
      <c r="C176" s="454" t="s">
        <v>215</v>
      </c>
      <c r="D176" s="454" t="s">
        <v>244</v>
      </c>
      <c r="E176" s="454" t="s">
        <v>873</v>
      </c>
      <c r="F176" s="454"/>
      <c r="G176" s="459">
        <f>G177+G179</f>
        <v>5877.85</v>
      </c>
      <c r="H176" s="459">
        <f t="shared" ref="H176" si="87">H177+H179</f>
        <v>4400.768</v>
      </c>
      <c r="I176" s="459">
        <f t="shared" si="73"/>
        <v>74.870369267674391</v>
      </c>
      <c r="J176" s="478"/>
      <c r="K176" s="463"/>
    </row>
    <row r="177" spans="1:11" s="201" customFormat="1" ht="78.75" x14ac:dyDescent="0.25">
      <c r="A177" s="458" t="s">
        <v>127</v>
      </c>
      <c r="B177" s="452">
        <v>902</v>
      </c>
      <c r="C177" s="454" t="s">
        <v>215</v>
      </c>
      <c r="D177" s="454" t="s">
        <v>244</v>
      </c>
      <c r="E177" s="454" t="s">
        <v>873</v>
      </c>
      <c r="F177" s="454" t="s">
        <v>128</v>
      </c>
      <c r="G177" s="459">
        <f>G178</f>
        <v>5693.1</v>
      </c>
      <c r="H177" s="459">
        <f t="shared" ref="H177" si="88">H178</f>
        <v>4261.03</v>
      </c>
      <c r="I177" s="459">
        <f t="shared" si="73"/>
        <v>74.845514745920497</v>
      </c>
      <c r="J177" s="478"/>
      <c r="K177" s="463"/>
    </row>
    <row r="178" spans="1:11" s="201" customFormat="1" ht="15.75" x14ac:dyDescent="0.25">
      <c r="A178" s="458" t="s">
        <v>208</v>
      </c>
      <c r="B178" s="452">
        <v>902</v>
      </c>
      <c r="C178" s="454" t="s">
        <v>215</v>
      </c>
      <c r="D178" s="454" t="s">
        <v>244</v>
      </c>
      <c r="E178" s="454" t="s">
        <v>873</v>
      </c>
      <c r="F178" s="454" t="s">
        <v>209</v>
      </c>
      <c r="G178" s="27">
        <v>5693.1</v>
      </c>
      <c r="H178" s="27">
        <v>4261.03</v>
      </c>
      <c r="I178" s="459">
        <f t="shared" si="73"/>
        <v>74.845514745920497</v>
      </c>
      <c r="J178" s="478"/>
      <c r="K178" s="463"/>
    </row>
    <row r="179" spans="1:11" s="201" customFormat="1" ht="31.5" x14ac:dyDescent="0.25">
      <c r="A179" s="458" t="s">
        <v>198</v>
      </c>
      <c r="B179" s="452">
        <v>902</v>
      </c>
      <c r="C179" s="454" t="s">
        <v>215</v>
      </c>
      <c r="D179" s="454" t="s">
        <v>244</v>
      </c>
      <c r="E179" s="454" t="s">
        <v>873</v>
      </c>
      <c r="F179" s="454" t="s">
        <v>132</v>
      </c>
      <c r="G179" s="459">
        <f>G180</f>
        <v>184.75</v>
      </c>
      <c r="H179" s="459">
        <f t="shared" ref="H179" si="89">H180</f>
        <v>139.738</v>
      </c>
      <c r="I179" s="459">
        <f t="shared" si="73"/>
        <v>75.636265223274691</v>
      </c>
      <c r="J179" s="478"/>
      <c r="K179" s="463"/>
    </row>
    <row r="180" spans="1:11" s="201" customFormat="1" ht="31.5" x14ac:dyDescent="0.25">
      <c r="A180" s="458" t="s">
        <v>133</v>
      </c>
      <c r="B180" s="452">
        <v>902</v>
      </c>
      <c r="C180" s="454" t="s">
        <v>215</v>
      </c>
      <c r="D180" s="454" t="s">
        <v>244</v>
      </c>
      <c r="E180" s="454" t="s">
        <v>873</v>
      </c>
      <c r="F180" s="454" t="s">
        <v>134</v>
      </c>
      <c r="G180" s="27">
        <f>163+19+2.75</f>
        <v>184.75</v>
      </c>
      <c r="H180" s="27">
        <v>139.738</v>
      </c>
      <c r="I180" s="459">
        <f t="shared" si="73"/>
        <v>75.636265223274691</v>
      </c>
      <c r="J180" s="478"/>
      <c r="K180" s="463"/>
    </row>
    <row r="181" spans="1:11" s="201" customFormat="1" ht="31.5" x14ac:dyDescent="0.25">
      <c r="A181" s="458" t="s">
        <v>839</v>
      </c>
      <c r="B181" s="452">
        <v>902</v>
      </c>
      <c r="C181" s="454" t="s">
        <v>215</v>
      </c>
      <c r="D181" s="454" t="s">
        <v>244</v>
      </c>
      <c r="E181" s="454" t="s">
        <v>874</v>
      </c>
      <c r="F181" s="454"/>
      <c r="G181" s="459">
        <f>G182</f>
        <v>310.02499999999998</v>
      </c>
      <c r="H181" s="459">
        <f t="shared" ref="H181:H182" si="90">H182</f>
        <v>310.02499999999998</v>
      </c>
      <c r="I181" s="459">
        <f t="shared" si="73"/>
        <v>100</v>
      </c>
      <c r="J181" s="478"/>
      <c r="K181" s="463"/>
    </row>
    <row r="182" spans="1:11" s="201" customFormat="1" ht="78.75" x14ac:dyDescent="0.25">
      <c r="A182" s="458" t="s">
        <v>127</v>
      </c>
      <c r="B182" s="452">
        <v>902</v>
      </c>
      <c r="C182" s="454" t="s">
        <v>215</v>
      </c>
      <c r="D182" s="454" t="s">
        <v>244</v>
      </c>
      <c r="E182" s="454" t="s">
        <v>874</v>
      </c>
      <c r="F182" s="454" t="s">
        <v>128</v>
      </c>
      <c r="G182" s="459">
        <f>G183</f>
        <v>310.02499999999998</v>
      </c>
      <c r="H182" s="459">
        <f t="shared" si="90"/>
        <v>310.02499999999998</v>
      </c>
      <c r="I182" s="459">
        <f t="shared" si="73"/>
        <v>100</v>
      </c>
      <c r="J182" s="478"/>
      <c r="K182" s="463"/>
    </row>
    <row r="183" spans="1:11" s="201" customFormat="1" ht="15.75" x14ac:dyDescent="0.25">
      <c r="A183" s="458" t="s">
        <v>208</v>
      </c>
      <c r="B183" s="452">
        <v>902</v>
      </c>
      <c r="C183" s="454" t="s">
        <v>215</v>
      </c>
      <c r="D183" s="454" t="s">
        <v>244</v>
      </c>
      <c r="E183" s="454" t="s">
        <v>874</v>
      </c>
      <c r="F183" s="454" t="s">
        <v>209</v>
      </c>
      <c r="G183" s="459">
        <f>252+40+18.025</f>
        <v>310.02499999999998</v>
      </c>
      <c r="H183" s="459">
        <v>310.02499999999998</v>
      </c>
      <c r="I183" s="459">
        <f t="shared" si="73"/>
        <v>100</v>
      </c>
      <c r="J183" s="478"/>
      <c r="K183" s="463"/>
    </row>
    <row r="184" spans="1:11" s="201" customFormat="1" ht="47.25" x14ac:dyDescent="0.25">
      <c r="A184" s="462" t="s">
        <v>1344</v>
      </c>
      <c r="B184" s="453">
        <v>902</v>
      </c>
      <c r="C184" s="457" t="s">
        <v>215</v>
      </c>
      <c r="D184" s="457" t="s">
        <v>244</v>
      </c>
      <c r="E184" s="457" t="s">
        <v>705</v>
      </c>
      <c r="F184" s="454"/>
      <c r="G184" s="455">
        <f>G185</f>
        <v>548</v>
      </c>
      <c r="H184" s="455">
        <f t="shared" ref="H184" si="91">H185</f>
        <v>0</v>
      </c>
      <c r="I184" s="455">
        <f t="shared" si="73"/>
        <v>0</v>
      </c>
      <c r="J184" s="478"/>
      <c r="K184" s="463"/>
    </row>
    <row r="185" spans="1:11" s="201" customFormat="1" ht="31.5" x14ac:dyDescent="0.25">
      <c r="A185" s="464" t="s">
        <v>1654</v>
      </c>
      <c r="B185" s="453">
        <v>902</v>
      </c>
      <c r="C185" s="457" t="s">
        <v>215</v>
      </c>
      <c r="D185" s="457" t="s">
        <v>244</v>
      </c>
      <c r="E185" s="457" t="s">
        <v>1655</v>
      </c>
      <c r="F185" s="465"/>
      <c r="G185" s="455">
        <f>G186+G189+G192</f>
        <v>548</v>
      </c>
      <c r="H185" s="455">
        <f t="shared" ref="H185" si="92">H186+H189+H192</f>
        <v>0</v>
      </c>
      <c r="I185" s="455">
        <f t="shared" si="73"/>
        <v>0</v>
      </c>
      <c r="J185" s="478"/>
      <c r="K185" s="463"/>
    </row>
    <row r="186" spans="1:11" s="201" customFormat="1" ht="15.75" hidden="1" x14ac:dyDescent="0.25">
      <c r="A186" s="458" t="s">
        <v>230</v>
      </c>
      <c r="B186" s="452">
        <v>902</v>
      </c>
      <c r="C186" s="454" t="s">
        <v>215</v>
      </c>
      <c r="D186" s="454" t="s">
        <v>244</v>
      </c>
      <c r="E186" s="454" t="s">
        <v>1656</v>
      </c>
      <c r="F186" s="460"/>
      <c r="G186" s="459">
        <f>G187</f>
        <v>0</v>
      </c>
      <c r="H186" s="459">
        <f t="shared" ref="H186:H187" si="93">H187</f>
        <v>0</v>
      </c>
      <c r="I186" s="455" t="e">
        <f t="shared" si="73"/>
        <v>#DIV/0!</v>
      </c>
      <c r="J186" s="478"/>
      <c r="K186" s="463"/>
    </row>
    <row r="187" spans="1:11" s="201" customFormat="1" ht="31.5" hidden="1" x14ac:dyDescent="0.25">
      <c r="A187" s="458" t="s">
        <v>131</v>
      </c>
      <c r="B187" s="452">
        <v>902</v>
      </c>
      <c r="C187" s="454" t="s">
        <v>215</v>
      </c>
      <c r="D187" s="454" t="s">
        <v>244</v>
      </c>
      <c r="E187" s="454" t="s">
        <v>1656</v>
      </c>
      <c r="F187" s="460" t="s">
        <v>132</v>
      </c>
      <c r="G187" s="459">
        <f>G188</f>
        <v>0</v>
      </c>
      <c r="H187" s="459">
        <f t="shared" si="93"/>
        <v>0</v>
      </c>
      <c r="I187" s="455" t="e">
        <f t="shared" si="73"/>
        <v>#DIV/0!</v>
      </c>
      <c r="J187" s="478"/>
      <c r="K187" s="463"/>
    </row>
    <row r="188" spans="1:11" s="201" customFormat="1" ht="31.5" hidden="1" x14ac:dyDescent="0.25">
      <c r="A188" s="458" t="s">
        <v>133</v>
      </c>
      <c r="B188" s="452">
        <v>902</v>
      </c>
      <c r="C188" s="454" t="s">
        <v>215</v>
      </c>
      <c r="D188" s="454" t="s">
        <v>244</v>
      </c>
      <c r="E188" s="454" t="s">
        <v>1656</v>
      </c>
      <c r="F188" s="460" t="s">
        <v>134</v>
      </c>
      <c r="G188" s="459">
        <f>100-100</f>
        <v>0</v>
      </c>
      <c r="H188" s="459"/>
      <c r="I188" s="455" t="e">
        <f t="shared" si="73"/>
        <v>#DIV/0!</v>
      </c>
      <c r="J188" s="478"/>
      <c r="K188" s="463"/>
    </row>
    <row r="189" spans="1:11" s="201" customFormat="1" ht="47.25" x14ac:dyDescent="0.25">
      <c r="A189" s="458" t="s">
        <v>1696</v>
      </c>
      <c r="B189" s="452">
        <v>902</v>
      </c>
      <c r="C189" s="454" t="s">
        <v>215</v>
      </c>
      <c r="D189" s="454" t="s">
        <v>244</v>
      </c>
      <c r="E189" s="454" t="s">
        <v>1697</v>
      </c>
      <c r="F189" s="460"/>
      <c r="G189" s="459">
        <f>G190+G193</f>
        <v>548</v>
      </c>
      <c r="H189" s="459">
        <f t="shared" ref="H189" si="94">H190+H193</f>
        <v>0</v>
      </c>
      <c r="I189" s="459">
        <f t="shared" si="73"/>
        <v>0</v>
      </c>
      <c r="J189" s="478"/>
      <c r="K189" s="463"/>
    </row>
    <row r="190" spans="1:11" s="201" customFormat="1" ht="31.5" hidden="1" x14ac:dyDescent="0.25">
      <c r="A190" s="458" t="s">
        <v>131</v>
      </c>
      <c r="B190" s="452">
        <v>902</v>
      </c>
      <c r="C190" s="454" t="s">
        <v>215</v>
      </c>
      <c r="D190" s="454" t="s">
        <v>244</v>
      </c>
      <c r="E190" s="454" t="s">
        <v>1697</v>
      </c>
      <c r="F190" s="460" t="s">
        <v>132</v>
      </c>
      <c r="G190" s="459">
        <f>G191</f>
        <v>0</v>
      </c>
      <c r="H190" s="459">
        <f t="shared" ref="H190" si="95">H191</f>
        <v>0</v>
      </c>
      <c r="I190" s="459" t="e">
        <f t="shared" si="73"/>
        <v>#DIV/0!</v>
      </c>
      <c r="J190" s="478"/>
      <c r="K190" s="463"/>
    </row>
    <row r="191" spans="1:11" s="201" customFormat="1" ht="31.5" hidden="1" x14ac:dyDescent="0.25">
      <c r="A191" s="458" t="s">
        <v>133</v>
      </c>
      <c r="B191" s="452">
        <v>902</v>
      </c>
      <c r="C191" s="454" t="s">
        <v>215</v>
      </c>
      <c r="D191" s="454" t="s">
        <v>244</v>
      </c>
      <c r="E191" s="454" t="s">
        <v>1697</v>
      </c>
      <c r="F191" s="460" t="s">
        <v>134</v>
      </c>
      <c r="G191" s="459">
        <f>448+100-548</f>
        <v>0</v>
      </c>
      <c r="H191" s="459">
        <f t="shared" ref="H191" si="96">448+100-548</f>
        <v>0</v>
      </c>
      <c r="I191" s="459" t="e">
        <f t="shared" si="73"/>
        <v>#DIV/0!</v>
      </c>
      <c r="J191" s="478"/>
      <c r="K191" s="463"/>
    </row>
    <row r="192" spans="1:11" s="201" customFormat="1" ht="47.25" hidden="1" x14ac:dyDescent="0.25">
      <c r="A192" s="458" t="s">
        <v>1696</v>
      </c>
      <c r="B192" s="452">
        <v>902</v>
      </c>
      <c r="C192" s="454" t="s">
        <v>215</v>
      </c>
      <c r="D192" s="454" t="s">
        <v>244</v>
      </c>
      <c r="E192" s="454" t="s">
        <v>1697</v>
      </c>
      <c r="F192" s="460"/>
      <c r="G192" s="459"/>
      <c r="H192" s="459"/>
      <c r="I192" s="459" t="e">
        <f t="shared" si="73"/>
        <v>#DIV/0!</v>
      </c>
      <c r="J192" s="478"/>
      <c r="K192" s="463"/>
    </row>
    <row r="193" spans="1:12" s="201" customFormat="1" ht="15.75" x14ac:dyDescent="0.25">
      <c r="A193" s="458" t="s">
        <v>248</v>
      </c>
      <c r="B193" s="452">
        <v>902</v>
      </c>
      <c r="C193" s="454" t="s">
        <v>215</v>
      </c>
      <c r="D193" s="454" t="s">
        <v>244</v>
      </c>
      <c r="E193" s="454" t="s">
        <v>1697</v>
      </c>
      <c r="F193" s="460" t="s">
        <v>249</v>
      </c>
      <c r="G193" s="459">
        <f>G194</f>
        <v>548</v>
      </c>
      <c r="H193" s="459">
        <f t="shared" ref="H193" si="97">H194</f>
        <v>0</v>
      </c>
      <c r="I193" s="459">
        <f t="shared" si="73"/>
        <v>0</v>
      </c>
      <c r="J193" s="478"/>
      <c r="K193" s="463"/>
    </row>
    <row r="194" spans="1:12" s="201" customFormat="1" ht="30" customHeight="1" x14ac:dyDescent="0.25">
      <c r="A194" s="458" t="s">
        <v>250</v>
      </c>
      <c r="B194" s="452">
        <v>902</v>
      </c>
      <c r="C194" s="454" t="s">
        <v>215</v>
      </c>
      <c r="D194" s="454" t="s">
        <v>244</v>
      </c>
      <c r="E194" s="454" t="s">
        <v>1697</v>
      </c>
      <c r="F194" s="460" t="s">
        <v>251</v>
      </c>
      <c r="G194" s="459">
        <f>448+100</f>
        <v>548</v>
      </c>
      <c r="H194" s="459">
        <v>0</v>
      </c>
      <c r="I194" s="459">
        <f t="shared" si="73"/>
        <v>0</v>
      </c>
      <c r="J194" s="478"/>
      <c r="K194" s="463"/>
    </row>
    <row r="195" spans="1:12" ht="15.75" x14ac:dyDescent="0.25">
      <c r="A195" s="456" t="s">
        <v>232</v>
      </c>
      <c r="B195" s="453">
        <v>902</v>
      </c>
      <c r="C195" s="457" t="s">
        <v>150</v>
      </c>
      <c r="D195" s="457"/>
      <c r="E195" s="457"/>
      <c r="F195" s="454"/>
      <c r="G195" s="455">
        <f>G206+G196</f>
        <v>433.2</v>
      </c>
      <c r="H195" s="455">
        <f t="shared" ref="H195" si="98">H206+H196</f>
        <v>149.22999999999999</v>
      </c>
      <c r="I195" s="455">
        <f t="shared" si="73"/>
        <v>34.448291782086791</v>
      </c>
      <c r="J195" s="478"/>
      <c r="K195" s="463"/>
      <c r="L195" s="201"/>
    </row>
    <row r="196" spans="1:12" ht="15.75" x14ac:dyDescent="0.25">
      <c r="A196" s="456" t="s">
        <v>233</v>
      </c>
      <c r="B196" s="453">
        <v>902</v>
      </c>
      <c r="C196" s="457" t="s">
        <v>150</v>
      </c>
      <c r="D196" s="457" t="s">
        <v>234</v>
      </c>
      <c r="E196" s="457"/>
      <c r="F196" s="454"/>
      <c r="G196" s="455">
        <f>G197</f>
        <v>19</v>
      </c>
      <c r="H196" s="455">
        <f t="shared" ref="H196" si="99">H197</f>
        <v>0</v>
      </c>
      <c r="I196" s="455">
        <f t="shared" si="73"/>
        <v>0</v>
      </c>
      <c r="J196" s="478"/>
      <c r="K196" s="463"/>
      <c r="L196" s="201"/>
    </row>
    <row r="197" spans="1:12" ht="42.4" customHeight="1" x14ac:dyDescent="0.25">
      <c r="A197" s="34" t="s">
        <v>1347</v>
      </c>
      <c r="B197" s="453">
        <v>902</v>
      </c>
      <c r="C197" s="457" t="s">
        <v>150</v>
      </c>
      <c r="D197" s="457" t="s">
        <v>234</v>
      </c>
      <c r="E197" s="193" t="s">
        <v>182</v>
      </c>
      <c r="F197" s="465"/>
      <c r="G197" s="455">
        <f>G198+G202</f>
        <v>19</v>
      </c>
      <c r="H197" s="455">
        <f t="shared" ref="H197" si="100">H198+H202</f>
        <v>0</v>
      </c>
      <c r="I197" s="455">
        <f t="shared" si="73"/>
        <v>0</v>
      </c>
      <c r="J197" s="478"/>
      <c r="K197" s="463"/>
      <c r="L197" s="201"/>
    </row>
    <row r="198" spans="1:12" s="201" customFormat="1" ht="35.450000000000003" customHeight="1" x14ac:dyDescent="0.25">
      <c r="A198" s="34" t="s">
        <v>1006</v>
      </c>
      <c r="B198" s="453">
        <v>902</v>
      </c>
      <c r="C198" s="457" t="s">
        <v>150</v>
      </c>
      <c r="D198" s="457" t="s">
        <v>234</v>
      </c>
      <c r="E198" s="246" t="s">
        <v>877</v>
      </c>
      <c r="F198" s="465"/>
      <c r="G198" s="455">
        <f>G199</f>
        <v>19</v>
      </c>
      <c r="H198" s="455">
        <f t="shared" ref="H198:H200" si="101">H199</f>
        <v>0</v>
      </c>
      <c r="I198" s="455">
        <f t="shared" si="73"/>
        <v>0</v>
      </c>
      <c r="J198" s="478"/>
      <c r="K198" s="463"/>
    </row>
    <row r="199" spans="1:12" ht="31.5" x14ac:dyDescent="0.25">
      <c r="A199" s="458" t="s">
        <v>235</v>
      </c>
      <c r="B199" s="452">
        <v>902</v>
      </c>
      <c r="C199" s="454" t="s">
        <v>150</v>
      </c>
      <c r="D199" s="454" t="s">
        <v>234</v>
      </c>
      <c r="E199" s="454" t="s">
        <v>898</v>
      </c>
      <c r="F199" s="460"/>
      <c r="G199" s="459">
        <f>G200</f>
        <v>19</v>
      </c>
      <c r="H199" s="459">
        <f t="shared" si="101"/>
        <v>0</v>
      </c>
      <c r="I199" s="459">
        <f t="shared" si="73"/>
        <v>0</v>
      </c>
      <c r="J199" s="478"/>
      <c r="K199" s="463"/>
      <c r="L199" s="201"/>
    </row>
    <row r="200" spans="1:12" ht="15.75" x14ac:dyDescent="0.25">
      <c r="A200" s="29" t="s">
        <v>135</v>
      </c>
      <c r="B200" s="452">
        <v>902</v>
      </c>
      <c r="C200" s="454" t="s">
        <v>150</v>
      </c>
      <c r="D200" s="454" t="s">
        <v>234</v>
      </c>
      <c r="E200" s="454" t="s">
        <v>898</v>
      </c>
      <c r="F200" s="460" t="s">
        <v>145</v>
      </c>
      <c r="G200" s="459">
        <f>G201</f>
        <v>19</v>
      </c>
      <c r="H200" s="459">
        <f t="shared" si="101"/>
        <v>0</v>
      </c>
      <c r="I200" s="459">
        <f t="shared" si="73"/>
        <v>0</v>
      </c>
      <c r="J200" s="478"/>
      <c r="K200" s="463"/>
      <c r="L200" s="201"/>
    </row>
    <row r="201" spans="1:12" ht="47.25" x14ac:dyDescent="0.25">
      <c r="A201" s="29" t="s">
        <v>184</v>
      </c>
      <c r="B201" s="452">
        <v>902</v>
      </c>
      <c r="C201" s="454" t="s">
        <v>150</v>
      </c>
      <c r="D201" s="454" t="s">
        <v>234</v>
      </c>
      <c r="E201" s="454" t="s">
        <v>898</v>
      </c>
      <c r="F201" s="460" t="s">
        <v>160</v>
      </c>
      <c r="G201" s="459">
        <f>30-11+255-91.9-163.1</f>
        <v>19</v>
      </c>
      <c r="H201" s="459">
        <v>0</v>
      </c>
      <c r="I201" s="459">
        <f t="shared" si="73"/>
        <v>0</v>
      </c>
      <c r="J201" s="478"/>
      <c r="K201" s="463"/>
      <c r="L201" s="201"/>
    </row>
    <row r="202" spans="1:12" s="201" customFormat="1" ht="31.5" hidden="1" x14ac:dyDescent="0.25">
      <c r="A202" s="238" t="s">
        <v>1007</v>
      </c>
      <c r="B202" s="453">
        <v>902</v>
      </c>
      <c r="C202" s="457" t="s">
        <v>150</v>
      </c>
      <c r="D202" s="457" t="s">
        <v>234</v>
      </c>
      <c r="E202" s="193" t="s">
        <v>879</v>
      </c>
      <c r="F202" s="465"/>
      <c r="G202" s="455">
        <f>G203</f>
        <v>0</v>
      </c>
      <c r="H202" s="455">
        <f t="shared" ref="H202:H204" si="102">H203</f>
        <v>0</v>
      </c>
      <c r="I202" s="455" t="e">
        <f t="shared" si="73"/>
        <v>#DIV/0!</v>
      </c>
      <c r="J202" s="478"/>
      <c r="K202" s="463"/>
    </row>
    <row r="203" spans="1:12" s="201" customFormat="1" ht="15.75" hidden="1" x14ac:dyDescent="0.25">
      <c r="A203" s="458" t="s">
        <v>878</v>
      </c>
      <c r="B203" s="452">
        <v>902</v>
      </c>
      <c r="C203" s="454" t="s">
        <v>150</v>
      </c>
      <c r="D203" s="454" t="s">
        <v>234</v>
      </c>
      <c r="E203" s="5" t="s">
        <v>899</v>
      </c>
      <c r="F203" s="460"/>
      <c r="G203" s="459">
        <f>G204</f>
        <v>0</v>
      </c>
      <c r="H203" s="459">
        <f t="shared" si="102"/>
        <v>0</v>
      </c>
      <c r="I203" s="455" t="e">
        <f t="shared" si="73"/>
        <v>#DIV/0!</v>
      </c>
      <c r="J203" s="478"/>
      <c r="K203" s="463"/>
    </row>
    <row r="204" spans="1:12" s="201" customFormat="1" ht="15.75" hidden="1" x14ac:dyDescent="0.25">
      <c r="A204" s="29" t="s">
        <v>135</v>
      </c>
      <c r="B204" s="452">
        <v>902</v>
      </c>
      <c r="C204" s="454" t="s">
        <v>150</v>
      </c>
      <c r="D204" s="454" t="s">
        <v>234</v>
      </c>
      <c r="E204" s="5" t="s">
        <v>899</v>
      </c>
      <c r="F204" s="460" t="s">
        <v>145</v>
      </c>
      <c r="G204" s="459">
        <f>G205</f>
        <v>0</v>
      </c>
      <c r="H204" s="459">
        <f t="shared" si="102"/>
        <v>0</v>
      </c>
      <c r="I204" s="455" t="e">
        <f t="shared" ref="I204:I267" si="103">H204/G204*100</f>
        <v>#DIV/0!</v>
      </c>
      <c r="J204" s="478"/>
      <c r="K204" s="463"/>
    </row>
    <row r="205" spans="1:12" s="201" customFormat="1" ht="47.25" hidden="1" x14ac:dyDescent="0.25">
      <c r="A205" s="29" t="s">
        <v>184</v>
      </c>
      <c r="B205" s="452">
        <v>902</v>
      </c>
      <c r="C205" s="454" t="s">
        <v>150</v>
      </c>
      <c r="D205" s="454" t="s">
        <v>234</v>
      </c>
      <c r="E205" s="5" t="s">
        <v>899</v>
      </c>
      <c r="F205" s="460" t="s">
        <v>160</v>
      </c>
      <c r="G205" s="459">
        <v>0</v>
      </c>
      <c r="H205" s="459">
        <v>0</v>
      </c>
      <c r="I205" s="455" t="e">
        <f t="shared" si="103"/>
        <v>#DIV/0!</v>
      </c>
      <c r="J205" s="478"/>
      <c r="K205" s="463"/>
    </row>
    <row r="206" spans="1:12" ht="15.75" x14ac:dyDescent="0.25">
      <c r="A206" s="456" t="s">
        <v>237</v>
      </c>
      <c r="B206" s="453">
        <v>902</v>
      </c>
      <c r="C206" s="457" t="s">
        <v>150</v>
      </c>
      <c r="D206" s="457" t="s">
        <v>238</v>
      </c>
      <c r="E206" s="457"/>
      <c r="F206" s="457"/>
      <c r="G206" s="455">
        <f>G207+G214</f>
        <v>414.2</v>
      </c>
      <c r="H206" s="455">
        <f t="shared" ref="H206" si="104">H207+H214</f>
        <v>149.22999999999999</v>
      </c>
      <c r="I206" s="455">
        <f t="shared" si="103"/>
        <v>36.02848865282472</v>
      </c>
      <c r="J206" s="478"/>
      <c r="K206" s="463"/>
      <c r="L206" s="201"/>
    </row>
    <row r="207" spans="1:12" ht="31.5" x14ac:dyDescent="0.25">
      <c r="A207" s="456" t="s">
        <v>917</v>
      </c>
      <c r="B207" s="453">
        <v>902</v>
      </c>
      <c r="C207" s="457" t="s">
        <v>150</v>
      </c>
      <c r="D207" s="457" t="s">
        <v>238</v>
      </c>
      <c r="E207" s="457" t="s">
        <v>858</v>
      </c>
      <c r="F207" s="457"/>
      <c r="G207" s="455">
        <f>G208</f>
        <v>264.2</v>
      </c>
      <c r="H207" s="455">
        <f t="shared" ref="H207:H208" si="105">H208</f>
        <v>149.22999999999999</v>
      </c>
      <c r="I207" s="455">
        <f t="shared" si="103"/>
        <v>56.483724451173359</v>
      </c>
      <c r="J207" s="478"/>
      <c r="K207" s="463"/>
      <c r="L207" s="201"/>
    </row>
    <row r="208" spans="1:12" ht="31.5" x14ac:dyDescent="0.25">
      <c r="A208" s="456" t="s">
        <v>885</v>
      </c>
      <c r="B208" s="453">
        <v>902</v>
      </c>
      <c r="C208" s="457" t="s">
        <v>150</v>
      </c>
      <c r="D208" s="457" t="s">
        <v>238</v>
      </c>
      <c r="E208" s="457" t="s">
        <v>863</v>
      </c>
      <c r="F208" s="457"/>
      <c r="G208" s="455">
        <f>G209</f>
        <v>264.2</v>
      </c>
      <c r="H208" s="455">
        <f t="shared" si="105"/>
        <v>149.22999999999999</v>
      </c>
      <c r="I208" s="455">
        <f t="shared" si="103"/>
        <v>56.483724451173359</v>
      </c>
      <c r="J208" s="478"/>
      <c r="K208" s="463"/>
      <c r="L208" s="201"/>
    </row>
    <row r="209" spans="1:12" ht="69.75" customHeight="1" x14ac:dyDescent="0.25">
      <c r="A209" s="31" t="s">
        <v>241</v>
      </c>
      <c r="B209" s="452">
        <v>902</v>
      </c>
      <c r="C209" s="454" t="s">
        <v>150</v>
      </c>
      <c r="D209" s="454" t="s">
        <v>238</v>
      </c>
      <c r="E209" s="454" t="s">
        <v>924</v>
      </c>
      <c r="F209" s="454"/>
      <c r="G209" s="459">
        <f>G210+G212</f>
        <v>264.2</v>
      </c>
      <c r="H209" s="459">
        <f t="shared" ref="H209" si="106">H210+H212</f>
        <v>149.22999999999999</v>
      </c>
      <c r="I209" s="459">
        <f t="shared" si="103"/>
        <v>56.483724451173359</v>
      </c>
      <c r="J209" s="478"/>
      <c r="K209" s="463"/>
      <c r="L209" s="201"/>
    </row>
    <row r="210" spans="1:12" ht="78.75" x14ac:dyDescent="0.25">
      <c r="A210" s="458" t="s">
        <v>127</v>
      </c>
      <c r="B210" s="452">
        <v>902</v>
      </c>
      <c r="C210" s="454" t="s">
        <v>150</v>
      </c>
      <c r="D210" s="454" t="s">
        <v>238</v>
      </c>
      <c r="E210" s="454" t="s">
        <v>924</v>
      </c>
      <c r="F210" s="454" t="s">
        <v>128</v>
      </c>
      <c r="G210" s="459">
        <f>G211</f>
        <v>240.2</v>
      </c>
      <c r="H210" s="459">
        <f t="shared" ref="H210" si="107">H211</f>
        <v>139.44399999999999</v>
      </c>
      <c r="I210" s="459">
        <f t="shared" si="103"/>
        <v>58.053288925895089</v>
      </c>
      <c r="J210" s="478"/>
      <c r="K210" s="463"/>
      <c r="L210" s="201"/>
    </row>
    <row r="211" spans="1:12" ht="31.5" x14ac:dyDescent="0.25">
      <c r="A211" s="458" t="s">
        <v>129</v>
      </c>
      <c r="B211" s="452">
        <v>902</v>
      </c>
      <c r="C211" s="454" t="s">
        <v>150</v>
      </c>
      <c r="D211" s="454" t="s">
        <v>238</v>
      </c>
      <c r="E211" s="454" t="s">
        <v>924</v>
      </c>
      <c r="F211" s="454" t="s">
        <v>130</v>
      </c>
      <c r="G211" s="459">
        <f>187+11.4+41.8</f>
        <v>240.2</v>
      </c>
      <c r="H211" s="459">
        <v>139.44399999999999</v>
      </c>
      <c r="I211" s="459">
        <f t="shared" si="103"/>
        <v>58.053288925895089</v>
      </c>
      <c r="J211" s="478"/>
      <c r="K211" s="463"/>
      <c r="L211" s="201"/>
    </row>
    <row r="212" spans="1:12" ht="31.5" x14ac:dyDescent="0.25">
      <c r="A212" s="458" t="s">
        <v>131</v>
      </c>
      <c r="B212" s="452">
        <v>902</v>
      </c>
      <c r="C212" s="454" t="s">
        <v>150</v>
      </c>
      <c r="D212" s="454" t="s">
        <v>238</v>
      </c>
      <c r="E212" s="454" t="s">
        <v>924</v>
      </c>
      <c r="F212" s="454" t="s">
        <v>132</v>
      </c>
      <c r="G212" s="459">
        <f>G213</f>
        <v>24</v>
      </c>
      <c r="H212" s="459">
        <f t="shared" ref="H212" si="108">H213</f>
        <v>9.7859999999999996</v>
      </c>
      <c r="I212" s="459">
        <f t="shared" si="103"/>
        <v>40.774999999999999</v>
      </c>
      <c r="J212" s="478"/>
      <c r="K212" s="463"/>
      <c r="L212" s="201"/>
    </row>
    <row r="213" spans="1:12" ht="31.5" x14ac:dyDescent="0.25">
      <c r="A213" s="458" t="s">
        <v>133</v>
      </c>
      <c r="B213" s="452">
        <v>902</v>
      </c>
      <c r="C213" s="454" t="s">
        <v>150</v>
      </c>
      <c r="D213" s="454" t="s">
        <v>238</v>
      </c>
      <c r="E213" s="454" t="s">
        <v>924</v>
      </c>
      <c r="F213" s="454" t="s">
        <v>134</v>
      </c>
      <c r="G213" s="459">
        <f>101.8-36-41.8</f>
        <v>24</v>
      </c>
      <c r="H213" s="459">
        <v>9.7859999999999996</v>
      </c>
      <c r="I213" s="459">
        <f t="shared" si="103"/>
        <v>40.774999999999999</v>
      </c>
      <c r="J213" s="478"/>
      <c r="K213" s="463"/>
      <c r="L213" s="201"/>
    </row>
    <row r="214" spans="1:12" s="201" customFormat="1" ht="33.4" customHeight="1" x14ac:dyDescent="0.25">
      <c r="A214" s="456" t="s">
        <v>1339</v>
      </c>
      <c r="B214" s="453">
        <v>902</v>
      </c>
      <c r="C214" s="457" t="s">
        <v>150</v>
      </c>
      <c r="D214" s="457" t="s">
        <v>238</v>
      </c>
      <c r="E214" s="457" t="s">
        <v>156</v>
      </c>
      <c r="F214" s="457"/>
      <c r="G214" s="455">
        <f>G215</f>
        <v>150</v>
      </c>
      <c r="H214" s="455">
        <f t="shared" ref="H214:H217" si="109">H215</f>
        <v>0</v>
      </c>
      <c r="I214" s="455">
        <f t="shared" si="103"/>
        <v>0</v>
      </c>
      <c r="J214" s="478"/>
      <c r="K214" s="463"/>
    </row>
    <row r="215" spans="1:12" s="201" customFormat="1" ht="31.5" x14ac:dyDescent="0.25">
      <c r="A215" s="456" t="s">
        <v>1065</v>
      </c>
      <c r="B215" s="453">
        <v>902</v>
      </c>
      <c r="C215" s="457" t="s">
        <v>150</v>
      </c>
      <c r="D215" s="457" t="s">
        <v>238</v>
      </c>
      <c r="E215" s="457" t="s">
        <v>1062</v>
      </c>
      <c r="F215" s="457"/>
      <c r="G215" s="455">
        <f>G216</f>
        <v>150</v>
      </c>
      <c r="H215" s="455">
        <f t="shared" si="109"/>
        <v>0</v>
      </c>
      <c r="I215" s="455">
        <f t="shared" si="103"/>
        <v>0</v>
      </c>
      <c r="J215" s="478"/>
      <c r="K215" s="463"/>
    </row>
    <row r="216" spans="1:12" s="201" customFormat="1" ht="31.5" x14ac:dyDescent="0.25">
      <c r="A216" s="458" t="s">
        <v>1066</v>
      </c>
      <c r="B216" s="452">
        <v>902</v>
      </c>
      <c r="C216" s="454" t="s">
        <v>150</v>
      </c>
      <c r="D216" s="454" t="s">
        <v>238</v>
      </c>
      <c r="E216" s="454" t="s">
        <v>1063</v>
      </c>
      <c r="F216" s="454"/>
      <c r="G216" s="459">
        <f>G217</f>
        <v>150</v>
      </c>
      <c r="H216" s="459">
        <f t="shared" si="109"/>
        <v>0</v>
      </c>
      <c r="I216" s="459">
        <f t="shared" si="103"/>
        <v>0</v>
      </c>
      <c r="J216" s="478"/>
      <c r="K216" s="463"/>
    </row>
    <row r="217" spans="1:12" s="201" customFormat="1" ht="15.75" x14ac:dyDescent="0.25">
      <c r="A217" s="458" t="s">
        <v>135</v>
      </c>
      <c r="B217" s="452">
        <v>902</v>
      </c>
      <c r="C217" s="454" t="s">
        <v>150</v>
      </c>
      <c r="D217" s="454" t="s">
        <v>238</v>
      </c>
      <c r="E217" s="454" t="s">
        <v>1063</v>
      </c>
      <c r="F217" s="454" t="s">
        <v>145</v>
      </c>
      <c r="G217" s="459">
        <f>G218</f>
        <v>150</v>
      </c>
      <c r="H217" s="459">
        <f t="shared" si="109"/>
        <v>0</v>
      </c>
      <c r="I217" s="459">
        <f t="shared" si="103"/>
        <v>0</v>
      </c>
      <c r="J217" s="478"/>
      <c r="K217" s="463"/>
    </row>
    <row r="218" spans="1:12" s="201" customFormat="1" ht="47.25" x14ac:dyDescent="0.25">
      <c r="A218" s="458" t="s">
        <v>184</v>
      </c>
      <c r="B218" s="452">
        <v>902</v>
      </c>
      <c r="C218" s="454" t="s">
        <v>150</v>
      </c>
      <c r="D218" s="454" t="s">
        <v>238</v>
      </c>
      <c r="E218" s="454" t="s">
        <v>1063</v>
      </c>
      <c r="F218" s="454" t="s">
        <v>160</v>
      </c>
      <c r="G218" s="459">
        <v>150</v>
      </c>
      <c r="H218" s="459">
        <v>0</v>
      </c>
      <c r="I218" s="459">
        <f t="shared" si="103"/>
        <v>0</v>
      </c>
      <c r="J218" s="478"/>
      <c r="K218" s="463"/>
    </row>
    <row r="219" spans="1:12" ht="16.5" customHeight="1" x14ac:dyDescent="0.25">
      <c r="A219" s="456" t="s">
        <v>243</v>
      </c>
      <c r="B219" s="453">
        <v>902</v>
      </c>
      <c r="C219" s="457" t="s">
        <v>244</v>
      </c>
      <c r="D219" s="457"/>
      <c r="E219" s="457"/>
      <c r="F219" s="457"/>
      <c r="G219" s="455">
        <f>G220+G226+G232</f>
        <v>13444.5</v>
      </c>
      <c r="H219" s="455">
        <f t="shared" ref="H219" si="110">H220+H226+H232</f>
        <v>10072.573</v>
      </c>
      <c r="I219" s="455">
        <f t="shared" si="103"/>
        <v>74.91965487745918</v>
      </c>
      <c r="J219" s="478"/>
      <c r="K219" s="463"/>
      <c r="L219" s="201"/>
    </row>
    <row r="220" spans="1:12" ht="15.75" x14ac:dyDescent="0.25">
      <c r="A220" s="456" t="s">
        <v>245</v>
      </c>
      <c r="B220" s="453">
        <v>902</v>
      </c>
      <c r="C220" s="457" t="s">
        <v>244</v>
      </c>
      <c r="D220" s="457" t="s">
        <v>118</v>
      </c>
      <c r="E220" s="457"/>
      <c r="F220" s="457"/>
      <c r="G220" s="455">
        <f>G221</f>
        <v>9815.2999999999993</v>
      </c>
      <c r="H220" s="455">
        <f t="shared" ref="H220:H224" si="111">H221</f>
        <v>8148.8630000000003</v>
      </c>
      <c r="I220" s="455">
        <f t="shared" si="103"/>
        <v>83.022047212005759</v>
      </c>
      <c r="J220" s="478"/>
      <c r="K220" s="463"/>
      <c r="L220" s="201"/>
    </row>
    <row r="221" spans="1:12" ht="15.75" x14ac:dyDescent="0.25">
      <c r="A221" s="456" t="s">
        <v>141</v>
      </c>
      <c r="B221" s="453">
        <v>902</v>
      </c>
      <c r="C221" s="457" t="s">
        <v>244</v>
      </c>
      <c r="D221" s="457" t="s">
        <v>118</v>
      </c>
      <c r="E221" s="457" t="s">
        <v>866</v>
      </c>
      <c r="F221" s="457"/>
      <c r="G221" s="455">
        <f>G222</f>
        <v>9815.2999999999993</v>
      </c>
      <c r="H221" s="455">
        <f t="shared" si="111"/>
        <v>8148.8630000000003</v>
      </c>
      <c r="I221" s="455">
        <f t="shared" si="103"/>
        <v>83.022047212005759</v>
      </c>
      <c r="J221" s="478"/>
      <c r="K221" s="463"/>
      <c r="L221" s="201"/>
    </row>
    <row r="222" spans="1:12" ht="31.5" x14ac:dyDescent="0.25">
      <c r="A222" s="456" t="s">
        <v>870</v>
      </c>
      <c r="B222" s="453">
        <v>902</v>
      </c>
      <c r="C222" s="457" t="s">
        <v>244</v>
      </c>
      <c r="D222" s="457" t="s">
        <v>118</v>
      </c>
      <c r="E222" s="457" t="s">
        <v>865</v>
      </c>
      <c r="F222" s="457"/>
      <c r="G222" s="455">
        <f>G223</f>
        <v>9815.2999999999993</v>
      </c>
      <c r="H222" s="455">
        <f t="shared" si="111"/>
        <v>8148.8630000000003</v>
      </c>
      <c r="I222" s="455">
        <f t="shared" si="103"/>
        <v>83.022047212005759</v>
      </c>
      <c r="J222" s="478"/>
      <c r="K222" s="463"/>
      <c r="L222" s="201"/>
    </row>
    <row r="223" spans="1:12" ht="15.75" x14ac:dyDescent="0.25">
      <c r="A223" s="458" t="s">
        <v>246</v>
      </c>
      <c r="B223" s="452">
        <v>902</v>
      </c>
      <c r="C223" s="454" t="s">
        <v>244</v>
      </c>
      <c r="D223" s="454" t="s">
        <v>118</v>
      </c>
      <c r="E223" s="454" t="s">
        <v>881</v>
      </c>
      <c r="F223" s="454"/>
      <c r="G223" s="459">
        <f>G224</f>
        <v>9815.2999999999993</v>
      </c>
      <c r="H223" s="459">
        <f t="shared" si="111"/>
        <v>8148.8630000000003</v>
      </c>
      <c r="I223" s="459">
        <f t="shared" si="103"/>
        <v>83.022047212005759</v>
      </c>
      <c r="J223" s="478"/>
      <c r="K223" s="463"/>
      <c r="L223" s="201"/>
    </row>
    <row r="224" spans="1:12" ht="15.75" x14ac:dyDescent="0.25">
      <c r="A224" s="458" t="s">
        <v>248</v>
      </c>
      <c r="B224" s="452">
        <v>902</v>
      </c>
      <c r="C224" s="454" t="s">
        <v>244</v>
      </c>
      <c r="D224" s="454" t="s">
        <v>118</v>
      </c>
      <c r="E224" s="454" t="s">
        <v>881</v>
      </c>
      <c r="F224" s="454" t="s">
        <v>249</v>
      </c>
      <c r="G224" s="459">
        <f>G225</f>
        <v>9815.2999999999993</v>
      </c>
      <c r="H224" s="459">
        <f t="shared" si="111"/>
        <v>8148.8630000000003</v>
      </c>
      <c r="I224" s="459">
        <f t="shared" si="103"/>
        <v>83.022047212005759</v>
      </c>
      <c r="J224" s="478"/>
      <c r="K224" s="463"/>
      <c r="L224" s="201"/>
    </row>
    <row r="225" spans="1:12" ht="15.75" x14ac:dyDescent="0.25">
      <c r="A225" s="458" t="s">
        <v>348</v>
      </c>
      <c r="B225" s="452">
        <v>902</v>
      </c>
      <c r="C225" s="454" t="s">
        <v>244</v>
      </c>
      <c r="D225" s="454" t="s">
        <v>118</v>
      </c>
      <c r="E225" s="454" t="s">
        <v>881</v>
      </c>
      <c r="F225" s="454" t="s">
        <v>349</v>
      </c>
      <c r="G225" s="27">
        <v>9815.2999999999993</v>
      </c>
      <c r="H225" s="27">
        <v>8148.8630000000003</v>
      </c>
      <c r="I225" s="459">
        <f t="shared" si="103"/>
        <v>83.022047212005759</v>
      </c>
      <c r="J225" s="478"/>
      <c r="K225" s="463"/>
      <c r="L225" s="201"/>
    </row>
    <row r="226" spans="1:12" ht="15.75" x14ac:dyDescent="0.25">
      <c r="A226" s="456" t="s">
        <v>252</v>
      </c>
      <c r="B226" s="453">
        <v>902</v>
      </c>
      <c r="C226" s="457" t="s">
        <v>244</v>
      </c>
      <c r="D226" s="457" t="s">
        <v>215</v>
      </c>
      <c r="E226" s="454"/>
      <c r="F226" s="454"/>
      <c r="G226" s="455">
        <f>G227</f>
        <v>10</v>
      </c>
      <c r="H226" s="455">
        <f t="shared" ref="H226:H230" si="112">H227</f>
        <v>0</v>
      </c>
      <c r="I226" s="455">
        <f t="shared" si="103"/>
        <v>0</v>
      </c>
      <c r="J226" s="478"/>
      <c r="K226" s="463"/>
      <c r="L226" s="201"/>
    </row>
    <row r="227" spans="1:12" ht="47.25" x14ac:dyDescent="0.25">
      <c r="A227" s="456" t="s">
        <v>1349</v>
      </c>
      <c r="B227" s="453">
        <v>902</v>
      </c>
      <c r="C227" s="457" t="s">
        <v>244</v>
      </c>
      <c r="D227" s="457" t="s">
        <v>215</v>
      </c>
      <c r="E227" s="457" t="s">
        <v>254</v>
      </c>
      <c r="F227" s="457"/>
      <c r="G227" s="455">
        <f>G228</f>
        <v>10</v>
      </c>
      <c r="H227" s="455">
        <f t="shared" si="112"/>
        <v>0</v>
      </c>
      <c r="I227" s="455">
        <f t="shared" si="103"/>
        <v>0</v>
      </c>
      <c r="J227" s="478"/>
      <c r="K227" s="463"/>
      <c r="L227" s="201"/>
    </row>
    <row r="228" spans="1:12" s="201" customFormat="1" ht="31.5" x14ac:dyDescent="0.25">
      <c r="A228" s="34" t="s">
        <v>884</v>
      </c>
      <c r="B228" s="453">
        <v>902</v>
      </c>
      <c r="C228" s="457" t="s">
        <v>244</v>
      </c>
      <c r="D228" s="457" t="s">
        <v>215</v>
      </c>
      <c r="E228" s="457" t="s">
        <v>882</v>
      </c>
      <c r="F228" s="457"/>
      <c r="G228" s="455">
        <f>G229</f>
        <v>10</v>
      </c>
      <c r="H228" s="455">
        <f t="shared" si="112"/>
        <v>0</v>
      </c>
      <c r="I228" s="455">
        <f t="shared" si="103"/>
        <v>0</v>
      </c>
      <c r="J228" s="478"/>
      <c r="K228" s="463"/>
    </row>
    <row r="229" spans="1:12" ht="28.5" customHeight="1" x14ac:dyDescent="0.25">
      <c r="A229" s="458" t="s">
        <v>1191</v>
      </c>
      <c r="B229" s="452">
        <v>902</v>
      </c>
      <c r="C229" s="454" t="s">
        <v>244</v>
      </c>
      <c r="D229" s="454" t="s">
        <v>215</v>
      </c>
      <c r="E229" s="454" t="s">
        <v>1189</v>
      </c>
      <c r="F229" s="454"/>
      <c r="G229" s="459">
        <f>G230</f>
        <v>10</v>
      </c>
      <c r="H229" s="459">
        <f t="shared" si="112"/>
        <v>0</v>
      </c>
      <c r="I229" s="459">
        <f t="shared" si="103"/>
        <v>0</v>
      </c>
      <c r="J229" s="478"/>
      <c r="K229" s="463"/>
      <c r="L229" s="201"/>
    </row>
    <row r="230" spans="1:12" ht="19.5" customHeight="1" x14ac:dyDescent="0.25">
      <c r="A230" s="458" t="s">
        <v>248</v>
      </c>
      <c r="B230" s="452">
        <v>902</v>
      </c>
      <c r="C230" s="454" t="s">
        <v>244</v>
      </c>
      <c r="D230" s="454" t="s">
        <v>215</v>
      </c>
      <c r="E230" s="454" t="s">
        <v>1189</v>
      </c>
      <c r="F230" s="454" t="s">
        <v>249</v>
      </c>
      <c r="G230" s="459">
        <f>G231</f>
        <v>10</v>
      </c>
      <c r="H230" s="459">
        <f t="shared" si="112"/>
        <v>0</v>
      </c>
      <c r="I230" s="459">
        <f t="shared" si="103"/>
        <v>0</v>
      </c>
      <c r="J230" s="478"/>
      <c r="K230" s="463"/>
      <c r="L230" s="201"/>
    </row>
    <row r="231" spans="1:12" ht="31.5" x14ac:dyDescent="0.25">
      <c r="A231" s="458" t="s">
        <v>250</v>
      </c>
      <c r="B231" s="452">
        <v>902</v>
      </c>
      <c r="C231" s="454" t="s">
        <v>244</v>
      </c>
      <c r="D231" s="454" t="s">
        <v>215</v>
      </c>
      <c r="E231" s="454" t="s">
        <v>1189</v>
      </c>
      <c r="F231" s="454" t="s">
        <v>251</v>
      </c>
      <c r="G231" s="459">
        <v>10</v>
      </c>
      <c r="H231" s="459">
        <v>0</v>
      </c>
      <c r="I231" s="459">
        <f t="shared" si="103"/>
        <v>0</v>
      </c>
      <c r="J231" s="478"/>
      <c r="K231" s="463"/>
      <c r="L231" s="201"/>
    </row>
    <row r="232" spans="1:12" ht="15.75" x14ac:dyDescent="0.25">
      <c r="A232" s="456" t="s">
        <v>258</v>
      </c>
      <c r="B232" s="453">
        <v>902</v>
      </c>
      <c r="C232" s="457" t="s">
        <v>244</v>
      </c>
      <c r="D232" s="457" t="s">
        <v>120</v>
      </c>
      <c r="E232" s="457"/>
      <c r="F232" s="457"/>
      <c r="G232" s="455">
        <f>G233</f>
        <v>3619.2000000000007</v>
      </c>
      <c r="H232" s="455">
        <f t="shared" ref="H232:H234" si="113">H233</f>
        <v>1923.71</v>
      </c>
      <c r="I232" s="455">
        <f t="shared" si="103"/>
        <v>53.152906719717052</v>
      </c>
      <c r="J232" s="478"/>
      <c r="K232" s="463"/>
      <c r="L232" s="201"/>
    </row>
    <row r="233" spans="1:12" ht="31.5" x14ac:dyDescent="0.25">
      <c r="A233" s="456" t="s">
        <v>917</v>
      </c>
      <c r="B233" s="453">
        <v>902</v>
      </c>
      <c r="C233" s="457" t="s">
        <v>244</v>
      </c>
      <c r="D233" s="457" t="s">
        <v>120</v>
      </c>
      <c r="E233" s="457" t="s">
        <v>858</v>
      </c>
      <c r="F233" s="457"/>
      <c r="G233" s="455">
        <f>G234</f>
        <v>3619.2000000000007</v>
      </c>
      <c r="H233" s="455">
        <f t="shared" si="113"/>
        <v>1923.71</v>
      </c>
      <c r="I233" s="455">
        <f t="shared" si="103"/>
        <v>53.152906719717052</v>
      </c>
      <c r="J233" s="478"/>
      <c r="K233" s="463"/>
      <c r="L233" s="201"/>
    </row>
    <row r="234" spans="1:12" ht="31.5" x14ac:dyDescent="0.25">
      <c r="A234" s="456" t="s">
        <v>885</v>
      </c>
      <c r="B234" s="453">
        <v>902</v>
      </c>
      <c r="C234" s="457" t="s">
        <v>244</v>
      </c>
      <c r="D234" s="457" t="s">
        <v>120</v>
      </c>
      <c r="E234" s="457" t="s">
        <v>863</v>
      </c>
      <c r="F234" s="457"/>
      <c r="G234" s="455">
        <f>G235</f>
        <v>3619.2000000000007</v>
      </c>
      <c r="H234" s="455">
        <f t="shared" si="113"/>
        <v>1923.71</v>
      </c>
      <c r="I234" s="455">
        <f t="shared" si="103"/>
        <v>53.152906719717052</v>
      </c>
      <c r="J234" s="478"/>
      <c r="K234" s="463"/>
      <c r="L234" s="201"/>
    </row>
    <row r="235" spans="1:12" ht="47.25" customHeight="1" x14ac:dyDescent="0.25">
      <c r="A235" s="31" t="s">
        <v>259</v>
      </c>
      <c r="B235" s="452">
        <v>902</v>
      </c>
      <c r="C235" s="454" t="s">
        <v>244</v>
      </c>
      <c r="D235" s="454" t="s">
        <v>120</v>
      </c>
      <c r="E235" s="454" t="s">
        <v>925</v>
      </c>
      <c r="F235" s="454"/>
      <c r="G235" s="459">
        <f>G236+G238</f>
        <v>3619.2000000000007</v>
      </c>
      <c r="H235" s="459">
        <f t="shared" ref="H235" si="114">H236+H238</f>
        <v>1923.71</v>
      </c>
      <c r="I235" s="459">
        <f t="shared" si="103"/>
        <v>53.152906719717052</v>
      </c>
      <c r="J235" s="478"/>
      <c r="K235" s="463"/>
      <c r="L235" s="201"/>
    </row>
    <row r="236" spans="1:12" ht="78.75" x14ac:dyDescent="0.25">
      <c r="A236" s="458" t="s">
        <v>127</v>
      </c>
      <c r="B236" s="452">
        <v>902</v>
      </c>
      <c r="C236" s="454" t="s">
        <v>244</v>
      </c>
      <c r="D236" s="454" t="s">
        <v>120</v>
      </c>
      <c r="E236" s="454" t="s">
        <v>925</v>
      </c>
      <c r="F236" s="454" t="s">
        <v>128</v>
      </c>
      <c r="G236" s="459">
        <f>G237</f>
        <v>3313.0000000000005</v>
      </c>
      <c r="H236" s="459">
        <f t="shared" ref="H236" si="115">H237</f>
        <v>1843.971</v>
      </c>
      <c r="I236" s="459">
        <f t="shared" si="103"/>
        <v>55.658647751282821</v>
      </c>
      <c r="J236" s="478"/>
      <c r="K236" s="463"/>
      <c r="L236" s="201"/>
    </row>
    <row r="237" spans="1:12" ht="31.5" x14ac:dyDescent="0.25">
      <c r="A237" s="458" t="s">
        <v>129</v>
      </c>
      <c r="B237" s="452">
        <v>902</v>
      </c>
      <c r="C237" s="454" t="s">
        <v>244</v>
      </c>
      <c r="D237" s="454" t="s">
        <v>120</v>
      </c>
      <c r="E237" s="454" t="s">
        <v>925</v>
      </c>
      <c r="F237" s="454" t="s">
        <v>130</v>
      </c>
      <c r="G237" s="27">
        <f>3353.3-132.5-2.2+94.4</f>
        <v>3313.0000000000005</v>
      </c>
      <c r="H237" s="27">
        <v>1843.971</v>
      </c>
      <c r="I237" s="459">
        <f t="shared" si="103"/>
        <v>55.658647751282821</v>
      </c>
      <c r="J237" s="478"/>
      <c r="K237" s="463"/>
      <c r="L237" s="201"/>
    </row>
    <row r="238" spans="1:12" ht="31.5" x14ac:dyDescent="0.25">
      <c r="A238" s="458" t="s">
        <v>131</v>
      </c>
      <c r="B238" s="452">
        <v>902</v>
      </c>
      <c r="C238" s="454" t="s">
        <v>244</v>
      </c>
      <c r="D238" s="454" t="s">
        <v>120</v>
      </c>
      <c r="E238" s="454" t="s">
        <v>925</v>
      </c>
      <c r="F238" s="454" t="s">
        <v>132</v>
      </c>
      <c r="G238" s="459">
        <f>G239</f>
        <v>306.20000000000005</v>
      </c>
      <c r="H238" s="459">
        <f t="shared" ref="H238" si="116">H239</f>
        <v>79.739000000000004</v>
      </c>
      <c r="I238" s="459">
        <f t="shared" si="103"/>
        <v>26.041476159372955</v>
      </c>
      <c r="J238" s="478"/>
      <c r="K238" s="463"/>
      <c r="L238" s="201"/>
    </row>
    <row r="239" spans="1:12" ht="31.5" x14ac:dyDescent="0.25">
      <c r="A239" s="458" t="s">
        <v>133</v>
      </c>
      <c r="B239" s="452">
        <v>902</v>
      </c>
      <c r="C239" s="454" t="s">
        <v>244</v>
      </c>
      <c r="D239" s="454" t="s">
        <v>120</v>
      </c>
      <c r="E239" s="454" t="s">
        <v>925</v>
      </c>
      <c r="F239" s="454" t="s">
        <v>134</v>
      </c>
      <c r="G239" s="27">
        <f>268.1+132.5-94.4</f>
        <v>306.20000000000005</v>
      </c>
      <c r="H239" s="27">
        <v>79.739000000000004</v>
      </c>
      <c r="I239" s="459">
        <f t="shared" si="103"/>
        <v>26.041476159372955</v>
      </c>
      <c r="J239" s="478"/>
      <c r="K239" s="463"/>
      <c r="L239" s="201"/>
    </row>
    <row r="240" spans="1:12" ht="48.75" customHeight="1" x14ac:dyDescent="0.25">
      <c r="A240" s="453" t="s">
        <v>261</v>
      </c>
      <c r="B240" s="453">
        <v>903</v>
      </c>
      <c r="C240" s="454"/>
      <c r="D240" s="454"/>
      <c r="E240" s="454"/>
      <c r="F240" s="454"/>
      <c r="G240" s="455">
        <f>G294+G366+G465+G241+G274+G490</f>
        <v>109646.62</v>
      </c>
      <c r="H240" s="455">
        <f>H294+H366+H465+H241+H274+H490</f>
        <v>72677.827410000013</v>
      </c>
      <c r="I240" s="455">
        <f t="shared" si="103"/>
        <v>66.283691562950153</v>
      </c>
      <c r="J240" s="478"/>
      <c r="K240" s="463"/>
      <c r="L240" s="201"/>
    </row>
    <row r="241" spans="1:12" ht="15.75" x14ac:dyDescent="0.25">
      <c r="A241" s="456" t="s">
        <v>117</v>
      </c>
      <c r="B241" s="453">
        <v>903</v>
      </c>
      <c r="C241" s="457" t="s">
        <v>118</v>
      </c>
      <c r="D241" s="454"/>
      <c r="E241" s="454"/>
      <c r="F241" s="454"/>
      <c r="G241" s="455">
        <f>G242</f>
        <v>663.1</v>
      </c>
      <c r="H241" s="455">
        <f t="shared" ref="H241" si="117">H242</f>
        <v>622.17200000000003</v>
      </c>
      <c r="I241" s="455">
        <f t="shared" si="103"/>
        <v>93.827778615593431</v>
      </c>
      <c r="J241" s="478"/>
      <c r="K241" s="463"/>
      <c r="L241" s="201"/>
    </row>
    <row r="242" spans="1:12" ht="15.75" x14ac:dyDescent="0.25">
      <c r="A242" s="456" t="s">
        <v>139</v>
      </c>
      <c r="B242" s="453">
        <v>903</v>
      </c>
      <c r="C242" s="457" t="s">
        <v>118</v>
      </c>
      <c r="D242" s="457" t="s">
        <v>140</v>
      </c>
      <c r="E242" s="454"/>
      <c r="F242" s="454"/>
      <c r="G242" s="455">
        <f>G243+G252+G269</f>
        <v>663.1</v>
      </c>
      <c r="H242" s="455">
        <f t="shared" ref="H242" si="118">H243+H252+H269</f>
        <v>622.17200000000003</v>
      </c>
      <c r="I242" s="455">
        <f t="shared" si="103"/>
        <v>93.827778615593431</v>
      </c>
      <c r="J242" s="478"/>
      <c r="K242" s="463"/>
      <c r="L242" s="201"/>
    </row>
    <row r="243" spans="1:12" ht="47.25" x14ac:dyDescent="0.25">
      <c r="A243" s="456" t="s">
        <v>1350</v>
      </c>
      <c r="B243" s="453">
        <v>903</v>
      </c>
      <c r="C243" s="8" t="s">
        <v>118</v>
      </c>
      <c r="D243" s="8" t="s">
        <v>140</v>
      </c>
      <c r="E243" s="193" t="s">
        <v>344</v>
      </c>
      <c r="F243" s="8"/>
      <c r="G243" s="455">
        <f>G244</f>
        <v>637.9</v>
      </c>
      <c r="H243" s="455">
        <f t="shared" ref="H243:H244" si="119">H244</f>
        <v>616.995</v>
      </c>
      <c r="I243" s="455">
        <f t="shared" si="103"/>
        <v>96.722840570622353</v>
      </c>
      <c r="J243" s="478"/>
      <c r="K243" s="463"/>
      <c r="L243" s="201"/>
    </row>
    <row r="244" spans="1:12" ht="73.5" customHeight="1" x14ac:dyDescent="0.25">
      <c r="A244" s="462" t="s">
        <v>1351</v>
      </c>
      <c r="B244" s="453">
        <v>903</v>
      </c>
      <c r="C244" s="7" t="s">
        <v>118</v>
      </c>
      <c r="D244" s="7" t="s">
        <v>140</v>
      </c>
      <c r="E244" s="7" t="s">
        <v>359</v>
      </c>
      <c r="F244" s="7"/>
      <c r="G244" s="455">
        <f>G245</f>
        <v>637.9</v>
      </c>
      <c r="H244" s="455">
        <f t="shared" si="119"/>
        <v>616.995</v>
      </c>
      <c r="I244" s="455">
        <f t="shared" si="103"/>
        <v>96.722840570622353</v>
      </c>
      <c r="J244" s="478"/>
      <c r="K244" s="463"/>
      <c r="L244" s="201"/>
    </row>
    <row r="245" spans="1:12" s="201" customFormat="1" ht="47.25" x14ac:dyDescent="0.25">
      <c r="A245" s="245" t="s">
        <v>1045</v>
      </c>
      <c r="B245" s="453">
        <v>903</v>
      </c>
      <c r="C245" s="7" t="s">
        <v>118</v>
      </c>
      <c r="D245" s="7" t="s">
        <v>140</v>
      </c>
      <c r="E245" s="7" t="s">
        <v>909</v>
      </c>
      <c r="F245" s="7"/>
      <c r="G245" s="455">
        <f>G246+G249</f>
        <v>637.9</v>
      </c>
      <c r="H245" s="455">
        <f t="shared" ref="H245" si="120">H246+H249</f>
        <v>616.995</v>
      </c>
      <c r="I245" s="455">
        <f t="shared" si="103"/>
        <v>96.722840570622353</v>
      </c>
      <c r="J245" s="478"/>
      <c r="K245" s="463"/>
    </row>
    <row r="246" spans="1:12" ht="31.5" x14ac:dyDescent="0.25">
      <c r="A246" s="98" t="s">
        <v>1096</v>
      </c>
      <c r="B246" s="452">
        <v>903</v>
      </c>
      <c r="C246" s="461" t="s">
        <v>118</v>
      </c>
      <c r="D246" s="461" t="s">
        <v>140</v>
      </c>
      <c r="E246" s="461" t="s">
        <v>1199</v>
      </c>
      <c r="F246" s="461"/>
      <c r="G246" s="459">
        <f>G247</f>
        <v>447.29999999999995</v>
      </c>
      <c r="H246" s="459">
        <f t="shared" ref="H246:H247" si="121">H247</f>
        <v>426.39499999999998</v>
      </c>
      <c r="I246" s="459">
        <f t="shared" si="103"/>
        <v>95.326402861614127</v>
      </c>
      <c r="J246" s="478"/>
      <c r="K246" s="463"/>
      <c r="L246" s="201"/>
    </row>
    <row r="247" spans="1:12" ht="31.5" x14ac:dyDescent="0.25">
      <c r="A247" s="29" t="s">
        <v>131</v>
      </c>
      <c r="B247" s="452">
        <v>903</v>
      </c>
      <c r="C247" s="461" t="s">
        <v>118</v>
      </c>
      <c r="D247" s="461" t="s">
        <v>140</v>
      </c>
      <c r="E247" s="461" t="s">
        <v>1199</v>
      </c>
      <c r="F247" s="461" t="s">
        <v>132</v>
      </c>
      <c r="G247" s="459">
        <f>G248</f>
        <v>447.29999999999995</v>
      </c>
      <c r="H247" s="459">
        <f t="shared" si="121"/>
        <v>426.39499999999998</v>
      </c>
      <c r="I247" s="459">
        <f t="shared" si="103"/>
        <v>95.326402861614127</v>
      </c>
      <c r="J247" s="478"/>
      <c r="K247" s="463"/>
      <c r="L247" s="201"/>
    </row>
    <row r="248" spans="1:12" ht="31.5" x14ac:dyDescent="0.25">
      <c r="A248" s="29" t="s">
        <v>133</v>
      </c>
      <c r="B248" s="452">
        <v>903</v>
      </c>
      <c r="C248" s="461" t="s">
        <v>118</v>
      </c>
      <c r="D248" s="461" t="s">
        <v>140</v>
      </c>
      <c r="E248" s="461" t="s">
        <v>1199</v>
      </c>
      <c r="F248" s="461" t="s">
        <v>134</v>
      </c>
      <c r="G248" s="459">
        <f>200+238.4+8.9</f>
        <v>447.29999999999995</v>
      </c>
      <c r="H248" s="459">
        <v>426.39499999999998</v>
      </c>
      <c r="I248" s="459">
        <f t="shared" si="103"/>
        <v>95.326402861614127</v>
      </c>
      <c r="J248" s="478"/>
      <c r="K248" s="463"/>
      <c r="L248" s="201"/>
    </row>
    <row r="249" spans="1:12" s="201" customFormat="1" ht="31.5" x14ac:dyDescent="0.25">
      <c r="A249" s="45" t="s">
        <v>1649</v>
      </c>
      <c r="B249" s="452">
        <v>903</v>
      </c>
      <c r="C249" s="461" t="s">
        <v>118</v>
      </c>
      <c r="D249" s="461" t="s">
        <v>140</v>
      </c>
      <c r="E249" s="461" t="s">
        <v>1693</v>
      </c>
      <c r="F249" s="461"/>
      <c r="G249" s="459">
        <f>G250</f>
        <v>190.6</v>
      </c>
      <c r="H249" s="459">
        <f t="shared" ref="H249:H250" si="122">H250</f>
        <v>190.6</v>
      </c>
      <c r="I249" s="459">
        <f t="shared" si="103"/>
        <v>100</v>
      </c>
      <c r="J249" s="478"/>
      <c r="K249" s="463"/>
    </row>
    <row r="250" spans="1:12" s="201" customFormat="1" ht="31.5" x14ac:dyDescent="0.25">
      <c r="A250" s="29" t="s">
        <v>131</v>
      </c>
      <c r="B250" s="452">
        <v>903</v>
      </c>
      <c r="C250" s="461" t="s">
        <v>118</v>
      </c>
      <c r="D250" s="461" t="s">
        <v>140</v>
      </c>
      <c r="E250" s="461" t="s">
        <v>1693</v>
      </c>
      <c r="F250" s="461" t="s">
        <v>132</v>
      </c>
      <c r="G250" s="459">
        <f>G251</f>
        <v>190.6</v>
      </c>
      <c r="H250" s="459">
        <f t="shared" si="122"/>
        <v>190.6</v>
      </c>
      <c r="I250" s="459">
        <f t="shared" si="103"/>
        <v>100</v>
      </c>
      <c r="J250" s="478"/>
      <c r="K250" s="463"/>
    </row>
    <row r="251" spans="1:12" s="201" customFormat="1" ht="31.5" x14ac:dyDescent="0.25">
      <c r="A251" s="29" t="s">
        <v>133</v>
      </c>
      <c r="B251" s="452">
        <v>903</v>
      </c>
      <c r="C251" s="461" t="s">
        <v>118</v>
      </c>
      <c r="D251" s="461" t="s">
        <v>140</v>
      </c>
      <c r="E251" s="461" t="s">
        <v>1693</v>
      </c>
      <c r="F251" s="461" t="s">
        <v>134</v>
      </c>
      <c r="G251" s="459">
        <f>190.6</f>
        <v>190.6</v>
      </c>
      <c r="H251" s="459">
        <v>190.6</v>
      </c>
      <c r="I251" s="459">
        <f t="shared" si="103"/>
        <v>100</v>
      </c>
      <c r="J251" s="478"/>
      <c r="K251" s="463"/>
    </row>
    <row r="252" spans="1:12" ht="31.5" x14ac:dyDescent="0.25">
      <c r="A252" s="456" t="s">
        <v>1352</v>
      </c>
      <c r="B252" s="453">
        <v>903</v>
      </c>
      <c r="C252" s="457" t="s">
        <v>118</v>
      </c>
      <c r="D252" s="457" t="s">
        <v>140</v>
      </c>
      <c r="E252" s="457" t="s">
        <v>335</v>
      </c>
      <c r="F252" s="457"/>
      <c r="G252" s="455">
        <f>G253</f>
        <v>20</v>
      </c>
      <c r="H252" s="455">
        <f t="shared" ref="H252" si="123">H253</f>
        <v>0</v>
      </c>
      <c r="I252" s="455">
        <f t="shared" si="103"/>
        <v>0</v>
      </c>
      <c r="J252" s="478"/>
      <c r="K252" s="463"/>
      <c r="L252" s="201"/>
    </row>
    <row r="253" spans="1:12" s="201" customFormat="1" ht="31.5" x14ac:dyDescent="0.25">
      <c r="A253" s="456" t="s">
        <v>1050</v>
      </c>
      <c r="B253" s="453">
        <v>903</v>
      </c>
      <c r="C253" s="457" t="s">
        <v>118</v>
      </c>
      <c r="D253" s="457" t="s">
        <v>140</v>
      </c>
      <c r="E253" s="457" t="s">
        <v>1051</v>
      </c>
      <c r="F253" s="457"/>
      <c r="G253" s="455">
        <f>G254+G257+G260+G263+G266</f>
        <v>20</v>
      </c>
      <c r="H253" s="455">
        <f t="shared" ref="H253" si="124">H254+H257+H260+H263+H266</f>
        <v>0</v>
      </c>
      <c r="I253" s="455">
        <f t="shared" si="103"/>
        <v>0</v>
      </c>
      <c r="J253" s="478"/>
      <c r="K253" s="463"/>
    </row>
    <row r="254" spans="1:12" ht="31.5" hidden="1" x14ac:dyDescent="0.25">
      <c r="A254" s="97" t="s">
        <v>336</v>
      </c>
      <c r="B254" s="452">
        <v>903</v>
      </c>
      <c r="C254" s="454" t="s">
        <v>118</v>
      </c>
      <c r="D254" s="454" t="s">
        <v>140</v>
      </c>
      <c r="E254" s="454" t="s">
        <v>1052</v>
      </c>
      <c r="F254" s="454"/>
      <c r="G254" s="459">
        <f>G255</f>
        <v>0</v>
      </c>
      <c r="H254" s="459">
        <f t="shared" ref="H254:H255" si="125">H255</f>
        <v>0</v>
      </c>
      <c r="I254" s="455" t="e">
        <f t="shared" si="103"/>
        <v>#DIV/0!</v>
      </c>
      <c r="J254" s="478"/>
      <c r="K254" s="463"/>
      <c r="L254" s="201"/>
    </row>
    <row r="255" spans="1:12" ht="31.5" hidden="1" x14ac:dyDescent="0.25">
      <c r="A255" s="458" t="s">
        <v>131</v>
      </c>
      <c r="B255" s="452">
        <v>903</v>
      </c>
      <c r="C255" s="454" t="s">
        <v>118</v>
      </c>
      <c r="D255" s="454" t="s">
        <v>140</v>
      </c>
      <c r="E255" s="454" t="s">
        <v>1052</v>
      </c>
      <c r="F255" s="454" t="s">
        <v>132</v>
      </c>
      <c r="G255" s="459">
        <f>G256</f>
        <v>0</v>
      </c>
      <c r="H255" s="459">
        <f t="shared" si="125"/>
        <v>0</v>
      </c>
      <c r="I255" s="455" t="e">
        <f t="shared" si="103"/>
        <v>#DIV/0!</v>
      </c>
      <c r="J255" s="478"/>
      <c r="K255" s="463"/>
      <c r="L255" s="201"/>
    </row>
    <row r="256" spans="1:12" ht="31.5" hidden="1" x14ac:dyDescent="0.25">
      <c r="A256" s="458" t="s">
        <v>133</v>
      </c>
      <c r="B256" s="452">
        <v>903</v>
      </c>
      <c r="C256" s="454" t="s">
        <v>118</v>
      </c>
      <c r="D256" s="454" t="s">
        <v>140</v>
      </c>
      <c r="E256" s="454" t="s">
        <v>1052</v>
      </c>
      <c r="F256" s="454" t="s">
        <v>134</v>
      </c>
      <c r="G256" s="459">
        <v>0</v>
      </c>
      <c r="H256" s="459">
        <v>0</v>
      </c>
      <c r="I256" s="455" t="e">
        <f t="shared" si="103"/>
        <v>#DIV/0!</v>
      </c>
      <c r="J256" s="478"/>
      <c r="K256" s="463"/>
      <c r="L256" s="201"/>
    </row>
    <row r="257" spans="1:12" ht="15.75" x14ac:dyDescent="0.25">
      <c r="A257" s="458" t="s">
        <v>338</v>
      </c>
      <c r="B257" s="452">
        <v>903</v>
      </c>
      <c r="C257" s="454" t="s">
        <v>118</v>
      </c>
      <c r="D257" s="454" t="s">
        <v>140</v>
      </c>
      <c r="E257" s="454" t="s">
        <v>1053</v>
      </c>
      <c r="F257" s="454"/>
      <c r="G257" s="459">
        <f>G258</f>
        <v>20</v>
      </c>
      <c r="H257" s="459">
        <f t="shared" ref="H257:H258" si="126">H258</f>
        <v>0</v>
      </c>
      <c r="I257" s="459">
        <f t="shared" si="103"/>
        <v>0</v>
      </c>
      <c r="J257" s="478"/>
      <c r="K257" s="463"/>
      <c r="L257" s="201"/>
    </row>
    <row r="258" spans="1:12" ht="31.5" x14ac:dyDescent="0.25">
      <c r="A258" s="458" t="s">
        <v>131</v>
      </c>
      <c r="B258" s="452">
        <v>903</v>
      </c>
      <c r="C258" s="454" t="s">
        <v>118</v>
      </c>
      <c r="D258" s="454" t="s">
        <v>140</v>
      </c>
      <c r="E258" s="454" t="s">
        <v>1053</v>
      </c>
      <c r="F258" s="454" t="s">
        <v>132</v>
      </c>
      <c r="G258" s="459">
        <f>G259</f>
        <v>20</v>
      </c>
      <c r="H258" s="459">
        <f t="shared" si="126"/>
        <v>0</v>
      </c>
      <c r="I258" s="459">
        <f t="shared" si="103"/>
        <v>0</v>
      </c>
      <c r="J258" s="478"/>
      <c r="K258" s="463"/>
      <c r="L258" s="201"/>
    </row>
    <row r="259" spans="1:12" ht="31.5" x14ac:dyDescent="0.25">
      <c r="A259" s="458" t="s">
        <v>133</v>
      </c>
      <c r="B259" s="452">
        <v>903</v>
      </c>
      <c r="C259" s="454" t="s">
        <v>118</v>
      </c>
      <c r="D259" s="454" t="s">
        <v>140</v>
      </c>
      <c r="E259" s="454" t="s">
        <v>1053</v>
      </c>
      <c r="F259" s="454" t="s">
        <v>134</v>
      </c>
      <c r="G259" s="459">
        <v>20</v>
      </c>
      <c r="H259" s="459">
        <v>0</v>
      </c>
      <c r="I259" s="459">
        <f t="shared" si="103"/>
        <v>0</v>
      </c>
      <c r="J259" s="478"/>
      <c r="K259" s="463"/>
      <c r="L259" s="201"/>
    </row>
    <row r="260" spans="1:12" ht="36.75" hidden="1" customHeight="1" x14ac:dyDescent="0.25">
      <c r="A260" s="31" t="s">
        <v>771</v>
      </c>
      <c r="B260" s="452">
        <v>903</v>
      </c>
      <c r="C260" s="454" t="s">
        <v>118</v>
      </c>
      <c r="D260" s="454" t="s">
        <v>140</v>
      </c>
      <c r="E260" s="454" t="s">
        <v>1054</v>
      </c>
      <c r="F260" s="454"/>
      <c r="G260" s="459">
        <f>G261</f>
        <v>0</v>
      </c>
      <c r="H260" s="459">
        <f t="shared" ref="H260:H261" si="127">H261</f>
        <v>0</v>
      </c>
      <c r="I260" s="455" t="e">
        <f t="shared" si="103"/>
        <v>#DIV/0!</v>
      </c>
      <c r="J260" s="478"/>
      <c r="K260" s="463"/>
      <c r="L260" s="201"/>
    </row>
    <row r="261" spans="1:12" ht="31.5" hidden="1" x14ac:dyDescent="0.25">
      <c r="A261" s="458" t="s">
        <v>131</v>
      </c>
      <c r="B261" s="452">
        <v>903</v>
      </c>
      <c r="C261" s="454" t="s">
        <v>118</v>
      </c>
      <c r="D261" s="454" t="s">
        <v>140</v>
      </c>
      <c r="E261" s="454" t="s">
        <v>1054</v>
      </c>
      <c r="F261" s="454" t="s">
        <v>132</v>
      </c>
      <c r="G261" s="459">
        <f>G262</f>
        <v>0</v>
      </c>
      <c r="H261" s="459">
        <f t="shared" si="127"/>
        <v>0</v>
      </c>
      <c r="I261" s="455" t="e">
        <f t="shared" si="103"/>
        <v>#DIV/0!</v>
      </c>
      <c r="J261" s="478"/>
      <c r="K261" s="463"/>
      <c r="L261" s="201"/>
    </row>
    <row r="262" spans="1:12" ht="31.5" hidden="1" x14ac:dyDescent="0.25">
      <c r="A262" s="458" t="s">
        <v>133</v>
      </c>
      <c r="B262" s="452">
        <v>903</v>
      </c>
      <c r="C262" s="454" t="s">
        <v>118</v>
      </c>
      <c r="D262" s="454" t="s">
        <v>140</v>
      </c>
      <c r="E262" s="454" t="s">
        <v>1054</v>
      </c>
      <c r="F262" s="454" t="s">
        <v>134</v>
      </c>
      <c r="G262" s="459">
        <v>0</v>
      </c>
      <c r="H262" s="459">
        <v>0</v>
      </c>
      <c r="I262" s="455" t="e">
        <f t="shared" si="103"/>
        <v>#DIV/0!</v>
      </c>
      <c r="J262" s="478"/>
      <c r="K262" s="463"/>
      <c r="L262" s="201"/>
    </row>
    <row r="263" spans="1:12" ht="15.75" hidden="1" x14ac:dyDescent="0.25">
      <c r="A263" s="458" t="s">
        <v>994</v>
      </c>
      <c r="B263" s="452">
        <v>903</v>
      </c>
      <c r="C263" s="454" t="s">
        <v>118</v>
      </c>
      <c r="D263" s="454" t="s">
        <v>140</v>
      </c>
      <c r="E263" s="454" t="s">
        <v>1055</v>
      </c>
      <c r="F263" s="454"/>
      <c r="G263" s="459">
        <f>G264</f>
        <v>0</v>
      </c>
      <c r="H263" s="459">
        <f t="shared" ref="H263:H264" si="128">H264</f>
        <v>0</v>
      </c>
      <c r="I263" s="455" t="e">
        <f t="shared" si="103"/>
        <v>#DIV/0!</v>
      </c>
      <c r="J263" s="478"/>
      <c r="K263" s="463"/>
      <c r="L263" s="201"/>
    </row>
    <row r="264" spans="1:12" ht="31.5" hidden="1" x14ac:dyDescent="0.25">
      <c r="A264" s="458" t="s">
        <v>131</v>
      </c>
      <c r="B264" s="452">
        <v>903</v>
      </c>
      <c r="C264" s="454" t="s">
        <v>118</v>
      </c>
      <c r="D264" s="454" t="s">
        <v>140</v>
      </c>
      <c r="E264" s="454" t="s">
        <v>1055</v>
      </c>
      <c r="F264" s="454" t="s">
        <v>132</v>
      </c>
      <c r="G264" s="459">
        <f>G265</f>
        <v>0</v>
      </c>
      <c r="H264" s="459">
        <f t="shared" si="128"/>
        <v>0</v>
      </c>
      <c r="I264" s="455" t="e">
        <f t="shared" si="103"/>
        <v>#DIV/0!</v>
      </c>
      <c r="J264" s="478"/>
      <c r="K264" s="463"/>
      <c r="L264" s="201"/>
    </row>
    <row r="265" spans="1:12" ht="31.5" hidden="1" x14ac:dyDescent="0.25">
      <c r="A265" s="458" t="s">
        <v>133</v>
      </c>
      <c r="B265" s="452">
        <v>903</v>
      </c>
      <c r="C265" s="454" t="s">
        <v>118</v>
      </c>
      <c r="D265" s="454" t="s">
        <v>140</v>
      </c>
      <c r="E265" s="454" t="s">
        <v>1055</v>
      </c>
      <c r="F265" s="454" t="s">
        <v>134</v>
      </c>
      <c r="G265" s="459">
        <v>0</v>
      </c>
      <c r="H265" s="459">
        <v>0</v>
      </c>
      <c r="I265" s="455" t="e">
        <f t="shared" si="103"/>
        <v>#DIV/0!</v>
      </c>
      <c r="J265" s="478"/>
      <c r="K265" s="463"/>
      <c r="L265" s="201"/>
    </row>
    <row r="266" spans="1:12" ht="40.700000000000003" hidden="1" customHeight="1" x14ac:dyDescent="0.25">
      <c r="A266" s="31" t="s">
        <v>772</v>
      </c>
      <c r="B266" s="452">
        <v>903</v>
      </c>
      <c r="C266" s="454" t="s">
        <v>118</v>
      </c>
      <c r="D266" s="454" t="s">
        <v>140</v>
      </c>
      <c r="E266" s="454" t="s">
        <v>1056</v>
      </c>
      <c r="F266" s="454"/>
      <c r="G266" s="459">
        <f>G267</f>
        <v>0</v>
      </c>
      <c r="H266" s="459">
        <f t="shared" ref="H266:H267" si="129">H267</f>
        <v>0</v>
      </c>
      <c r="I266" s="455" t="e">
        <f t="shared" si="103"/>
        <v>#DIV/0!</v>
      </c>
      <c r="J266" s="478"/>
      <c r="K266" s="463"/>
      <c r="L266" s="201"/>
    </row>
    <row r="267" spans="1:12" ht="31.5" hidden="1" x14ac:dyDescent="0.25">
      <c r="A267" s="458" t="s">
        <v>131</v>
      </c>
      <c r="B267" s="452">
        <v>903</v>
      </c>
      <c r="C267" s="454" t="s">
        <v>118</v>
      </c>
      <c r="D267" s="454" t="s">
        <v>140</v>
      </c>
      <c r="E267" s="454" t="s">
        <v>1056</v>
      </c>
      <c r="F267" s="454" t="s">
        <v>132</v>
      </c>
      <c r="G267" s="459">
        <f>G268</f>
        <v>0</v>
      </c>
      <c r="H267" s="459">
        <f t="shared" si="129"/>
        <v>0</v>
      </c>
      <c r="I267" s="455" t="e">
        <f t="shared" si="103"/>
        <v>#DIV/0!</v>
      </c>
      <c r="J267" s="478"/>
      <c r="K267" s="463"/>
      <c r="L267" s="201"/>
    </row>
    <row r="268" spans="1:12" ht="31.5" hidden="1" x14ac:dyDescent="0.25">
      <c r="A268" s="458" t="s">
        <v>133</v>
      </c>
      <c r="B268" s="452">
        <v>903</v>
      </c>
      <c r="C268" s="454" t="s">
        <v>118</v>
      </c>
      <c r="D268" s="454" t="s">
        <v>140</v>
      </c>
      <c r="E268" s="454" t="s">
        <v>1056</v>
      </c>
      <c r="F268" s="454" t="s">
        <v>134</v>
      </c>
      <c r="G268" s="459">
        <v>0</v>
      </c>
      <c r="H268" s="459">
        <v>0</v>
      </c>
      <c r="I268" s="455" t="e">
        <f t="shared" ref="I268:I331" si="130">H268/G268*100</f>
        <v>#DIV/0!</v>
      </c>
      <c r="J268" s="478"/>
      <c r="K268" s="463"/>
      <c r="L268" s="201"/>
    </row>
    <row r="269" spans="1:12" ht="47.25" x14ac:dyDescent="0.25">
      <c r="A269" s="462" t="s">
        <v>1353</v>
      </c>
      <c r="B269" s="453">
        <v>903</v>
      </c>
      <c r="C269" s="457" t="s">
        <v>118</v>
      </c>
      <c r="D269" s="457" t="s">
        <v>140</v>
      </c>
      <c r="E269" s="457" t="s">
        <v>705</v>
      </c>
      <c r="F269" s="457"/>
      <c r="G269" s="455">
        <f>G271</f>
        <v>5.2</v>
      </c>
      <c r="H269" s="455">
        <f t="shared" ref="H269" si="131">H271</f>
        <v>5.1769999999999996</v>
      </c>
      <c r="I269" s="455">
        <f t="shared" si="130"/>
        <v>99.557692307692292</v>
      </c>
      <c r="J269" s="478"/>
      <c r="K269" s="463"/>
      <c r="L269" s="201"/>
    </row>
    <row r="270" spans="1:12" s="201" customFormat="1" ht="44.45" customHeight="1" x14ac:dyDescent="0.25">
      <c r="A270" s="206" t="s">
        <v>846</v>
      </c>
      <c r="B270" s="453">
        <v>903</v>
      </c>
      <c r="C270" s="457" t="s">
        <v>118</v>
      </c>
      <c r="D270" s="457" t="s">
        <v>140</v>
      </c>
      <c r="E270" s="457" t="s">
        <v>852</v>
      </c>
      <c r="F270" s="457"/>
      <c r="G270" s="455">
        <f>G271</f>
        <v>5.2</v>
      </c>
      <c r="H270" s="455">
        <f t="shared" ref="H270:H272" si="132">H271</f>
        <v>5.1769999999999996</v>
      </c>
      <c r="I270" s="455">
        <f t="shared" si="130"/>
        <v>99.557692307692292</v>
      </c>
      <c r="J270" s="478"/>
      <c r="K270" s="463"/>
    </row>
    <row r="271" spans="1:12" ht="31.5" x14ac:dyDescent="0.25">
      <c r="A271" s="98" t="s">
        <v>776</v>
      </c>
      <c r="B271" s="452">
        <v>903</v>
      </c>
      <c r="C271" s="454" t="s">
        <v>118</v>
      </c>
      <c r="D271" s="454" t="s">
        <v>140</v>
      </c>
      <c r="E271" s="454" t="s">
        <v>847</v>
      </c>
      <c r="F271" s="454"/>
      <c r="G271" s="459">
        <f>G272</f>
        <v>5.2</v>
      </c>
      <c r="H271" s="459">
        <f t="shared" si="132"/>
        <v>5.1769999999999996</v>
      </c>
      <c r="I271" s="459">
        <f t="shared" si="130"/>
        <v>99.557692307692292</v>
      </c>
      <c r="J271" s="478"/>
      <c r="K271" s="463"/>
      <c r="L271" s="201"/>
    </row>
    <row r="272" spans="1:12" ht="31.5" x14ac:dyDescent="0.25">
      <c r="A272" s="458" t="s">
        <v>131</v>
      </c>
      <c r="B272" s="452">
        <v>903</v>
      </c>
      <c r="C272" s="454" t="s">
        <v>118</v>
      </c>
      <c r="D272" s="454" t="s">
        <v>140</v>
      </c>
      <c r="E272" s="454" t="s">
        <v>847</v>
      </c>
      <c r="F272" s="454" t="s">
        <v>132</v>
      </c>
      <c r="G272" s="459">
        <f>G273</f>
        <v>5.2</v>
      </c>
      <c r="H272" s="459">
        <f t="shared" si="132"/>
        <v>5.1769999999999996</v>
      </c>
      <c r="I272" s="459">
        <f t="shared" si="130"/>
        <v>99.557692307692292</v>
      </c>
      <c r="J272" s="478"/>
      <c r="K272" s="463"/>
      <c r="L272" s="201"/>
    </row>
    <row r="273" spans="1:12" ht="31.5" x14ac:dyDescent="0.25">
      <c r="A273" s="458" t="s">
        <v>133</v>
      </c>
      <c r="B273" s="452">
        <v>903</v>
      </c>
      <c r="C273" s="454" t="s">
        <v>118</v>
      </c>
      <c r="D273" s="454" t="s">
        <v>140</v>
      </c>
      <c r="E273" s="454" t="s">
        <v>847</v>
      </c>
      <c r="F273" s="454" t="s">
        <v>134</v>
      </c>
      <c r="G273" s="459">
        <f>5-5+5.2</f>
        <v>5.2</v>
      </c>
      <c r="H273" s="459">
        <v>5.1769999999999996</v>
      </c>
      <c r="I273" s="459">
        <f t="shared" si="130"/>
        <v>99.557692307692292</v>
      </c>
      <c r="J273" s="478"/>
      <c r="K273" s="463"/>
      <c r="L273" s="201"/>
    </row>
    <row r="274" spans="1:12" ht="21.2" hidden="1" customHeight="1" x14ac:dyDescent="0.25">
      <c r="A274" s="212" t="s">
        <v>232</v>
      </c>
      <c r="B274" s="453">
        <v>903</v>
      </c>
      <c r="C274" s="457" t="s">
        <v>150</v>
      </c>
      <c r="D274" s="454"/>
      <c r="E274" s="454"/>
      <c r="F274" s="460"/>
      <c r="G274" s="455">
        <f>G275</f>
        <v>0</v>
      </c>
      <c r="H274" s="455">
        <f t="shared" ref="H274:H276" si="133">H275</f>
        <v>0</v>
      </c>
      <c r="I274" s="455" t="e">
        <f t="shared" si="130"/>
        <v>#DIV/0!</v>
      </c>
      <c r="J274" s="478"/>
      <c r="K274" s="463"/>
      <c r="L274" s="201"/>
    </row>
    <row r="275" spans="1:12" ht="21.2" hidden="1" customHeight="1" x14ac:dyDescent="0.25">
      <c r="A275" s="456" t="s">
        <v>237</v>
      </c>
      <c r="B275" s="453">
        <v>903</v>
      </c>
      <c r="C275" s="457" t="s">
        <v>150</v>
      </c>
      <c r="D275" s="457" t="s">
        <v>238</v>
      </c>
      <c r="E275" s="454"/>
      <c r="F275" s="460"/>
      <c r="G275" s="455">
        <f>G276</f>
        <v>0</v>
      </c>
      <c r="H275" s="455">
        <f t="shared" si="133"/>
        <v>0</v>
      </c>
      <c r="I275" s="455" t="e">
        <f t="shared" si="130"/>
        <v>#DIV/0!</v>
      </c>
      <c r="J275" s="478"/>
      <c r="K275" s="463"/>
      <c r="L275" s="201"/>
    </row>
    <row r="276" spans="1:12" ht="54" hidden="1" customHeight="1" x14ac:dyDescent="0.25">
      <c r="A276" s="456" t="s">
        <v>1350</v>
      </c>
      <c r="B276" s="453">
        <v>903</v>
      </c>
      <c r="C276" s="457" t="s">
        <v>150</v>
      </c>
      <c r="D276" s="457" t="s">
        <v>238</v>
      </c>
      <c r="E276" s="457" t="s">
        <v>344</v>
      </c>
      <c r="F276" s="465"/>
      <c r="G276" s="455">
        <f>G277</f>
        <v>0</v>
      </c>
      <c r="H276" s="455">
        <f t="shared" si="133"/>
        <v>0</v>
      </c>
      <c r="I276" s="455" t="e">
        <f t="shared" si="130"/>
        <v>#DIV/0!</v>
      </c>
      <c r="J276" s="478"/>
      <c r="K276" s="463"/>
      <c r="L276" s="201"/>
    </row>
    <row r="277" spans="1:12" ht="53.45" hidden="1" customHeight="1" x14ac:dyDescent="0.25">
      <c r="A277" s="456" t="s">
        <v>367</v>
      </c>
      <c r="B277" s="453">
        <v>903</v>
      </c>
      <c r="C277" s="457" t="s">
        <v>150</v>
      </c>
      <c r="D277" s="457" t="s">
        <v>238</v>
      </c>
      <c r="E277" s="457" t="s">
        <v>356</v>
      </c>
      <c r="F277" s="457"/>
      <c r="G277" s="455">
        <f>G278+G282+G286+G290</f>
        <v>0</v>
      </c>
      <c r="H277" s="455">
        <f t="shared" ref="H277" si="134">H278+H282+H286+H290</f>
        <v>0</v>
      </c>
      <c r="I277" s="455" t="e">
        <f t="shared" si="130"/>
        <v>#DIV/0!</v>
      </c>
      <c r="J277" s="478"/>
      <c r="K277" s="463"/>
      <c r="L277" s="201"/>
    </row>
    <row r="278" spans="1:12" s="201" customFormat="1" ht="33" hidden="1" customHeight="1" x14ac:dyDescent="0.25">
      <c r="A278" s="210" t="s">
        <v>1043</v>
      </c>
      <c r="B278" s="453">
        <v>903</v>
      </c>
      <c r="C278" s="457" t="s">
        <v>150</v>
      </c>
      <c r="D278" s="457" t="s">
        <v>238</v>
      </c>
      <c r="E278" s="457" t="s">
        <v>907</v>
      </c>
      <c r="F278" s="457"/>
      <c r="G278" s="455">
        <f>G279</f>
        <v>0</v>
      </c>
      <c r="H278" s="455">
        <f t="shared" ref="H278:H280" si="135">H279</f>
        <v>0</v>
      </c>
      <c r="I278" s="455" t="e">
        <f t="shared" si="130"/>
        <v>#DIV/0!</v>
      </c>
      <c r="J278" s="478"/>
      <c r="K278" s="463"/>
    </row>
    <row r="279" spans="1:12" ht="47.25" hidden="1" customHeight="1" x14ac:dyDescent="0.25">
      <c r="A279" s="458" t="s">
        <v>1094</v>
      </c>
      <c r="B279" s="452">
        <v>903</v>
      </c>
      <c r="C279" s="454" t="s">
        <v>150</v>
      </c>
      <c r="D279" s="454" t="s">
        <v>238</v>
      </c>
      <c r="E279" s="454" t="s">
        <v>1317</v>
      </c>
      <c r="F279" s="454"/>
      <c r="G279" s="459">
        <f>G280</f>
        <v>0</v>
      </c>
      <c r="H279" s="459">
        <f t="shared" si="135"/>
        <v>0</v>
      </c>
      <c r="I279" s="455" t="e">
        <f t="shared" si="130"/>
        <v>#DIV/0!</v>
      </c>
      <c r="J279" s="478"/>
      <c r="K279" s="463"/>
      <c r="L279" s="201"/>
    </row>
    <row r="280" spans="1:12" ht="21.2" hidden="1" customHeight="1" x14ac:dyDescent="0.25">
      <c r="A280" s="458" t="s">
        <v>248</v>
      </c>
      <c r="B280" s="452">
        <v>903</v>
      </c>
      <c r="C280" s="454" t="s">
        <v>150</v>
      </c>
      <c r="D280" s="454" t="s">
        <v>238</v>
      </c>
      <c r="E280" s="454" t="s">
        <v>1317</v>
      </c>
      <c r="F280" s="454" t="s">
        <v>249</v>
      </c>
      <c r="G280" s="459">
        <f>G281</f>
        <v>0</v>
      </c>
      <c r="H280" s="459">
        <f t="shared" si="135"/>
        <v>0</v>
      </c>
      <c r="I280" s="455" t="e">
        <f t="shared" si="130"/>
        <v>#DIV/0!</v>
      </c>
      <c r="J280" s="478"/>
      <c r="K280" s="463"/>
      <c r="L280" s="201"/>
    </row>
    <row r="281" spans="1:12" ht="29.25" hidden="1" customHeight="1" x14ac:dyDescent="0.25">
      <c r="A281" s="458" t="s">
        <v>250</v>
      </c>
      <c r="B281" s="452">
        <v>903</v>
      </c>
      <c r="C281" s="454" t="s">
        <v>150</v>
      </c>
      <c r="D281" s="454" t="s">
        <v>238</v>
      </c>
      <c r="E281" s="454" t="s">
        <v>1317</v>
      </c>
      <c r="F281" s="454" t="s">
        <v>251</v>
      </c>
      <c r="G281" s="459">
        <v>0</v>
      </c>
      <c r="H281" s="459">
        <v>0</v>
      </c>
      <c r="I281" s="455" t="e">
        <f t="shared" si="130"/>
        <v>#DIV/0!</v>
      </c>
      <c r="J281" s="478"/>
      <c r="K281" s="463"/>
      <c r="L281" s="201"/>
    </row>
    <row r="282" spans="1:12" s="201" customFormat="1" ht="33" hidden="1" customHeight="1" x14ac:dyDescent="0.25">
      <c r="A282" s="456" t="s">
        <v>1041</v>
      </c>
      <c r="B282" s="453">
        <v>903</v>
      </c>
      <c r="C282" s="457" t="s">
        <v>150</v>
      </c>
      <c r="D282" s="457" t="s">
        <v>238</v>
      </c>
      <c r="E282" s="457" t="s">
        <v>1200</v>
      </c>
      <c r="F282" s="457"/>
      <c r="G282" s="455">
        <f>G283</f>
        <v>0</v>
      </c>
      <c r="H282" s="455">
        <f t="shared" ref="H282:H284" si="136">H283</f>
        <v>0</v>
      </c>
      <c r="I282" s="455" t="e">
        <f t="shared" si="130"/>
        <v>#DIV/0!</v>
      </c>
      <c r="J282" s="478"/>
      <c r="K282" s="463"/>
    </row>
    <row r="283" spans="1:12" s="201" customFormat="1" ht="94.5" hidden="1" x14ac:dyDescent="0.25">
      <c r="A283" s="458" t="s">
        <v>373</v>
      </c>
      <c r="B283" s="452">
        <v>903</v>
      </c>
      <c r="C283" s="454" t="s">
        <v>150</v>
      </c>
      <c r="D283" s="454" t="s">
        <v>238</v>
      </c>
      <c r="E283" s="454" t="s">
        <v>1201</v>
      </c>
      <c r="F283" s="454"/>
      <c r="G283" s="459">
        <f>G284</f>
        <v>0</v>
      </c>
      <c r="H283" s="459">
        <f t="shared" si="136"/>
        <v>0</v>
      </c>
      <c r="I283" s="455" t="e">
        <f t="shared" si="130"/>
        <v>#DIV/0!</v>
      </c>
      <c r="J283" s="478"/>
      <c r="K283" s="463"/>
    </row>
    <row r="284" spans="1:12" s="201" customFormat="1" ht="39.200000000000003" hidden="1" customHeight="1" x14ac:dyDescent="0.25">
      <c r="A284" s="458" t="s">
        <v>272</v>
      </c>
      <c r="B284" s="452">
        <v>903</v>
      </c>
      <c r="C284" s="454" t="s">
        <v>150</v>
      </c>
      <c r="D284" s="454" t="s">
        <v>238</v>
      </c>
      <c r="E284" s="454" t="s">
        <v>1201</v>
      </c>
      <c r="F284" s="454" t="s">
        <v>273</v>
      </c>
      <c r="G284" s="459">
        <f>G285</f>
        <v>0</v>
      </c>
      <c r="H284" s="459">
        <f t="shared" si="136"/>
        <v>0</v>
      </c>
      <c r="I284" s="455" t="e">
        <f t="shared" si="130"/>
        <v>#DIV/0!</v>
      </c>
      <c r="J284" s="478"/>
      <c r="K284" s="463"/>
    </row>
    <row r="285" spans="1:12" s="201" customFormat="1" ht="73.5" hidden="1" customHeight="1" x14ac:dyDescent="0.25">
      <c r="A285" s="458" t="s">
        <v>1090</v>
      </c>
      <c r="B285" s="452">
        <v>903</v>
      </c>
      <c r="C285" s="454" t="s">
        <v>150</v>
      </c>
      <c r="D285" s="454" t="s">
        <v>238</v>
      </c>
      <c r="E285" s="454" t="s">
        <v>1201</v>
      </c>
      <c r="F285" s="454" t="s">
        <v>372</v>
      </c>
      <c r="G285" s="367">
        <f>8.6+200-200-8.6</f>
        <v>0</v>
      </c>
      <c r="H285" s="367">
        <f t="shared" ref="H285" si="137">8.6+200-200-8.6</f>
        <v>0</v>
      </c>
      <c r="I285" s="455" t="e">
        <f t="shared" si="130"/>
        <v>#DIV/0!</v>
      </c>
      <c r="J285" s="478"/>
      <c r="K285" s="463"/>
    </row>
    <row r="286" spans="1:12" s="201" customFormat="1" ht="21.2" hidden="1" customHeight="1" x14ac:dyDescent="0.25">
      <c r="A286" s="456" t="s">
        <v>995</v>
      </c>
      <c r="B286" s="453">
        <v>903</v>
      </c>
      <c r="C286" s="457" t="s">
        <v>150</v>
      </c>
      <c r="D286" s="457" t="s">
        <v>238</v>
      </c>
      <c r="E286" s="457" t="s">
        <v>1310</v>
      </c>
      <c r="F286" s="457"/>
      <c r="G286" s="455">
        <f>G287</f>
        <v>0</v>
      </c>
      <c r="H286" s="455">
        <f t="shared" ref="H286:H288" si="138">H287</f>
        <v>0</v>
      </c>
      <c r="I286" s="455" t="e">
        <f t="shared" si="130"/>
        <v>#DIV/0!</v>
      </c>
      <c r="J286" s="478"/>
      <c r="K286" s="463"/>
    </row>
    <row r="287" spans="1:12" s="201" customFormat="1" ht="41.25" hidden="1" customHeight="1" x14ac:dyDescent="0.25">
      <c r="A287" s="458" t="s">
        <v>377</v>
      </c>
      <c r="B287" s="452">
        <v>903</v>
      </c>
      <c r="C287" s="454" t="s">
        <v>150</v>
      </c>
      <c r="D287" s="454" t="s">
        <v>238</v>
      </c>
      <c r="E287" s="454" t="s">
        <v>1311</v>
      </c>
      <c r="F287" s="454"/>
      <c r="G287" s="459">
        <f>G288</f>
        <v>0</v>
      </c>
      <c r="H287" s="459">
        <f t="shared" si="138"/>
        <v>0</v>
      </c>
      <c r="I287" s="455" t="e">
        <f t="shared" si="130"/>
        <v>#DIV/0!</v>
      </c>
      <c r="J287" s="478"/>
      <c r="K287" s="463"/>
    </row>
    <row r="288" spans="1:12" s="201" customFormat="1" ht="29.25" hidden="1" customHeight="1" x14ac:dyDescent="0.25">
      <c r="A288" s="458" t="s">
        <v>131</v>
      </c>
      <c r="B288" s="452">
        <v>903</v>
      </c>
      <c r="C288" s="454" t="s">
        <v>150</v>
      </c>
      <c r="D288" s="454" t="s">
        <v>238</v>
      </c>
      <c r="E288" s="454" t="s">
        <v>1311</v>
      </c>
      <c r="F288" s="454" t="s">
        <v>132</v>
      </c>
      <c r="G288" s="459">
        <f>G289</f>
        <v>0</v>
      </c>
      <c r="H288" s="459">
        <f t="shared" si="138"/>
        <v>0</v>
      </c>
      <c r="I288" s="455" t="e">
        <f t="shared" si="130"/>
        <v>#DIV/0!</v>
      </c>
      <c r="J288" s="478"/>
      <c r="K288" s="463"/>
    </row>
    <row r="289" spans="1:12" s="201" customFormat="1" ht="29.25" hidden="1" customHeight="1" x14ac:dyDescent="0.25">
      <c r="A289" s="458" t="s">
        <v>133</v>
      </c>
      <c r="B289" s="452">
        <v>903</v>
      </c>
      <c r="C289" s="454" t="s">
        <v>150</v>
      </c>
      <c r="D289" s="454" t="s">
        <v>238</v>
      </c>
      <c r="E289" s="454" t="s">
        <v>1311</v>
      </c>
      <c r="F289" s="454" t="s">
        <v>134</v>
      </c>
      <c r="G289" s="459">
        <v>0</v>
      </c>
      <c r="H289" s="459">
        <v>0</v>
      </c>
      <c r="I289" s="455" t="e">
        <f t="shared" si="130"/>
        <v>#DIV/0!</v>
      </c>
      <c r="J289" s="478"/>
      <c r="K289" s="463"/>
    </row>
    <row r="290" spans="1:12" s="201" customFormat="1" ht="33.75" hidden="1" customHeight="1" x14ac:dyDescent="0.25">
      <c r="A290" s="464" t="s">
        <v>1103</v>
      </c>
      <c r="B290" s="453">
        <v>903</v>
      </c>
      <c r="C290" s="457" t="s">
        <v>150</v>
      </c>
      <c r="D290" s="457" t="s">
        <v>238</v>
      </c>
      <c r="E290" s="457" t="s">
        <v>1202</v>
      </c>
      <c r="F290" s="457"/>
      <c r="G290" s="455">
        <f>G291</f>
        <v>0</v>
      </c>
      <c r="H290" s="455">
        <f t="shared" ref="H290:H292" si="139">H291</f>
        <v>0</v>
      </c>
      <c r="I290" s="455" t="e">
        <f t="shared" si="130"/>
        <v>#DIV/0!</v>
      </c>
      <c r="J290" s="478"/>
      <c r="K290" s="463"/>
    </row>
    <row r="291" spans="1:12" s="201" customFormat="1" ht="29.25" hidden="1" customHeight="1" x14ac:dyDescent="0.25">
      <c r="A291" s="226" t="s">
        <v>1149</v>
      </c>
      <c r="B291" s="452">
        <v>903</v>
      </c>
      <c r="C291" s="454" t="s">
        <v>150</v>
      </c>
      <c r="D291" s="454" t="s">
        <v>238</v>
      </c>
      <c r="E291" s="454" t="s">
        <v>1203</v>
      </c>
      <c r="F291" s="454"/>
      <c r="G291" s="459">
        <f>G292</f>
        <v>0</v>
      </c>
      <c r="H291" s="459">
        <f t="shared" si="139"/>
        <v>0</v>
      </c>
      <c r="I291" s="455" t="e">
        <f t="shared" si="130"/>
        <v>#DIV/0!</v>
      </c>
      <c r="J291" s="478"/>
      <c r="K291" s="463"/>
    </row>
    <row r="292" spans="1:12" s="201" customFormat="1" ht="29.25" hidden="1" customHeight="1" x14ac:dyDescent="0.25">
      <c r="A292" s="458" t="s">
        <v>131</v>
      </c>
      <c r="B292" s="452">
        <v>903</v>
      </c>
      <c r="C292" s="454" t="s">
        <v>150</v>
      </c>
      <c r="D292" s="454" t="s">
        <v>238</v>
      </c>
      <c r="E292" s="454" t="s">
        <v>1203</v>
      </c>
      <c r="F292" s="454" t="s">
        <v>132</v>
      </c>
      <c r="G292" s="459">
        <f>G293</f>
        <v>0</v>
      </c>
      <c r="H292" s="459">
        <f t="shared" si="139"/>
        <v>0</v>
      </c>
      <c r="I292" s="455" t="e">
        <f t="shared" si="130"/>
        <v>#DIV/0!</v>
      </c>
      <c r="J292" s="478"/>
      <c r="K292" s="463"/>
    </row>
    <row r="293" spans="1:12" s="201" customFormat="1" ht="29.25" hidden="1" customHeight="1" x14ac:dyDescent="0.25">
      <c r="A293" s="458" t="s">
        <v>133</v>
      </c>
      <c r="B293" s="452">
        <v>903</v>
      </c>
      <c r="C293" s="454" t="s">
        <v>150</v>
      </c>
      <c r="D293" s="454" t="s">
        <v>238</v>
      </c>
      <c r="E293" s="454" t="s">
        <v>1203</v>
      </c>
      <c r="F293" s="454" t="s">
        <v>134</v>
      </c>
      <c r="G293" s="459">
        <v>0</v>
      </c>
      <c r="H293" s="459">
        <v>0</v>
      </c>
      <c r="I293" s="455" t="e">
        <f t="shared" si="130"/>
        <v>#DIV/0!</v>
      </c>
      <c r="J293" s="478"/>
      <c r="K293" s="463"/>
    </row>
    <row r="294" spans="1:12" ht="15.75" x14ac:dyDescent="0.25">
      <c r="A294" s="456" t="s">
        <v>263</v>
      </c>
      <c r="B294" s="453">
        <v>903</v>
      </c>
      <c r="C294" s="457" t="s">
        <v>264</v>
      </c>
      <c r="D294" s="454"/>
      <c r="E294" s="454"/>
      <c r="F294" s="454"/>
      <c r="G294" s="455">
        <f>G295+G341+G361</f>
        <v>19431.620000000003</v>
      </c>
      <c r="H294" s="455">
        <f t="shared" ref="H294" si="140">H295+H341+H361</f>
        <v>12505.328000000001</v>
      </c>
      <c r="I294" s="455">
        <f t="shared" si="130"/>
        <v>64.355560678934637</v>
      </c>
      <c r="J294" s="478"/>
      <c r="K294" s="463"/>
      <c r="L294" s="201"/>
    </row>
    <row r="295" spans="1:12" ht="15.75" x14ac:dyDescent="0.25">
      <c r="A295" s="456" t="s">
        <v>265</v>
      </c>
      <c r="B295" s="453">
        <v>903</v>
      </c>
      <c r="C295" s="457" t="s">
        <v>264</v>
      </c>
      <c r="D295" s="457" t="s">
        <v>215</v>
      </c>
      <c r="E295" s="457"/>
      <c r="F295" s="457"/>
      <c r="G295" s="455">
        <f>G296+G336+G331</f>
        <v>18356.620000000003</v>
      </c>
      <c r="H295" s="455">
        <f t="shared" ref="H295" si="141">H296+H336+H331</f>
        <v>11535.715000000002</v>
      </c>
      <c r="I295" s="455">
        <f t="shared" si="130"/>
        <v>62.842260721200304</v>
      </c>
      <c r="J295" s="478"/>
      <c r="K295" s="463"/>
      <c r="L295" s="201"/>
    </row>
    <row r="296" spans="1:12" ht="31.5" x14ac:dyDescent="0.25">
      <c r="A296" s="456" t="s">
        <v>1354</v>
      </c>
      <c r="B296" s="453">
        <v>903</v>
      </c>
      <c r="C296" s="457" t="s">
        <v>264</v>
      </c>
      <c r="D296" s="457" t="s">
        <v>215</v>
      </c>
      <c r="E296" s="457" t="s">
        <v>267</v>
      </c>
      <c r="F296" s="457"/>
      <c r="G296" s="455">
        <f>G297+G308+G317+G321</f>
        <v>17751.620000000003</v>
      </c>
      <c r="H296" s="455">
        <f t="shared" ref="H296" si="142">H297+H308+H317+H321</f>
        <v>11264.558000000001</v>
      </c>
      <c r="I296" s="455">
        <f t="shared" si="130"/>
        <v>63.456507068087298</v>
      </c>
      <c r="J296" s="478"/>
      <c r="K296" s="463"/>
      <c r="L296" s="201"/>
    </row>
    <row r="297" spans="1:12" s="201" customFormat="1" ht="31.5" x14ac:dyDescent="0.25">
      <c r="A297" s="456" t="s">
        <v>1300</v>
      </c>
      <c r="B297" s="453">
        <v>903</v>
      </c>
      <c r="C297" s="457" t="s">
        <v>264</v>
      </c>
      <c r="D297" s="457" t="s">
        <v>215</v>
      </c>
      <c r="E297" s="457" t="s">
        <v>1204</v>
      </c>
      <c r="F297" s="457"/>
      <c r="G297" s="44">
        <f>G298+G305</f>
        <v>16025.720000000001</v>
      </c>
      <c r="H297" s="44">
        <f t="shared" ref="H297" si="143">H298+H305</f>
        <v>10283.672</v>
      </c>
      <c r="I297" s="455">
        <f t="shared" si="130"/>
        <v>64.169797051240124</v>
      </c>
      <c r="J297" s="478"/>
      <c r="K297" s="463"/>
    </row>
    <row r="298" spans="1:12" s="201" customFormat="1" ht="15.75" x14ac:dyDescent="0.25">
      <c r="A298" s="458" t="s">
        <v>800</v>
      </c>
      <c r="B298" s="452">
        <v>903</v>
      </c>
      <c r="C298" s="454" t="s">
        <v>264</v>
      </c>
      <c r="D298" s="454" t="s">
        <v>215</v>
      </c>
      <c r="E298" s="454" t="s">
        <v>1205</v>
      </c>
      <c r="F298" s="454"/>
      <c r="G298" s="27">
        <f>G299+G301+G303</f>
        <v>9175.92</v>
      </c>
      <c r="H298" s="27">
        <f t="shared" ref="H298" si="144">H299+H301+H303</f>
        <v>5224.2490000000007</v>
      </c>
      <c r="I298" s="459">
        <f t="shared" si="130"/>
        <v>56.934334649822581</v>
      </c>
      <c r="J298" s="478"/>
      <c r="K298" s="463"/>
    </row>
    <row r="299" spans="1:12" s="201" customFormat="1" ht="78.75" x14ac:dyDescent="0.25">
      <c r="A299" s="458" t="s">
        <v>127</v>
      </c>
      <c r="B299" s="452">
        <v>903</v>
      </c>
      <c r="C299" s="454" t="s">
        <v>264</v>
      </c>
      <c r="D299" s="454" t="s">
        <v>215</v>
      </c>
      <c r="E299" s="454" t="s">
        <v>1205</v>
      </c>
      <c r="F299" s="454" t="s">
        <v>128</v>
      </c>
      <c r="G299" s="27">
        <f>G300</f>
        <v>7205.8199999999988</v>
      </c>
      <c r="H299" s="27">
        <f t="shared" ref="H299" si="145">H300</f>
        <v>4105.0870000000004</v>
      </c>
      <c r="I299" s="459">
        <f t="shared" si="130"/>
        <v>56.969047242367985</v>
      </c>
      <c r="J299" s="478"/>
      <c r="K299" s="463"/>
    </row>
    <row r="300" spans="1:12" s="201" customFormat="1" ht="15.75" x14ac:dyDescent="0.25">
      <c r="A300" s="46" t="s">
        <v>342</v>
      </c>
      <c r="B300" s="452">
        <v>903</v>
      </c>
      <c r="C300" s="454" t="s">
        <v>264</v>
      </c>
      <c r="D300" s="454" t="s">
        <v>215</v>
      </c>
      <c r="E300" s="454" t="s">
        <v>1205</v>
      </c>
      <c r="F300" s="454" t="s">
        <v>209</v>
      </c>
      <c r="G300" s="27">
        <f>7440.82-126+5.9-120.3+5.4</f>
        <v>7205.8199999999988</v>
      </c>
      <c r="H300" s="27">
        <v>4105.0870000000004</v>
      </c>
      <c r="I300" s="459">
        <f t="shared" si="130"/>
        <v>56.969047242367985</v>
      </c>
      <c r="J300" s="478"/>
      <c r="K300" s="463"/>
    </row>
    <row r="301" spans="1:12" s="201" customFormat="1" ht="31.5" x14ac:dyDescent="0.25">
      <c r="A301" s="458" t="s">
        <v>131</v>
      </c>
      <c r="B301" s="452">
        <v>903</v>
      </c>
      <c r="C301" s="454" t="s">
        <v>264</v>
      </c>
      <c r="D301" s="454" t="s">
        <v>215</v>
      </c>
      <c r="E301" s="454" t="s">
        <v>1205</v>
      </c>
      <c r="F301" s="454" t="s">
        <v>132</v>
      </c>
      <c r="G301" s="27">
        <f>G302</f>
        <v>1901.8999999999999</v>
      </c>
      <c r="H301" s="27">
        <f t="shared" ref="H301" si="146">H302</f>
        <v>1078.4459999999999</v>
      </c>
      <c r="I301" s="459">
        <f t="shared" si="130"/>
        <v>56.703612177296392</v>
      </c>
      <c r="J301" s="478"/>
      <c r="K301" s="463"/>
    </row>
    <row r="302" spans="1:12" s="201" customFormat="1" ht="31.5" x14ac:dyDescent="0.25">
      <c r="A302" s="458" t="s">
        <v>133</v>
      </c>
      <c r="B302" s="452">
        <v>903</v>
      </c>
      <c r="C302" s="454" t="s">
        <v>264</v>
      </c>
      <c r="D302" s="454" t="s">
        <v>215</v>
      </c>
      <c r="E302" s="454" t="s">
        <v>1205</v>
      </c>
      <c r="F302" s="454" t="s">
        <v>134</v>
      </c>
      <c r="G302" s="27">
        <f>1906.9-303.2-30-60-17-15+60+10+189.5+68+40-38+38+6.1+46.6</f>
        <v>1901.8999999999999</v>
      </c>
      <c r="H302" s="27">
        <v>1078.4459999999999</v>
      </c>
      <c r="I302" s="459">
        <f t="shared" si="130"/>
        <v>56.703612177296392</v>
      </c>
      <c r="J302" s="478"/>
      <c r="K302" s="463"/>
    </row>
    <row r="303" spans="1:12" s="201" customFormat="1" ht="15.75" x14ac:dyDescent="0.25">
      <c r="A303" s="458" t="s">
        <v>135</v>
      </c>
      <c r="B303" s="452">
        <v>903</v>
      </c>
      <c r="C303" s="454" t="s">
        <v>264</v>
      </c>
      <c r="D303" s="454" t="s">
        <v>215</v>
      </c>
      <c r="E303" s="454" t="s">
        <v>1205</v>
      </c>
      <c r="F303" s="454" t="s">
        <v>145</v>
      </c>
      <c r="G303" s="27">
        <f>G304</f>
        <v>68.2</v>
      </c>
      <c r="H303" s="27">
        <f t="shared" ref="H303" si="147">H304</f>
        <v>40.716000000000001</v>
      </c>
      <c r="I303" s="459">
        <f t="shared" si="130"/>
        <v>59.700879765395896</v>
      </c>
      <c r="J303" s="478"/>
      <c r="K303" s="463"/>
    </row>
    <row r="304" spans="1:12" s="201" customFormat="1" ht="15.75" x14ac:dyDescent="0.25">
      <c r="A304" s="458" t="s">
        <v>704</v>
      </c>
      <c r="B304" s="452">
        <v>903</v>
      </c>
      <c r="C304" s="454" t="s">
        <v>264</v>
      </c>
      <c r="D304" s="454" t="s">
        <v>215</v>
      </c>
      <c r="E304" s="454" t="s">
        <v>1205</v>
      </c>
      <c r="F304" s="454" t="s">
        <v>138</v>
      </c>
      <c r="G304" s="27">
        <f>78-11.2+8.2-6.8</f>
        <v>68.2</v>
      </c>
      <c r="H304" s="27">
        <v>40.716000000000001</v>
      </c>
      <c r="I304" s="459">
        <f t="shared" si="130"/>
        <v>59.700879765395896</v>
      </c>
      <c r="J304" s="478"/>
      <c r="K304" s="463"/>
    </row>
    <row r="305" spans="1:12" s="201" customFormat="1" ht="22.7" customHeight="1" x14ac:dyDescent="0.25">
      <c r="A305" s="31" t="s">
        <v>1514</v>
      </c>
      <c r="B305" s="452">
        <v>903</v>
      </c>
      <c r="C305" s="454" t="s">
        <v>264</v>
      </c>
      <c r="D305" s="454" t="s">
        <v>215</v>
      </c>
      <c r="E305" s="454" t="s">
        <v>1486</v>
      </c>
      <c r="F305" s="454"/>
      <c r="G305" s="459">
        <f>G306</f>
        <v>6849.8000000000011</v>
      </c>
      <c r="H305" s="459">
        <f t="shared" ref="H305:H306" si="148">H306</f>
        <v>5059.4229999999998</v>
      </c>
      <c r="I305" s="459">
        <f t="shared" si="130"/>
        <v>73.862346345878692</v>
      </c>
      <c r="J305" s="478"/>
      <c r="K305" s="463"/>
    </row>
    <row r="306" spans="1:12" s="201" customFormat="1" ht="78.75" x14ac:dyDescent="0.25">
      <c r="A306" s="458" t="s">
        <v>127</v>
      </c>
      <c r="B306" s="452">
        <v>903</v>
      </c>
      <c r="C306" s="454" t="s">
        <v>264</v>
      </c>
      <c r="D306" s="454" t="s">
        <v>215</v>
      </c>
      <c r="E306" s="454" t="s">
        <v>1486</v>
      </c>
      <c r="F306" s="454" t="s">
        <v>128</v>
      </c>
      <c r="G306" s="459">
        <f>G307</f>
        <v>6849.8000000000011</v>
      </c>
      <c r="H306" s="459">
        <f t="shared" si="148"/>
        <v>5059.4229999999998</v>
      </c>
      <c r="I306" s="459">
        <f t="shared" si="130"/>
        <v>73.862346345878692</v>
      </c>
      <c r="J306" s="478"/>
      <c r="K306" s="463"/>
    </row>
    <row r="307" spans="1:12" s="201" customFormat="1" ht="15.75" x14ac:dyDescent="0.25">
      <c r="A307" s="458" t="s">
        <v>208</v>
      </c>
      <c r="B307" s="452">
        <v>903</v>
      </c>
      <c r="C307" s="454" t="s">
        <v>264</v>
      </c>
      <c r="D307" s="454" t="s">
        <v>215</v>
      </c>
      <c r="E307" s="454" t="s">
        <v>1486</v>
      </c>
      <c r="F307" s="454" t="s">
        <v>209</v>
      </c>
      <c r="G307" s="459">
        <f>6346.52+1155.4-582.82-146.9+77.6</f>
        <v>6849.8000000000011</v>
      </c>
      <c r="H307" s="459">
        <v>5059.4229999999998</v>
      </c>
      <c r="I307" s="459">
        <f t="shared" si="130"/>
        <v>73.862346345878692</v>
      </c>
      <c r="J307" s="478">
        <v>44425</v>
      </c>
      <c r="K307" s="463"/>
    </row>
    <row r="308" spans="1:12" s="201" customFormat="1" ht="29.25" customHeight="1" x14ac:dyDescent="0.25">
      <c r="A308" s="211" t="s">
        <v>1303</v>
      </c>
      <c r="B308" s="453">
        <v>903</v>
      </c>
      <c r="C308" s="457" t="s">
        <v>264</v>
      </c>
      <c r="D308" s="457" t="s">
        <v>215</v>
      </c>
      <c r="E308" s="457" t="s">
        <v>1206</v>
      </c>
      <c r="F308" s="457"/>
      <c r="G308" s="44">
        <f>G309+G312</f>
        <v>335.5</v>
      </c>
      <c r="H308" s="44">
        <f t="shared" ref="H308" si="149">H309+H312</f>
        <v>321.67469999999997</v>
      </c>
      <c r="I308" s="455">
        <f t="shared" si="130"/>
        <v>95.879195230998505</v>
      </c>
      <c r="J308" s="478"/>
      <c r="K308" s="463"/>
    </row>
    <row r="309" spans="1:12" ht="15.75" x14ac:dyDescent="0.25">
      <c r="A309" s="194" t="s">
        <v>799</v>
      </c>
      <c r="B309" s="452">
        <v>903</v>
      </c>
      <c r="C309" s="454" t="s">
        <v>264</v>
      </c>
      <c r="D309" s="454" t="s">
        <v>215</v>
      </c>
      <c r="E309" s="454" t="s">
        <v>1207</v>
      </c>
      <c r="F309" s="454"/>
      <c r="G309" s="27">
        <f>G310</f>
        <v>45</v>
      </c>
      <c r="H309" s="27">
        <f t="shared" ref="H309:H310" si="150">H310</f>
        <v>31.2</v>
      </c>
      <c r="I309" s="459">
        <f t="shared" si="130"/>
        <v>69.333333333333343</v>
      </c>
      <c r="J309" s="478"/>
      <c r="K309" s="463"/>
      <c r="L309" s="201"/>
    </row>
    <row r="310" spans="1:12" ht="15.75" x14ac:dyDescent="0.25">
      <c r="A310" s="458" t="s">
        <v>248</v>
      </c>
      <c r="B310" s="452">
        <v>903</v>
      </c>
      <c r="C310" s="454" t="s">
        <v>264</v>
      </c>
      <c r="D310" s="454" t="s">
        <v>215</v>
      </c>
      <c r="E310" s="454" t="s">
        <v>1207</v>
      </c>
      <c r="F310" s="454" t="s">
        <v>249</v>
      </c>
      <c r="G310" s="27">
        <f>G311</f>
        <v>45</v>
      </c>
      <c r="H310" s="27">
        <f t="shared" si="150"/>
        <v>31.2</v>
      </c>
      <c r="I310" s="459">
        <f t="shared" si="130"/>
        <v>69.333333333333343</v>
      </c>
      <c r="J310" s="478"/>
      <c r="K310" s="463"/>
      <c r="L310" s="201"/>
    </row>
    <row r="311" spans="1:12" ht="15.75" x14ac:dyDescent="0.25">
      <c r="A311" s="458" t="s">
        <v>820</v>
      </c>
      <c r="B311" s="452">
        <v>903</v>
      </c>
      <c r="C311" s="454" t="s">
        <v>264</v>
      </c>
      <c r="D311" s="454" t="s">
        <v>215</v>
      </c>
      <c r="E311" s="454" t="s">
        <v>1207</v>
      </c>
      <c r="F311" s="454" t="s">
        <v>819</v>
      </c>
      <c r="G311" s="27">
        <v>45</v>
      </c>
      <c r="H311" s="27">
        <v>31.2</v>
      </c>
      <c r="I311" s="459">
        <f t="shared" si="130"/>
        <v>69.333333333333343</v>
      </c>
      <c r="J311" s="478"/>
      <c r="K311" s="463"/>
      <c r="L311" s="201"/>
    </row>
    <row r="312" spans="1:12" ht="36" customHeight="1" x14ac:dyDescent="0.25">
      <c r="A312" s="31" t="s">
        <v>816</v>
      </c>
      <c r="B312" s="452">
        <v>903</v>
      </c>
      <c r="C312" s="454" t="s">
        <v>264</v>
      </c>
      <c r="D312" s="454" t="s">
        <v>215</v>
      </c>
      <c r="E312" s="454" t="s">
        <v>1208</v>
      </c>
      <c r="F312" s="454"/>
      <c r="G312" s="27">
        <f>G315+G313</f>
        <v>290.5</v>
      </c>
      <c r="H312" s="27">
        <f t="shared" ref="H312" si="151">H315+H313</f>
        <v>290.47469999999998</v>
      </c>
      <c r="I312" s="459">
        <f t="shared" si="130"/>
        <v>99.991290877796899</v>
      </c>
      <c r="J312" s="478"/>
      <c r="K312" s="463"/>
      <c r="L312" s="201"/>
    </row>
    <row r="313" spans="1:12" ht="78.75" x14ac:dyDescent="0.25">
      <c r="A313" s="458" t="s">
        <v>127</v>
      </c>
      <c r="B313" s="452">
        <v>903</v>
      </c>
      <c r="C313" s="454" t="s">
        <v>264</v>
      </c>
      <c r="D313" s="454" t="s">
        <v>215</v>
      </c>
      <c r="E313" s="454" t="s">
        <v>1208</v>
      </c>
      <c r="F313" s="454" t="s">
        <v>128</v>
      </c>
      <c r="G313" s="27">
        <f>G314</f>
        <v>290.5</v>
      </c>
      <c r="H313" s="27">
        <f t="shared" ref="H313" si="152">H314</f>
        <v>290.47469999999998</v>
      </c>
      <c r="I313" s="459">
        <f t="shared" si="130"/>
        <v>99.991290877796899</v>
      </c>
      <c r="J313" s="478"/>
      <c r="K313" s="463"/>
      <c r="L313" s="201"/>
    </row>
    <row r="314" spans="1:12" ht="24.75" customHeight="1" x14ac:dyDescent="0.25">
      <c r="A314" s="46" t="s">
        <v>342</v>
      </c>
      <c r="B314" s="452">
        <v>903</v>
      </c>
      <c r="C314" s="454" t="s">
        <v>264</v>
      </c>
      <c r="D314" s="454" t="s">
        <v>215</v>
      </c>
      <c r="E314" s="454" t="s">
        <v>1208</v>
      </c>
      <c r="F314" s="454" t="s">
        <v>209</v>
      </c>
      <c r="G314" s="27">
        <f>264.6-14.6+57.5-4.7-12.3</f>
        <v>290.5</v>
      </c>
      <c r="H314" s="27">
        <v>290.47469999999998</v>
      </c>
      <c r="I314" s="459">
        <f t="shared" si="130"/>
        <v>99.991290877796899</v>
      </c>
      <c r="J314" s="478"/>
      <c r="K314" s="463"/>
      <c r="L314" s="201"/>
    </row>
    <row r="315" spans="1:12" ht="30.75" hidden="1" customHeight="1" x14ac:dyDescent="0.25">
      <c r="A315" s="458" t="s">
        <v>131</v>
      </c>
      <c r="B315" s="452">
        <v>903</v>
      </c>
      <c r="C315" s="454" t="s">
        <v>264</v>
      </c>
      <c r="D315" s="454" t="s">
        <v>215</v>
      </c>
      <c r="E315" s="454" t="s">
        <v>1208</v>
      </c>
      <c r="F315" s="454" t="s">
        <v>132</v>
      </c>
      <c r="G315" s="27">
        <f>G316</f>
        <v>0</v>
      </c>
      <c r="H315" s="27">
        <f t="shared" ref="H315" si="153">H316</f>
        <v>0</v>
      </c>
      <c r="I315" s="455" t="e">
        <f t="shared" si="130"/>
        <v>#DIV/0!</v>
      </c>
      <c r="J315" s="478"/>
      <c r="K315" s="463"/>
      <c r="L315" s="201"/>
    </row>
    <row r="316" spans="1:12" ht="39.200000000000003" hidden="1" customHeight="1" x14ac:dyDescent="0.25">
      <c r="A316" s="458" t="s">
        <v>133</v>
      </c>
      <c r="B316" s="452">
        <v>903</v>
      </c>
      <c r="C316" s="454" t="s">
        <v>264</v>
      </c>
      <c r="D316" s="454" t="s">
        <v>215</v>
      </c>
      <c r="E316" s="454" t="s">
        <v>1208</v>
      </c>
      <c r="F316" s="454" t="s">
        <v>134</v>
      </c>
      <c r="G316" s="27">
        <f>300-300</f>
        <v>0</v>
      </c>
      <c r="H316" s="27">
        <f t="shared" ref="H316" si="154">300-300</f>
        <v>0</v>
      </c>
      <c r="I316" s="455" t="e">
        <f t="shared" si="130"/>
        <v>#DIV/0!</v>
      </c>
      <c r="J316" s="478"/>
      <c r="K316" s="463"/>
      <c r="L316" s="201"/>
    </row>
    <row r="317" spans="1:12" s="201" customFormat="1" ht="39.200000000000003" customHeight="1" x14ac:dyDescent="0.25">
      <c r="A317" s="456" t="s">
        <v>947</v>
      </c>
      <c r="B317" s="453">
        <v>903</v>
      </c>
      <c r="C317" s="457" t="s">
        <v>264</v>
      </c>
      <c r="D317" s="457" t="s">
        <v>215</v>
      </c>
      <c r="E317" s="457" t="s">
        <v>1209</v>
      </c>
      <c r="F317" s="457"/>
      <c r="G317" s="44">
        <f>G318</f>
        <v>315</v>
      </c>
      <c r="H317" s="44">
        <f t="shared" ref="H317:H319" si="155">H318</f>
        <v>223.983</v>
      </c>
      <c r="I317" s="455">
        <f t="shared" si="130"/>
        <v>71.105714285714285</v>
      </c>
      <c r="J317" s="478"/>
      <c r="K317" s="463"/>
    </row>
    <row r="318" spans="1:12" s="201" customFormat="1" ht="39.200000000000003" customHeight="1" x14ac:dyDescent="0.25">
      <c r="A318" s="458" t="s">
        <v>839</v>
      </c>
      <c r="B318" s="452">
        <v>903</v>
      </c>
      <c r="C318" s="454" t="s">
        <v>264</v>
      </c>
      <c r="D318" s="454" t="s">
        <v>215</v>
      </c>
      <c r="E318" s="454" t="s">
        <v>1210</v>
      </c>
      <c r="F318" s="454"/>
      <c r="G318" s="459">
        <f>G319</f>
        <v>315</v>
      </c>
      <c r="H318" s="459">
        <f t="shared" si="155"/>
        <v>223.983</v>
      </c>
      <c r="I318" s="459">
        <f t="shared" si="130"/>
        <v>71.105714285714285</v>
      </c>
      <c r="J318" s="478"/>
      <c r="K318" s="463"/>
    </row>
    <row r="319" spans="1:12" s="201" customFormat="1" ht="70.5" customHeight="1" x14ac:dyDescent="0.25">
      <c r="A319" s="458" t="s">
        <v>127</v>
      </c>
      <c r="B319" s="452">
        <v>903</v>
      </c>
      <c r="C319" s="454" t="s">
        <v>264</v>
      </c>
      <c r="D319" s="454" t="s">
        <v>215</v>
      </c>
      <c r="E319" s="454" t="s">
        <v>1210</v>
      </c>
      <c r="F319" s="454" t="s">
        <v>128</v>
      </c>
      <c r="G319" s="459">
        <f>G320</f>
        <v>315</v>
      </c>
      <c r="H319" s="459">
        <f t="shared" si="155"/>
        <v>223.983</v>
      </c>
      <c r="I319" s="459">
        <f t="shared" si="130"/>
        <v>71.105714285714285</v>
      </c>
      <c r="J319" s="478"/>
      <c r="K319" s="463"/>
    </row>
    <row r="320" spans="1:12" s="201" customFormat="1" ht="19.7" customHeight="1" x14ac:dyDescent="0.25">
      <c r="A320" s="458" t="s">
        <v>342</v>
      </c>
      <c r="B320" s="452">
        <v>903</v>
      </c>
      <c r="C320" s="454" t="s">
        <v>264</v>
      </c>
      <c r="D320" s="454" t="s">
        <v>215</v>
      </c>
      <c r="E320" s="454" t="s">
        <v>1210</v>
      </c>
      <c r="F320" s="454" t="s">
        <v>209</v>
      </c>
      <c r="G320" s="459">
        <f>506-95.8-95.2</f>
        <v>315</v>
      </c>
      <c r="H320" s="459">
        <v>223.983</v>
      </c>
      <c r="I320" s="459">
        <f t="shared" si="130"/>
        <v>71.105714285714285</v>
      </c>
      <c r="J320" s="478"/>
      <c r="K320" s="463"/>
    </row>
    <row r="321" spans="1:12" s="201" customFormat="1" ht="39.200000000000003" customHeight="1" x14ac:dyDescent="0.25">
      <c r="A321" s="456" t="s">
        <v>900</v>
      </c>
      <c r="B321" s="453">
        <v>903</v>
      </c>
      <c r="C321" s="457" t="s">
        <v>264</v>
      </c>
      <c r="D321" s="457" t="s">
        <v>215</v>
      </c>
      <c r="E321" s="457" t="s">
        <v>1211</v>
      </c>
      <c r="F321" s="457"/>
      <c r="G321" s="44">
        <f>G325+G328+G322</f>
        <v>1075.4000000000001</v>
      </c>
      <c r="H321" s="44">
        <f t="shared" ref="H321" si="156">H325+H328+H322</f>
        <v>435.22829999999999</v>
      </c>
      <c r="I321" s="455">
        <f t="shared" si="130"/>
        <v>40.47129440208294</v>
      </c>
      <c r="J321" s="478"/>
      <c r="K321" s="463"/>
    </row>
    <row r="322" spans="1:12" s="201" customFormat="1" ht="85.7" customHeight="1" x14ac:dyDescent="0.25">
      <c r="A322" s="31" t="s">
        <v>293</v>
      </c>
      <c r="B322" s="452">
        <v>903</v>
      </c>
      <c r="C322" s="454" t="s">
        <v>264</v>
      </c>
      <c r="D322" s="454" t="s">
        <v>215</v>
      </c>
      <c r="E322" s="454" t="s">
        <v>1406</v>
      </c>
      <c r="F322" s="454"/>
      <c r="G322" s="459">
        <f>G323</f>
        <v>671</v>
      </c>
      <c r="H322" s="459">
        <f t="shared" ref="H322:H323" si="157">H323</f>
        <v>248.4246</v>
      </c>
      <c r="I322" s="459">
        <f t="shared" si="130"/>
        <v>37.023040238450072</v>
      </c>
      <c r="J322" s="478"/>
      <c r="K322" s="463"/>
    </row>
    <row r="323" spans="1:12" s="201" customFormat="1" ht="61.15" customHeight="1" x14ac:dyDescent="0.25">
      <c r="A323" s="458" t="s">
        <v>127</v>
      </c>
      <c r="B323" s="452">
        <v>903</v>
      </c>
      <c r="C323" s="454" t="s">
        <v>264</v>
      </c>
      <c r="D323" s="454" t="s">
        <v>215</v>
      </c>
      <c r="E323" s="454" t="s">
        <v>1406</v>
      </c>
      <c r="F323" s="454" t="s">
        <v>128</v>
      </c>
      <c r="G323" s="459">
        <f>G324</f>
        <v>671</v>
      </c>
      <c r="H323" s="459">
        <f t="shared" si="157"/>
        <v>248.4246</v>
      </c>
      <c r="I323" s="459">
        <f t="shared" si="130"/>
        <v>37.023040238450072</v>
      </c>
      <c r="J323" s="478"/>
      <c r="K323" s="463"/>
    </row>
    <row r="324" spans="1:12" s="201" customFormat="1" ht="19.149999999999999" customHeight="1" x14ac:dyDescent="0.25">
      <c r="A324" s="46" t="s">
        <v>342</v>
      </c>
      <c r="B324" s="452">
        <v>903</v>
      </c>
      <c r="C324" s="454" t="s">
        <v>264</v>
      </c>
      <c r="D324" s="454" t="s">
        <v>215</v>
      </c>
      <c r="E324" s="454" t="s">
        <v>1406</v>
      </c>
      <c r="F324" s="454" t="s">
        <v>209</v>
      </c>
      <c r="G324" s="459">
        <v>671</v>
      </c>
      <c r="H324" s="459">
        <v>248.4246</v>
      </c>
      <c r="I324" s="459">
        <f t="shared" si="130"/>
        <v>37.023040238450072</v>
      </c>
      <c r="J324" s="478"/>
      <c r="K324" s="463"/>
    </row>
    <row r="325" spans="1:12" s="201" customFormat="1" ht="51.75" customHeight="1" x14ac:dyDescent="0.25">
      <c r="A325" s="31" t="s">
        <v>289</v>
      </c>
      <c r="B325" s="452">
        <v>903</v>
      </c>
      <c r="C325" s="454" t="s">
        <v>264</v>
      </c>
      <c r="D325" s="454" t="s">
        <v>215</v>
      </c>
      <c r="E325" s="454" t="s">
        <v>1212</v>
      </c>
      <c r="F325" s="454"/>
      <c r="G325" s="459">
        <f>G326</f>
        <v>106</v>
      </c>
      <c r="H325" s="459">
        <f t="shared" ref="H325:H326" si="158">H326</f>
        <v>52.453699999999998</v>
      </c>
      <c r="I325" s="459">
        <f t="shared" si="130"/>
        <v>49.484622641509432</v>
      </c>
      <c r="J325" s="478"/>
      <c r="K325" s="463"/>
    </row>
    <row r="326" spans="1:12" s="201" customFormat="1" ht="70.5" customHeight="1" x14ac:dyDescent="0.25">
      <c r="A326" s="458" t="s">
        <v>127</v>
      </c>
      <c r="B326" s="452">
        <v>903</v>
      </c>
      <c r="C326" s="454" t="s">
        <v>264</v>
      </c>
      <c r="D326" s="454" t="s">
        <v>215</v>
      </c>
      <c r="E326" s="454" t="s">
        <v>1212</v>
      </c>
      <c r="F326" s="454" t="s">
        <v>128</v>
      </c>
      <c r="G326" s="459">
        <f>G327</f>
        <v>106</v>
      </c>
      <c r="H326" s="459">
        <f t="shared" si="158"/>
        <v>52.453699999999998</v>
      </c>
      <c r="I326" s="459">
        <f t="shared" si="130"/>
        <v>49.484622641509432</v>
      </c>
      <c r="J326" s="478"/>
      <c r="K326" s="463"/>
    </row>
    <row r="327" spans="1:12" s="201" customFormat="1" ht="21.75" customHeight="1" x14ac:dyDescent="0.25">
      <c r="A327" s="46" t="s">
        <v>342</v>
      </c>
      <c r="B327" s="452">
        <v>903</v>
      </c>
      <c r="C327" s="454" t="s">
        <v>264</v>
      </c>
      <c r="D327" s="454" t="s">
        <v>215</v>
      </c>
      <c r="E327" s="454" t="s">
        <v>1212</v>
      </c>
      <c r="F327" s="454" t="s">
        <v>209</v>
      </c>
      <c r="G327" s="459">
        <v>106</v>
      </c>
      <c r="H327" s="459">
        <v>52.453699999999998</v>
      </c>
      <c r="I327" s="459">
        <f t="shared" si="130"/>
        <v>49.484622641509432</v>
      </c>
      <c r="J327" s="478"/>
      <c r="K327" s="463"/>
    </row>
    <row r="328" spans="1:12" s="201" customFormat="1" ht="55.7" customHeight="1" x14ac:dyDescent="0.25">
      <c r="A328" s="31" t="s">
        <v>291</v>
      </c>
      <c r="B328" s="452">
        <v>903</v>
      </c>
      <c r="C328" s="454" t="s">
        <v>264</v>
      </c>
      <c r="D328" s="454" t="s">
        <v>215</v>
      </c>
      <c r="E328" s="454" t="s">
        <v>1213</v>
      </c>
      <c r="F328" s="454"/>
      <c r="G328" s="459">
        <f>G329</f>
        <v>298.40000000000003</v>
      </c>
      <c r="H328" s="459">
        <f t="shared" ref="H328:H329" si="159">H329</f>
        <v>134.35</v>
      </c>
      <c r="I328" s="459">
        <f t="shared" si="130"/>
        <v>45.023458445040212</v>
      </c>
      <c r="J328" s="478"/>
      <c r="K328" s="463"/>
    </row>
    <row r="329" spans="1:12" s="201" customFormat="1" ht="69.75" customHeight="1" x14ac:dyDescent="0.25">
      <c r="A329" s="458" t="s">
        <v>127</v>
      </c>
      <c r="B329" s="452">
        <v>903</v>
      </c>
      <c r="C329" s="454" t="s">
        <v>264</v>
      </c>
      <c r="D329" s="454" t="s">
        <v>215</v>
      </c>
      <c r="E329" s="454" t="s">
        <v>1213</v>
      </c>
      <c r="F329" s="454" t="s">
        <v>128</v>
      </c>
      <c r="G329" s="459">
        <f>G330</f>
        <v>298.40000000000003</v>
      </c>
      <c r="H329" s="459">
        <f t="shared" si="159"/>
        <v>134.35</v>
      </c>
      <c r="I329" s="459">
        <f t="shared" si="130"/>
        <v>45.023458445040212</v>
      </c>
      <c r="J329" s="478"/>
      <c r="K329" s="463"/>
    </row>
    <row r="330" spans="1:12" s="201" customFormat="1" ht="21.2" customHeight="1" x14ac:dyDescent="0.25">
      <c r="A330" s="46" t="s">
        <v>342</v>
      </c>
      <c r="B330" s="452">
        <v>903</v>
      </c>
      <c r="C330" s="454" t="s">
        <v>264</v>
      </c>
      <c r="D330" s="454" t="s">
        <v>215</v>
      </c>
      <c r="E330" s="454" t="s">
        <v>1213</v>
      </c>
      <c r="F330" s="454" t="s">
        <v>209</v>
      </c>
      <c r="G330" s="459">
        <f>298.35+0.05</f>
        <v>298.40000000000003</v>
      </c>
      <c r="H330" s="459">
        <v>134.35</v>
      </c>
      <c r="I330" s="459">
        <f t="shared" si="130"/>
        <v>45.023458445040212</v>
      </c>
      <c r="J330" s="478"/>
      <c r="K330" s="463"/>
    </row>
    <row r="331" spans="1:12" s="201" customFormat="1" ht="50.25" customHeight="1" x14ac:dyDescent="0.25">
      <c r="A331" s="34" t="s">
        <v>1360</v>
      </c>
      <c r="B331" s="453">
        <v>903</v>
      </c>
      <c r="C331" s="457" t="s">
        <v>264</v>
      </c>
      <c r="D331" s="457" t="s">
        <v>215</v>
      </c>
      <c r="E331" s="457" t="s">
        <v>324</v>
      </c>
      <c r="F331" s="457"/>
      <c r="G331" s="455">
        <f>G333</f>
        <v>9.5</v>
      </c>
      <c r="H331" s="455">
        <f t="shared" ref="H331" si="160">H333</f>
        <v>9.4499999999999993</v>
      </c>
      <c r="I331" s="455">
        <f t="shared" si="130"/>
        <v>99.473684210526301</v>
      </c>
      <c r="J331" s="478"/>
      <c r="K331" s="463"/>
    </row>
    <row r="332" spans="1:12" s="201" customFormat="1" ht="49.7" customHeight="1" x14ac:dyDescent="0.25">
      <c r="A332" s="34" t="s">
        <v>1025</v>
      </c>
      <c r="B332" s="453">
        <v>903</v>
      </c>
      <c r="C332" s="457" t="s">
        <v>264</v>
      </c>
      <c r="D332" s="457" t="s">
        <v>215</v>
      </c>
      <c r="E332" s="457" t="s">
        <v>934</v>
      </c>
      <c r="F332" s="457"/>
      <c r="G332" s="455">
        <f>G335</f>
        <v>9.5</v>
      </c>
      <c r="H332" s="455">
        <f t="shared" ref="H332" si="161">H335</f>
        <v>9.4499999999999993</v>
      </c>
      <c r="I332" s="455">
        <f t="shared" ref="I332:I395" si="162">H332/G332*100</f>
        <v>99.473684210526301</v>
      </c>
      <c r="J332" s="478"/>
      <c r="K332" s="463"/>
    </row>
    <row r="333" spans="1:12" s="201" customFormat="1" ht="48.2" customHeight="1" x14ac:dyDescent="0.25">
      <c r="A333" s="31" t="s">
        <v>1081</v>
      </c>
      <c r="B333" s="452">
        <v>903</v>
      </c>
      <c r="C333" s="454" t="s">
        <v>264</v>
      </c>
      <c r="D333" s="454" t="s">
        <v>215</v>
      </c>
      <c r="E333" s="454" t="s">
        <v>1026</v>
      </c>
      <c r="F333" s="454"/>
      <c r="G333" s="459">
        <f>G334</f>
        <v>9.5</v>
      </c>
      <c r="H333" s="459">
        <f t="shared" ref="H333:H334" si="163">H334</f>
        <v>9.4499999999999993</v>
      </c>
      <c r="I333" s="459">
        <f t="shared" si="162"/>
        <v>99.473684210526301</v>
      </c>
      <c r="J333" s="478"/>
      <c r="K333" s="463"/>
    </row>
    <row r="334" spans="1:12" s="201" customFormat="1" ht="31.9" customHeight="1" x14ac:dyDescent="0.25">
      <c r="A334" s="458" t="s">
        <v>131</v>
      </c>
      <c r="B334" s="452">
        <v>903</v>
      </c>
      <c r="C334" s="454" t="s">
        <v>264</v>
      </c>
      <c r="D334" s="454" t="s">
        <v>215</v>
      </c>
      <c r="E334" s="454" t="s">
        <v>1026</v>
      </c>
      <c r="F334" s="454" t="s">
        <v>132</v>
      </c>
      <c r="G334" s="459">
        <f>G335</f>
        <v>9.5</v>
      </c>
      <c r="H334" s="459">
        <f t="shared" si="163"/>
        <v>9.4499999999999993</v>
      </c>
      <c r="I334" s="459">
        <f t="shared" si="162"/>
        <v>99.473684210526301</v>
      </c>
      <c r="J334" s="478"/>
      <c r="K334" s="463"/>
    </row>
    <row r="335" spans="1:12" s="201" customFormat="1" ht="34.700000000000003" customHeight="1" x14ac:dyDescent="0.25">
      <c r="A335" s="458" t="s">
        <v>133</v>
      </c>
      <c r="B335" s="452">
        <v>903</v>
      </c>
      <c r="C335" s="454" t="s">
        <v>264</v>
      </c>
      <c r="D335" s="454" t="s">
        <v>215</v>
      </c>
      <c r="E335" s="454" t="s">
        <v>1026</v>
      </c>
      <c r="F335" s="454" t="s">
        <v>134</v>
      </c>
      <c r="G335" s="459">
        <f>8+1.5</f>
        <v>9.5</v>
      </c>
      <c r="H335" s="459">
        <v>9.4499999999999993</v>
      </c>
      <c r="I335" s="459">
        <f t="shared" si="162"/>
        <v>99.473684210526301</v>
      </c>
      <c r="J335" s="478"/>
      <c r="K335" s="463"/>
    </row>
    <row r="336" spans="1:12" ht="51" customHeight="1" x14ac:dyDescent="0.25">
      <c r="A336" s="462" t="s">
        <v>1355</v>
      </c>
      <c r="B336" s="453">
        <v>903</v>
      </c>
      <c r="C336" s="457" t="s">
        <v>264</v>
      </c>
      <c r="D336" s="457" t="s">
        <v>215</v>
      </c>
      <c r="E336" s="457" t="s">
        <v>705</v>
      </c>
      <c r="F336" s="457"/>
      <c r="G336" s="455">
        <f>G338</f>
        <v>595.5</v>
      </c>
      <c r="H336" s="455">
        <f t="shared" ref="H336" si="164">H338</f>
        <v>261.70699999999999</v>
      </c>
      <c r="I336" s="455">
        <f t="shared" si="162"/>
        <v>43.947439126784218</v>
      </c>
      <c r="J336" s="478"/>
      <c r="K336" s="463"/>
      <c r="L336" s="201"/>
    </row>
    <row r="337" spans="1:12" s="201" customFormat="1" ht="48.75" customHeight="1" x14ac:dyDescent="0.25">
      <c r="A337" s="462" t="s">
        <v>890</v>
      </c>
      <c r="B337" s="453">
        <v>903</v>
      </c>
      <c r="C337" s="457" t="s">
        <v>264</v>
      </c>
      <c r="D337" s="457" t="s">
        <v>215</v>
      </c>
      <c r="E337" s="457" t="s">
        <v>888</v>
      </c>
      <c r="F337" s="457"/>
      <c r="G337" s="455">
        <f>G338</f>
        <v>595.5</v>
      </c>
      <c r="H337" s="455">
        <f t="shared" ref="H337:H339" si="165">H338</f>
        <v>261.70699999999999</v>
      </c>
      <c r="I337" s="455">
        <f t="shared" si="162"/>
        <v>43.947439126784218</v>
      </c>
      <c r="J337" s="478"/>
      <c r="K337" s="463"/>
    </row>
    <row r="338" spans="1:12" ht="32.25" customHeight="1" x14ac:dyDescent="0.25">
      <c r="A338" s="98" t="s">
        <v>1004</v>
      </c>
      <c r="B338" s="454" t="s">
        <v>627</v>
      </c>
      <c r="C338" s="454" t="s">
        <v>264</v>
      </c>
      <c r="D338" s="454" t="s">
        <v>215</v>
      </c>
      <c r="E338" s="454" t="s">
        <v>889</v>
      </c>
      <c r="F338" s="460"/>
      <c r="G338" s="459">
        <f>G339</f>
        <v>595.5</v>
      </c>
      <c r="H338" s="459">
        <f t="shared" si="165"/>
        <v>261.70699999999999</v>
      </c>
      <c r="I338" s="459">
        <f t="shared" si="162"/>
        <v>43.947439126784218</v>
      </c>
      <c r="J338" s="478"/>
      <c r="K338" s="463"/>
      <c r="L338" s="201"/>
    </row>
    <row r="339" spans="1:12" ht="33" customHeight="1" x14ac:dyDescent="0.25">
      <c r="A339" s="458" t="s">
        <v>131</v>
      </c>
      <c r="B339" s="452">
        <v>903</v>
      </c>
      <c r="C339" s="454" t="s">
        <v>264</v>
      </c>
      <c r="D339" s="454" t="s">
        <v>215</v>
      </c>
      <c r="E339" s="454" t="s">
        <v>889</v>
      </c>
      <c r="F339" s="460" t="s">
        <v>132</v>
      </c>
      <c r="G339" s="459">
        <f>G340</f>
        <v>595.5</v>
      </c>
      <c r="H339" s="459">
        <f t="shared" si="165"/>
        <v>261.70699999999999</v>
      </c>
      <c r="I339" s="459">
        <f t="shared" si="162"/>
        <v>43.947439126784218</v>
      </c>
      <c r="J339" s="478"/>
      <c r="K339" s="463"/>
      <c r="L339" s="201"/>
    </row>
    <row r="340" spans="1:12" ht="34.5" customHeight="1" x14ac:dyDescent="0.25">
      <c r="A340" s="458" t="s">
        <v>133</v>
      </c>
      <c r="B340" s="452">
        <v>903</v>
      </c>
      <c r="C340" s="454" t="s">
        <v>264</v>
      </c>
      <c r="D340" s="454" t="s">
        <v>215</v>
      </c>
      <c r="E340" s="454" t="s">
        <v>889</v>
      </c>
      <c r="F340" s="460" t="s">
        <v>134</v>
      </c>
      <c r="G340" s="459">
        <f>471.3-223.9+148.5-71.4+84+187</f>
        <v>595.5</v>
      </c>
      <c r="H340" s="459">
        <v>261.70699999999999</v>
      </c>
      <c r="I340" s="459">
        <f t="shared" si="162"/>
        <v>43.947439126784218</v>
      </c>
      <c r="J340" s="478"/>
      <c r="K340" s="478">
        <v>44417</v>
      </c>
      <c r="L340" s="201"/>
    </row>
    <row r="341" spans="1:12" ht="19.5" customHeight="1" x14ac:dyDescent="0.25">
      <c r="A341" s="456" t="s">
        <v>466</v>
      </c>
      <c r="B341" s="453">
        <v>903</v>
      </c>
      <c r="C341" s="457" t="s">
        <v>264</v>
      </c>
      <c r="D341" s="457" t="s">
        <v>264</v>
      </c>
      <c r="E341" s="454"/>
      <c r="F341" s="454"/>
      <c r="G341" s="455">
        <f>G342</f>
        <v>760</v>
      </c>
      <c r="H341" s="455">
        <f t="shared" ref="H341:H342" si="166">H342</f>
        <v>654.61300000000006</v>
      </c>
      <c r="I341" s="455">
        <f t="shared" si="162"/>
        <v>86.133289473684215</v>
      </c>
      <c r="J341" s="478"/>
      <c r="K341" s="463"/>
      <c r="L341" s="201"/>
    </row>
    <row r="342" spans="1:12" ht="50.25" customHeight="1" x14ac:dyDescent="0.25">
      <c r="A342" s="456" t="s">
        <v>1350</v>
      </c>
      <c r="B342" s="453">
        <v>903</v>
      </c>
      <c r="C342" s="457" t="s">
        <v>264</v>
      </c>
      <c r="D342" s="457" t="s">
        <v>264</v>
      </c>
      <c r="E342" s="457" t="s">
        <v>344</v>
      </c>
      <c r="F342" s="457"/>
      <c r="G342" s="455">
        <f>G343</f>
        <v>760</v>
      </c>
      <c r="H342" s="455">
        <f t="shared" si="166"/>
        <v>654.61300000000006</v>
      </c>
      <c r="I342" s="455">
        <f t="shared" si="162"/>
        <v>86.133289473684215</v>
      </c>
      <c r="J342" s="478"/>
      <c r="K342" s="463"/>
      <c r="L342" s="201"/>
    </row>
    <row r="343" spans="1:12" ht="32.25" customHeight="1" x14ac:dyDescent="0.25">
      <c r="A343" s="456" t="s">
        <v>345</v>
      </c>
      <c r="B343" s="453">
        <v>903</v>
      </c>
      <c r="C343" s="457" t="s">
        <v>264</v>
      </c>
      <c r="D343" s="457" t="s">
        <v>264</v>
      </c>
      <c r="E343" s="457" t="s">
        <v>346</v>
      </c>
      <c r="F343" s="457"/>
      <c r="G343" s="455">
        <f>G344+G351+G357</f>
        <v>760</v>
      </c>
      <c r="H343" s="455">
        <f t="shared" ref="H343" si="167">H344+H351+H357</f>
        <v>654.61300000000006</v>
      </c>
      <c r="I343" s="455">
        <f t="shared" si="162"/>
        <v>86.133289473684215</v>
      </c>
      <c r="J343" s="478"/>
      <c r="K343" s="463"/>
      <c r="L343" s="201"/>
    </row>
    <row r="344" spans="1:12" s="201" customFormat="1" ht="48.75" customHeight="1" x14ac:dyDescent="0.25">
      <c r="A344" s="206" t="s">
        <v>1029</v>
      </c>
      <c r="B344" s="453">
        <v>903</v>
      </c>
      <c r="C344" s="457" t="s">
        <v>264</v>
      </c>
      <c r="D344" s="457" t="s">
        <v>264</v>
      </c>
      <c r="E344" s="457" t="s">
        <v>892</v>
      </c>
      <c r="F344" s="457"/>
      <c r="G344" s="455">
        <f>G345+G348</f>
        <v>280</v>
      </c>
      <c r="H344" s="455">
        <f t="shared" ref="H344" si="168">H345+H348</f>
        <v>263.09399999999999</v>
      </c>
      <c r="I344" s="455">
        <f t="shared" si="162"/>
        <v>93.962142857142851</v>
      </c>
      <c r="J344" s="478"/>
      <c r="K344" s="463"/>
    </row>
    <row r="345" spans="1:12" s="201" customFormat="1" ht="23.25" customHeight="1" x14ac:dyDescent="0.25">
      <c r="A345" s="98" t="s">
        <v>1035</v>
      </c>
      <c r="B345" s="452">
        <v>903</v>
      </c>
      <c r="C345" s="454" t="s">
        <v>264</v>
      </c>
      <c r="D345" s="454" t="s">
        <v>264</v>
      </c>
      <c r="E345" s="454" t="s">
        <v>893</v>
      </c>
      <c r="F345" s="454"/>
      <c r="G345" s="459">
        <f>G346</f>
        <v>280</v>
      </c>
      <c r="H345" s="459">
        <f t="shared" ref="H345:H346" si="169">H346</f>
        <v>263.09399999999999</v>
      </c>
      <c r="I345" s="459">
        <f t="shared" si="162"/>
        <v>93.962142857142851</v>
      </c>
      <c r="J345" s="478"/>
      <c r="K345" s="463"/>
    </row>
    <row r="346" spans="1:12" s="201" customFormat="1" ht="66.599999999999994" customHeight="1" x14ac:dyDescent="0.25">
      <c r="A346" s="458" t="s">
        <v>127</v>
      </c>
      <c r="B346" s="452">
        <v>903</v>
      </c>
      <c r="C346" s="454" t="s">
        <v>264</v>
      </c>
      <c r="D346" s="454" t="s">
        <v>264</v>
      </c>
      <c r="E346" s="454" t="s">
        <v>893</v>
      </c>
      <c r="F346" s="454" t="s">
        <v>128</v>
      </c>
      <c r="G346" s="459">
        <f>G347</f>
        <v>280</v>
      </c>
      <c r="H346" s="459">
        <f t="shared" si="169"/>
        <v>263.09399999999999</v>
      </c>
      <c r="I346" s="459">
        <f t="shared" si="162"/>
        <v>93.962142857142851</v>
      </c>
      <c r="J346" s="478"/>
      <c r="K346" s="463"/>
    </row>
    <row r="347" spans="1:12" s="201" customFormat="1" ht="18" customHeight="1" x14ac:dyDescent="0.25">
      <c r="A347" s="458" t="s">
        <v>342</v>
      </c>
      <c r="B347" s="452">
        <v>903</v>
      </c>
      <c r="C347" s="454" t="s">
        <v>264</v>
      </c>
      <c r="D347" s="454" t="s">
        <v>264</v>
      </c>
      <c r="E347" s="454" t="s">
        <v>893</v>
      </c>
      <c r="F347" s="454" t="s">
        <v>209</v>
      </c>
      <c r="G347" s="459">
        <f>280</f>
        <v>280</v>
      </c>
      <c r="H347" s="459">
        <v>263.09399999999999</v>
      </c>
      <c r="I347" s="459">
        <f t="shared" si="162"/>
        <v>93.962142857142851</v>
      </c>
      <c r="J347" s="478"/>
      <c r="K347" s="463"/>
    </row>
    <row r="348" spans="1:12" s="201" customFormat="1" ht="19.5" hidden="1" customHeight="1" x14ac:dyDescent="0.25">
      <c r="A348" s="458" t="s">
        <v>1030</v>
      </c>
      <c r="B348" s="452">
        <v>903</v>
      </c>
      <c r="C348" s="454" t="s">
        <v>264</v>
      </c>
      <c r="D348" s="454" t="s">
        <v>264</v>
      </c>
      <c r="E348" s="454" t="s">
        <v>1047</v>
      </c>
      <c r="F348" s="454"/>
      <c r="G348" s="459">
        <f>G349</f>
        <v>0</v>
      </c>
      <c r="H348" s="459">
        <f t="shared" ref="H348:H349" si="170">H349</f>
        <v>0</v>
      </c>
      <c r="I348" s="455" t="e">
        <f t="shared" si="162"/>
        <v>#DIV/0!</v>
      </c>
      <c r="J348" s="478"/>
      <c r="K348" s="463"/>
    </row>
    <row r="349" spans="1:12" s="201" customFormat="1" ht="32.25" hidden="1" customHeight="1" x14ac:dyDescent="0.25">
      <c r="A349" s="458" t="s">
        <v>131</v>
      </c>
      <c r="B349" s="452">
        <v>903</v>
      </c>
      <c r="C349" s="454" t="s">
        <v>264</v>
      </c>
      <c r="D349" s="454" t="s">
        <v>264</v>
      </c>
      <c r="E349" s="454" t="s">
        <v>1047</v>
      </c>
      <c r="F349" s="454" t="s">
        <v>132</v>
      </c>
      <c r="G349" s="459">
        <f>G350</f>
        <v>0</v>
      </c>
      <c r="H349" s="459">
        <f t="shared" si="170"/>
        <v>0</v>
      </c>
      <c r="I349" s="455" t="e">
        <f t="shared" si="162"/>
        <v>#DIV/0!</v>
      </c>
      <c r="J349" s="478"/>
      <c r="K349" s="463"/>
    </row>
    <row r="350" spans="1:12" s="201" customFormat="1" ht="37.5" hidden="1" customHeight="1" x14ac:dyDescent="0.25">
      <c r="A350" s="458" t="s">
        <v>133</v>
      </c>
      <c r="B350" s="452">
        <v>903</v>
      </c>
      <c r="C350" s="454" t="s">
        <v>264</v>
      </c>
      <c r="D350" s="454" t="s">
        <v>264</v>
      </c>
      <c r="E350" s="454" t="s">
        <v>1047</v>
      </c>
      <c r="F350" s="454" t="s">
        <v>134</v>
      </c>
      <c r="G350" s="459">
        <v>0</v>
      </c>
      <c r="H350" s="459">
        <v>0</v>
      </c>
      <c r="I350" s="455" t="e">
        <f t="shared" si="162"/>
        <v>#DIV/0!</v>
      </c>
      <c r="J350" s="478"/>
      <c r="K350" s="463"/>
    </row>
    <row r="351" spans="1:12" s="201" customFormat="1" ht="64.5" customHeight="1" x14ac:dyDescent="0.25">
      <c r="A351" s="456" t="s">
        <v>1031</v>
      </c>
      <c r="B351" s="453">
        <v>903</v>
      </c>
      <c r="C351" s="457" t="s">
        <v>264</v>
      </c>
      <c r="D351" s="457" t="s">
        <v>264</v>
      </c>
      <c r="E351" s="457" t="s">
        <v>894</v>
      </c>
      <c r="F351" s="457"/>
      <c r="G351" s="455">
        <f>G352</f>
        <v>455</v>
      </c>
      <c r="H351" s="455">
        <f t="shared" ref="H351" si="171">H352</f>
        <v>366.51900000000001</v>
      </c>
      <c r="I351" s="455">
        <f t="shared" si="162"/>
        <v>80.553626373626372</v>
      </c>
      <c r="J351" s="478"/>
      <c r="K351" s="463"/>
    </row>
    <row r="352" spans="1:12" ht="15.75" customHeight="1" x14ac:dyDescent="0.25">
      <c r="A352" s="458" t="s">
        <v>1032</v>
      </c>
      <c r="B352" s="452">
        <v>903</v>
      </c>
      <c r="C352" s="454" t="s">
        <v>264</v>
      </c>
      <c r="D352" s="454" t="s">
        <v>264</v>
      </c>
      <c r="E352" s="454" t="s">
        <v>901</v>
      </c>
      <c r="F352" s="454"/>
      <c r="G352" s="459">
        <f>G355+G354</f>
        <v>455</v>
      </c>
      <c r="H352" s="459">
        <f t="shared" ref="H352" si="172">H355+H354</f>
        <v>366.51900000000001</v>
      </c>
      <c r="I352" s="459">
        <f t="shared" si="162"/>
        <v>80.553626373626372</v>
      </c>
      <c r="J352" s="478"/>
      <c r="K352" s="463"/>
      <c r="L352" s="201"/>
    </row>
    <row r="353" spans="1:12" ht="63" customHeight="1" x14ac:dyDescent="0.25">
      <c r="A353" s="458" t="s">
        <v>127</v>
      </c>
      <c r="B353" s="452">
        <v>903</v>
      </c>
      <c r="C353" s="454" t="s">
        <v>264</v>
      </c>
      <c r="D353" s="454" t="s">
        <v>264</v>
      </c>
      <c r="E353" s="454" t="s">
        <v>901</v>
      </c>
      <c r="F353" s="454" t="s">
        <v>128</v>
      </c>
      <c r="G353" s="459">
        <f>G354</f>
        <v>40</v>
      </c>
      <c r="H353" s="459">
        <f t="shared" ref="H353" si="173">H354</f>
        <v>0</v>
      </c>
      <c r="I353" s="459">
        <f t="shared" si="162"/>
        <v>0</v>
      </c>
      <c r="J353" s="478"/>
      <c r="K353" s="463"/>
      <c r="L353" s="201"/>
    </row>
    <row r="354" spans="1:12" ht="20.25" customHeight="1" x14ac:dyDescent="0.25">
      <c r="A354" s="458" t="s">
        <v>342</v>
      </c>
      <c r="B354" s="452">
        <v>903</v>
      </c>
      <c r="C354" s="454" t="s">
        <v>264</v>
      </c>
      <c r="D354" s="454" t="s">
        <v>264</v>
      </c>
      <c r="E354" s="454" t="s">
        <v>901</v>
      </c>
      <c r="F354" s="454" t="s">
        <v>209</v>
      </c>
      <c r="G354" s="459">
        <f>40</f>
        <v>40</v>
      </c>
      <c r="H354" s="459">
        <v>0</v>
      </c>
      <c r="I354" s="459">
        <f t="shared" si="162"/>
        <v>0</v>
      </c>
      <c r="J354" s="478"/>
      <c r="K354" s="463"/>
      <c r="L354" s="201"/>
    </row>
    <row r="355" spans="1:12" ht="36.75" customHeight="1" x14ac:dyDescent="0.25">
      <c r="A355" s="458" t="s">
        <v>131</v>
      </c>
      <c r="B355" s="452">
        <v>903</v>
      </c>
      <c r="C355" s="454" t="s">
        <v>264</v>
      </c>
      <c r="D355" s="454" t="s">
        <v>264</v>
      </c>
      <c r="E355" s="454" t="s">
        <v>901</v>
      </c>
      <c r="F355" s="454" t="s">
        <v>132</v>
      </c>
      <c r="G355" s="459">
        <f>G356</f>
        <v>415</v>
      </c>
      <c r="H355" s="459">
        <f t="shared" ref="H355" si="174">H356</f>
        <v>366.51900000000001</v>
      </c>
      <c r="I355" s="459">
        <f t="shared" si="162"/>
        <v>88.317831325301213</v>
      </c>
      <c r="J355" s="478"/>
      <c r="K355" s="463"/>
      <c r="L355" s="201"/>
    </row>
    <row r="356" spans="1:12" ht="39.200000000000003" customHeight="1" x14ac:dyDescent="0.25">
      <c r="A356" s="458" t="s">
        <v>133</v>
      </c>
      <c r="B356" s="452">
        <v>903</v>
      </c>
      <c r="C356" s="454" t="s">
        <v>264</v>
      </c>
      <c r="D356" s="454" t="s">
        <v>264</v>
      </c>
      <c r="E356" s="454" t="s">
        <v>901</v>
      </c>
      <c r="F356" s="454" t="s">
        <v>134</v>
      </c>
      <c r="G356" s="459">
        <f>415-135.5+135.5</f>
        <v>415</v>
      </c>
      <c r="H356" s="459">
        <v>366.51900000000001</v>
      </c>
      <c r="I356" s="459">
        <f t="shared" si="162"/>
        <v>88.317831325301213</v>
      </c>
      <c r="J356" s="478"/>
      <c r="K356" s="463"/>
      <c r="L356" s="201"/>
    </row>
    <row r="357" spans="1:12" s="201" customFormat="1" ht="35.450000000000003" customHeight="1" x14ac:dyDescent="0.25">
      <c r="A357" s="456" t="s">
        <v>1037</v>
      </c>
      <c r="B357" s="453">
        <v>903</v>
      </c>
      <c r="C357" s="457" t="s">
        <v>264</v>
      </c>
      <c r="D357" s="457" t="s">
        <v>264</v>
      </c>
      <c r="E357" s="457" t="s">
        <v>1033</v>
      </c>
      <c r="F357" s="457"/>
      <c r="G357" s="455">
        <f>G358</f>
        <v>25</v>
      </c>
      <c r="H357" s="455">
        <f t="shared" ref="H357:H359" si="175">H358</f>
        <v>25</v>
      </c>
      <c r="I357" s="455">
        <f t="shared" si="162"/>
        <v>100</v>
      </c>
      <c r="J357" s="478"/>
      <c r="K357" s="463"/>
    </row>
    <row r="358" spans="1:12" s="201" customFormat="1" ht="39.75" customHeight="1" x14ac:dyDescent="0.25">
      <c r="A358" s="226" t="s">
        <v>1034</v>
      </c>
      <c r="B358" s="452">
        <v>903</v>
      </c>
      <c r="C358" s="454" t="s">
        <v>264</v>
      </c>
      <c r="D358" s="454" t="s">
        <v>264</v>
      </c>
      <c r="E358" s="454" t="s">
        <v>1048</v>
      </c>
      <c r="F358" s="454"/>
      <c r="G358" s="459">
        <f>G359</f>
        <v>25</v>
      </c>
      <c r="H358" s="459">
        <f t="shared" si="175"/>
        <v>25</v>
      </c>
      <c r="I358" s="459">
        <f t="shared" si="162"/>
        <v>100</v>
      </c>
      <c r="J358" s="478"/>
      <c r="K358" s="463"/>
    </row>
    <row r="359" spans="1:12" s="201" customFormat="1" ht="17.45" customHeight="1" x14ac:dyDescent="0.25">
      <c r="A359" s="458" t="s">
        <v>248</v>
      </c>
      <c r="B359" s="452">
        <v>903</v>
      </c>
      <c r="C359" s="454" t="s">
        <v>264</v>
      </c>
      <c r="D359" s="454" t="s">
        <v>264</v>
      </c>
      <c r="E359" s="454" t="s">
        <v>1048</v>
      </c>
      <c r="F359" s="454" t="s">
        <v>249</v>
      </c>
      <c r="G359" s="459">
        <f>G360</f>
        <v>25</v>
      </c>
      <c r="H359" s="459">
        <f t="shared" si="175"/>
        <v>25</v>
      </c>
      <c r="I359" s="459">
        <f t="shared" si="162"/>
        <v>100</v>
      </c>
      <c r="J359" s="478"/>
      <c r="K359" s="463"/>
    </row>
    <row r="360" spans="1:12" s="201" customFormat="1" ht="35.450000000000003" customHeight="1" x14ac:dyDescent="0.25">
      <c r="A360" s="458" t="s">
        <v>1197</v>
      </c>
      <c r="B360" s="452">
        <v>903</v>
      </c>
      <c r="C360" s="454" t="s">
        <v>264</v>
      </c>
      <c r="D360" s="454" t="s">
        <v>264</v>
      </c>
      <c r="E360" s="454" t="s">
        <v>1048</v>
      </c>
      <c r="F360" s="454" t="s">
        <v>1196</v>
      </c>
      <c r="G360" s="459">
        <v>25</v>
      </c>
      <c r="H360" s="459">
        <v>25</v>
      </c>
      <c r="I360" s="459">
        <f t="shared" si="162"/>
        <v>100</v>
      </c>
      <c r="J360" s="478"/>
      <c r="K360" s="463"/>
    </row>
    <row r="361" spans="1:12" s="201" customFormat="1" ht="21.75" customHeight="1" x14ac:dyDescent="0.25">
      <c r="A361" s="456" t="s">
        <v>295</v>
      </c>
      <c r="B361" s="453">
        <v>903</v>
      </c>
      <c r="C361" s="457" t="s">
        <v>264</v>
      </c>
      <c r="D361" s="457" t="s">
        <v>219</v>
      </c>
      <c r="E361" s="457"/>
      <c r="F361" s="457"/>
      <c r="G361" s="455">
        <f>G362</f>
        <v>315</v>
      </c>
      <c r="H361" s="455">
        <f t="shared" ref="H361:H364" si="176">H362</f>
        <v>315</v>
      </c>
      <c r="I361" s="455">
        <f t="shared" si="162"/>
        <v>100</v>
      </c>
      <c r="J361" s="478"/>
      <c r="K361" s="463"/>
    </row>
    <row r="362" spans="1:12" s="201" customFormat="1" ht="35.450000000000003" customHeight="1" x14ac:dyDescent="0.25">
      <c r="A362" s="34" t="s">
        <v>870</v>
      </c>
      <c r="B362" s="453">
        <v>903</v>
      </c>
      <c r="C362" s="457" t="s">
        <v>264</v>
      </c>
      <c r="D362" s="457" t="s">
        <v>219</v>
      </c>
      <c r="E362" s="457" t="s">
        <v>865</v>
      </c>
      <c r="F362" s="457"/>
      <c r="G362" s="455">
        <f>G363</f>
        <v>315</v>
      </c>
      <c r="H362" s="455">
        <f t="shared" si="176"/>
        <v>315</v>
      </c>
      <c r="I362" s="455">
        <f t="shared" si="162"/>
        <v>100</v>
      </c>
      <c r="J362" s="478"/>
      <c r="K362" s="463"/>
    </row>
    <row r="363" spans="1:12" s="201" customFormat="1" ht="54.4" customHeight="1" x14ac:dyDescent="0.25">
      <c r="A363" s="31" t="s">
        <v>1702</v>
      </c>
      <c r="B363" s="452">
        <v>903</v>
      </c>
      <c r="C363" s="454" t="s">
        <v>264</v>
      </c>
      <c r="D363" s="454" t="s">
        <v>219</v>
      </c>
      <c r="E363" s="454" t="s">
        <v>1701</v>
      </c>
      <c r="F363" s="454"/>
      <c r="G363" s="459">
        <f>G364</f>
        <v>315</v>
      </c>
      <c r="H363" s="459">
        <f t="shared" si="176"/>
        <v>315</v>
      </c>
      <c r="I363" s="459">
        <f t="shared" si="162"/>
        <v>100</v>
      </c>
      <c r="J363" s="478"/>
      <c r="K363" s="463"/>
    </row>
    <row r="364" spans="1:12" s="201" customFormat="1" ht="35.450000000000003" customHeight="1" x14ac:dyDescent="0.25">
      <c r="A364" s="458" t="s">
        <v>131</v>
      </c>
      <c r="B364" s="452">
        <v>903</v>
      </c>
      <c r="C364" s="454" t="s">
        <v>264</v>
      </c>
      <c r="D364" s="454" t="s">
        <v>219</v>
      </c>
      <c r="E364" s="454" t="s">
        <v>1701</v>
      </c>
      <c r="F364" s="454" t="s">
        <v>132</v>
      </c>
      <c r="G364" s="459">
        <f>G365</f>
        <v>315</v>
      </c>
      <c r="H364" s="459">
        <f t="shared" si="176"/>
        <v>315</v>
      </c>
      <c r="I364" s="459">
        <f t="shared" si="162"/>
        <v>100</v>
      </c>
      <c r="J364" s="478"/>
      <c r="K364" s="463"/>
    </row>
    <row r="365" spans="1:12" s="201" customFormat="1" ht="35.450000000000003" customHeight="1" x14ac:dyDescent="0.25">
      <c r="A365" s="458" t="s">
        <v>133</v>
      </c>
      <c r="B365" s="452">
        <v>903</v>
      </c>
      <c r="C365" s="454" t="s">
        <v>264</v>
      </c>
      <c r="D365" s="454" t="s">
        <v>219</v>
      </c>
      <c r="E365" s="454" t="s">
        <v>1701</v>
      </c>
      <c r="F365" s="454" t="s">
        <v>134</v>
      </c>
      <c r="G365" s="459">
        <v>315</v>
      </c>
      <c r="H365" s="459">
        <v>315</v>
      </c>
      <c r="I365" s="459">
        <f t="shared" si="162"/>
        <v>100</v>
      </c>
      <c r="J365" s="478"/>
      <c r="K365" s="463"/>
    </row>
    <row r="366" spans="1:12" ht="15.75" x14ac:dyDescent="0.25">
      <c r="A366" s="456" t="s">
        <v>298</v>
      </c>
      <c r="B366" s="453">
        <v>903</v>
      </c>
      <c r="C366" s="457" t="s">
        <v>299</v>
      </c>
      <c r="D366" s="457"/>
      <c r="E366" s="457"/>
      <c r="F366" s="457"/>
      <c r="G366" s="455">
        <f>G367+G427</f>
        <v>82056.5</v>
      </c>
      <c r="H366" s="455">
        <f t="shared" ref="H366" si="177">H367+H427</f>
        <v>54484.695320000006</v>
      </c>
      <c r="I366" s="455">
        <f t="shared" si="162"/>
        <v>66.398999859852665</v>
      </c>
      <c r="J366" s="478"/>
      <c r="K366" s="463"/>
      <c r="L366" s="201"/>
    </row>
    <row r="367" spans="1:12" ht="15.75" x14ac:dyDescent="0.25">
      <c r="A367" s="456" t="s">
        <v>300</v>
      </c>
      <c r="B367" s="453">
        <v>903</v>
      </c>
      <c r="C367" s="457" t="s">
        <v>299</v>
      </c>
      <c r="D367" s="457" t="s">
        <v>118</v>
      </c>
      <c r="E367" s="457"/>
      <c r="F367" s="457"/>
      <c r="G367" s="455">
        <f>G368+G422+G417</f>
        <v>62267.999999999993</v>
      </c>
      <c r="H367" s="455">
        <f t="shared" ref="H367" si="178">H368+H422+H417</f>
        <v>38421.968300000008</v>
      </c>
      <c r="I367" s="455">
        <f t="shared" si="162"/>
        <v>61.704195252778341</v>
      </c>
      <c r="J367" s="478"/>
      <c r="K367" s="463"/>
      <c r="L367" s="201"/>
    </row>
    <row r="368" spans="1:12" ht="35.450000000000003" customHeight="1" x14ac:dyDescent="0.25">
      <c r="A368" s="456" t="s">
        <v>1354</v>
      </c>
      <c r="B368" s="453">
        <v>903</v>
      </c>
      <c r="C368" s="457" t="s">
        <v>299</v>
      </c>
      <c r="D368" s="457" t="s">
        <v>118</v>
      </c>
      <c r="E368" s="457" t="s">
        <v>267</v>
      </c>
      <c r="F368" s="457"/>
      <c r="G368" s="455">
        <f>G369+G380+G386+G390+G397+G401+G409+G413</f>
        <v>61396.299999999996</v>
      </c>
      <c r="H368" s="455">
        <f t="shared" ref="H368" si="179">H369+H380+H386+H390+H397+H401+H409+H413</f>
        <v>37807.689300000005</v>
      </c>
      <c r="I368" s="455">
        <f t="shared" si="162"/>
        <v>61.579752037174899</v>
      </c>
      <c r="J368" s="478"/>
      <c r="K368" s="463"/>
      <c r="L368" s="201"/>
    </row>
    <row r="369" spans="1:13" s="201" customFormat="1" ht="30.2" customHeight="1" x14ac:dyDescent="0.25">
      <c r="A369" s="456" t="s">
        <v>1300</v>
      </c>
      <c r="B369" s="453">
        <v>903</v>
      </c>
      <c r="C369" s="457" t="s">
        <v>299</v>
      </c>
      <c r="D369" s="457" t="s">
        <v>118</v>
      </c>
      <c r="E369" s="457" t="s">
        <v>1204</v>
      </c>
      <c r="F369" s="457"/>
      <c r="G369" s="455">
        <f>G370+G377</f>
        <v>57164.1</v>
      </c>
      <c r="H369" s="455">
        <f t="shared" ref="H369" si="180">H370+H377</f>
        <v>34921.541300000004</v>
      </c>
      <c r="I369" s="455">
        <f t="shared" si="162"/>
        <v>61.089987072305888</v>
      </c>
      <c r="J369" s="478"/>
      <c r="K369" s="463"/>
    </row>
    <row r="370" spans="1:13" s="201" customFormat="1" ht="17.45" customHeight="1" x14ac:dyDescent="0.25">
      <c r="A370" s="458" t="s">
        <v>800</v>
      </c>
      <c r="B370" s="452">
        <v>903</v>
      </c>
      <c r="C370" s="454" t="s">
        <v>299</v>
      </c>
      <c r="D370" s="454" t="s">
        <v>118</v>
      </c>
      <c r="E370" s="454" t="s">
        <v>1205</v>
      </c>
      <c r="F370" s="454"/>
      <c r="G370" s="459">
        <f>G371+G373+G375</f>
        <v>15392.799999999997</v>
      </c>
      <c r="H370" s="459">
        <f t="shared" ref="H370" si="181">H371+H373+H375</f>
        <v>8129.8498000000009</v>
      </c>
      <c r="I370" s="459">
        <f t="shared" si="162"/>
        <v>52.815925627566152</v>
      </c>
      <c r="J370" s="478"/>
      <c r="K370" s="463"/>
    </row>
    <row r="371" spans="1:13" s="201" customFormat="1" ht="46.5" customHeight="1" x14ac:dyDescent="0.25">
      <c r="A371" s="458" t="s">
        <v>127</v>
      </c>
      <c r="B371" s="452">
        <v>903</v>
      </c>
      <c r="C371" s="454" t="s">
        <v>299</v>
      </c>
      <c r="D371" s="454" t="s">
        <v>118</v>
      </c>
      <c r="E371" s="454" t="s">
        <v>1205</v>
      </c>
      <c r="F371" s="454" t="s">
        <v>128</v>
      </c>
      <c r="G371" s="459">
        <f>G372</f>
        <v>2286.1699999999996</v>
      </c>
      <c r="H371" s="459">
        <f t="shared" ref="H371" si="182">H372</f>
        <v>1950.6572000000001</v>
      </c>
      <c r="I371" s="459">
        <f t="shared" si="162"/>
        <v>85.324240979454729</v>
      </c>
      <c r="J371" s="478"/>
      <c r="K371" s="463"/>
    </row>
    <row r="372" spans="1:13" s="201" customFormat="1" ht="21.75" customHeight="1" x14ac:dyDescent="0.25">
      <c r="A372" s="458" t="s">
        <v>208</v>
      </c>
      <c r="B372" s="452">
        <v>903</v>
      </c>
      <c r="C372" s="454" t="s">
        <v>299</v>
      </c>
      <c r="D372" s="454" t="s">
        <v>118</v>
      </c>
      <c r="E372" s="454" t="s">
        <v>1205</v>
      </c>
      <c r="F372" s="454" t="s">
        <v>209</v>
      </c>
      <c r="G372" s="27">
        <f>2223.47+26.3+6.4+1.7+8.1+14.2+6</f>
        <v>2286.1699999999996</v>
      </c>
      <c r="H372" s="27">
        <v>1950.6572000000001</v>
      </c>
      <c r="I372" s="459">
        <f t="shared" si="162"/>
        <v>85.324240979454729</v>
      </c>
      <c r="J372" s="478"/>
      <c r="K372" s="478">
        <v>44417</v>
      </c>
    </row>
    <row r="373" spans="1:13" s="201" customFormat="1" ht="36.75" customHeight="1" x14ac:dyDescent="0.25">
      <c r="A373" s="458" t="s">
        <v>131</v>
      </c>
      <c r="B373" s="452">
        <v>903</v>
      </c>
      <c r="C373" s="454" t="s">
        <v>299</v>
      </c>
      <c r="D373" s="454" t="s">
        <v>118</v>
      </c>
      <c r="E373" s="454" t="s">
        <v>1205</v>
      </c>
      <c r="F373" s="454" t="s">
        <v>132</v>
      </c>
      <c r="G373" s="459">
        <f>G374</f>
        <v>12956.129999999997</v>
      </c>
      <c r="H373" s="459">
        <f t="shared" ref="H373" si="183">H374</f>
        <v>6067.6696000000002</v>
      </c>
      <c r="I373" s="459">
        <f t="shared" si="162"/>
        <v>46.832422953459108</v>
      </c>
      <c r="J373" s="478"/>
      <c r="K373" s="463"/>
    </row>
    <row r="374" spans="1:13" s="201" customFormat="1" ht="33" customHeight="1" x14ac:dyDescent="0.25">
      <c r="A374" s="458" t="s">
        <v>133</v>
      </c>
      <c r="B374" s="452">
        <v>903</v>
      </c>
      <c r="C374" s="454" t="s">
        <v>299</v>
      </c>
      <c r="D374" s="454" t="s">
        <v>118</v>
      </c>
      <c r="E374" s="454" t="s">
        <v>1205</v>
      </c>
      <c r="F374" s="454" t="s">
        <v>134</v>
      </c>
      <c r="G374" s="27">
        <f>8975.9-469.7+394.1-50+150-50-100+196.6-69.2-50+20+114+35.8+107.4-150.7+150+0.5-93+30+4+89+46.7+46.7-84.4+31.9+50.4-4.2-11.7+6.6+3639.43</f>
        <v>12956.129999999997</v>
      </c>
      <c r="H374" s="27">
        <v>6067.6696000000002</v>
      </c>
      <c r="I374" s="459">
        <f t="shared" si="162"/>
        <v>46.832422953459108</v>
      </c>
      <c r="J374" s="478"/>
      <c r="K374" s="463"/>
      <c r="L374" s="425"/>
      <c r="M374" s="489"/>
    </row>
    <row r="375" spans="1:13" s="201" customFormat="1" ht="18" customHeight="1" x14ac:dyDescent="0.25">
      <c r="A375" s="458" t="s">
        <v>135</v>
      </c>
      <c r="B375" s="452">
        <v>903</v>
      </c>
      <c r="C375" s="454" t="s">
        <v>299</v>
      </c>
      <c r="D375" s="454" t="s">
        <v>118</v>
      </c>
      <c r="E375" s="454" t="s">
        <v>1205</v>
      </c>
      <c r="F375" s="454" t="s">
        <v>145</v>
      </c>
      <c r="G375" s="459">
        <f>G376</f>
        <v>150.5</v>
      </c>
      <c r="H375" s="459">
        <f t="shared" ref="H375" si="184">H376</f>
        <v>111.523</v>
      </c>
      <c r="I375" s="459">
        <f t="shared" si="162"/>
        <v>74.101661129568114</v>
      </c>
      <c r="J375" s="478"/>
      <c r="K375" s="463"/>
    </row>
    <row r="376" spans="1:13" s="201" customFormat="1" ht="16.5" customHeight="1" x14ac:dyDescent="0.25">
      <c r="A376" s="458" t="s">
        <v>568</v>
      </c>
      <c r="B376" s="452">
        <v>903</v>
      </c>
      <c r="C376" s="454" t="s">
        <v>299</v>
      </c>
      <c r="D376" s="454" t="s">
        <v>118</v>
      </c>
      <c r="E376" s="454" t="s">
        <v>1205</v>
      </c>
      <c r="F376" s="454" t="s">
        <v>138</v>
      </c>
      <c r="G376" s="459">
        <f>37+26+11.2+43.7+13.4+4.2+15</f>
        <v>150.5</v>
      </c>
      <c r="H376" s="459">
        <v>111.523</v>
      </c>
      <c r="I376" s="459">
        <f t="shared" si="162"/>
        <v>74.101661129568114</v>
      </c>
      <c r="J376" s="478"/>
      <c r="K376" s="478">
        <v>44417</v>
      </c>
    </row>
    <row r="377" spans="1:13" s="201" customFormat="1" ht="21.75" customHeight="1" x14ac:dyDescent="0.25">
      <c r="A377" s="31" t="s">
        <v>1514</v>
      </c>
      <c r="B377" s="452">
        <v>903</v>
      </c>
      <c r="C377" s="454" t="s">
        <v>299</v>
      </c>
      <c r="D377" s="454" t="s">
        <v>118</v>
      </c>
      <c r="E377" s="454" t="s">
        <v>1486</v>
      </c>
      <c r="F377" s="454"/>
      <c r="G377" s="459">
        <f>G378</f>
        <v>41771.300000000003</v>
      </c>
      <c r="H377" s="459">
        <f t="shared" ref="H377:H378" si="185">H378</f>
        <v>26791.691500000001</v>
      </c>
      <c r="I377" s="459">
        <f t="shared" si="162"/>
        <v>64.138993758872715</v>
      </c>
      <c r="J377" s="478"/>
      <c r="K377" s="463"/>
    </row>
    <row r="378" spans="1:13" s="201" customFormat="1" ht="60.4" customHeight="1" x14ac:dyDescent="0.25">
      <c r="A378" s="458" t="s">
        <v>127</v>
      </c>
      <c r="B378" s="452">
        <v>903</v>
      </c>
      <c r="C378" s="454" t="s">
        <v>299</v>
      </c>
      <c r="D378" s="454" t="s">
        <v>118</v>
      </c>
      <c r="E378" s="454" t="s">
        <v>1486</v>
      </c>
      <c r="F378" s="454" t="s">
        <v>128</v>
      </c>
      <c r="G378" s="459">
        <f>G379</f>
        <v>41771.300000000003</v>
      </c>
      <c r="H378" s="459">
        <f t="shared" si="185"/>
        <v>26791.691500000001</v>
      </c>
      <c r="I378" s="459">
        <f t="shared" si="162"/>
        <v>64.138993758872715</v>
      </c>
      <c r="J378" s="478"/>
      <c r="K378" s="463"/>
    </row>
    <row r="379" spans="1:13" s="201" customFormat="1" ht="17.100000000000001" customHeight="1" x14ac:dyDescent="0.25">
      <c r="A379" s="458" t="s">
        <v>208</v>
      </c>
      <c r="B379" s="452">
        <v>903</v>
      </c>
      <c r="C379" s="454" t="s">
        <v>299</v>
      </c>
      <c r="D379" s="454" t="s">
        <v>118</v>
      </c>
      <c r="E379" s="454" t="s">
        <v>1486</v>
      </c>
      <c r="F379" s="454" t="s">
        <v>209</v>
      </c>
      <c r="G379" s="459">
        <f>37672.51+3375.3+960.09-96.6-100-40</f>
        <v>41771.300000000003</v>
      </c>
      <c r="H379" s="459">
        <v>26791.691500000001</v>
      </c>
      <c r="I379" s="459">
        <f t="shared" si="162"/>
        <v>64.138993758872715</v>
      </c>
      <c r="J379" s="478"/>
      <c r="K379" s="463"/>
    </row>
    <row r="380" spans="1:13" s="201" customFormat="1" ht="35.450000000000003" customHeight="1" x14ac:dyDescent="0.25">
      <c r="A380" s="212" t="s">
        <v>1302</v>
      </c>
      <c r="B380" s="453">
        <v>903</v>
      </c>
      <c r="C380" s="457" t="s">
        <v>299</v>
      </c>
      <c r="D380" s="457" t="s">
        <v>118</v>
      </c>
      <c r="E380" s="457" t="s">
        <v>1206</v>
      </c>
      <c r="F380" s="457"/>
      <c r="G380" s="455">
        <f>G381</f>
        <v>632.1</v>
      </c>
      <c r="H380" s="455">
        <f t="shared" ref="H380" si="186">H381</f>
        <v>554.12099999999998</v>
      </c>
      <c r="I380" s="455">
        <f t="shared" si="162"/>
        <v>87.663502610346455</v>
      </c>
      <c r="J380" s="478"/>
      <c r="K380" s="463"/>
    </row>
    <row r="381" spans="1:13" ht="35.450000000000003" customHeight="1" x14ac:dyDescent="0.25">
      <c r="A381" s="31" t="s">
        <v>816</v>
      </c>
      <c r="B381" s="452">
        <v>903</v>
      </c>
      <c r="C381" s="454" t="s">
        <v>299</v>
      </c>
      <c r="D381" s="454" t="s">
        <v>118</v>
      </c>
      <c r="E381" s="454" t="s">
        <v>1208</v>
      </c>
      <c r="F381" s="454"/>
      <c r="G381" s="27">
        <f>G384+G382</f>
        <v>632.1</v>
      </c>
      <c r="H381" s="27">
        <f t="shared" ref="H381" si="187">H384+H382</f>
        <v>554.12099999999998</v>
      </c>
      <c r="I381" s="459">
        <f t="shared" si="162"/>
        <v>87.663502610346455</v>
      </c>
      <c r="J381" s="478"/>
      <c r="K381" s="463"/>
      <c r="L381" s="201"/>
    </row>
    <row r="382" spans="1:13" ht="66.2" customHeight="1" x14ac:dyDescent="0.25">
      <c r="A382" s="458" t="s">
        <v>127</v>
      </c>
      <c r="B382" s="452">
        <v>903</v>
      </c>
      <c r="C382" s="454" t="s">
        <v>299</v>
      </c>
      <c r="D382" s="454" t="s">
        <v>118</v>
      </c>
      <c r="E382" s="454" t="s">
        <v>1208</v>
      </c>
      <c r="F382" s="454" t="s">
        <v>128</v>
      </c>
      <c r="G382" s="27">
        <f>G383</f>
        <v>543.30000000000007</v>
      </c>
      <c r="H382" s="27">
        <f t="shared" ref="H382" si="188">H383</f>
        <v>465.32100000000003</v>
      </c>
      <c r="I382" s="459">
        <f t="shared" si="162"/>
        <v>85.647156267255653</v>
      </c>
      <c r="J382" s="478"/>
      <c r="K382" s="463"/>
      <c r="L382" s="201"/>
    </row>
    <row r="383" spans="1:13" ht="20.25" customHeight="1" x14ac:dyDescent="0.25">
      <c r="A383" s="458" t="s">
        <v>208</v>
      </c>
      <c r="B383" s="452">
        <v>903</v>
      </c>
      <c r="C383" s="454" t="s">
        <v>299</v>
      </c>
      <c r="D383" s="454" t="s">
        <v>118</v>
      </c>
      <c r="E383" s="454" t="s">
        <v>1208</v>
      </c>
      <c r="F383" s="454" t="s">
        <v>209</v>
      </c>
      <c r="G383" s="27">
        <f>603+380-293.4-57.5-88.8</f>
        <v>543.30000000000007</v>
      </c>
      <c r="H383" s="27">
        <v>465.32100000000003</v>
      </c>
      <c r="I383" s="459">
        <f t="shared" si="162"/>
        <v>85.647156267255653</v>
      </c>
      <c r="J383" s="478"/>
      <c r="K383" s="463"/>
      <c r="L383" s="201"/>
    </row>
    <row r="384" spans="1:13" ht="33.75" customHeight="1" x14ac:dyDescent="0.25">
      <c r="A384" s="458" t="s">
        <v>131</v>
      </c>
      <c r="B384" s="452">
        <v>903</v>
      </c>
      <c r="C384" s="454" t="s">
        <v>299</v>
      </c>
      <c r="D384" s="454" t="s">
        <v>118</v>
      </c>
      <c r="E384" s="454" t="s">
        <v>1208</v>
      </c>
      <c r="F384" s="454" t="s">
        <v>132</v>
      </c>
      <c r="G384" s="27">
        <f>G385</f>
        <v>88.8</v>
      </c>
      <c r="H384" s="27">
        <f t="shared" ref="H384" si="189">H385</f>
        <v>88.8</v>
      </c>
      <c r="I384" s="459">
        <f t="shared" si="162"/>
        <v>100</v>
      </c>
      <c r="J384" s="478"/>
      <c r="K384" s="463"/>
      <c r="L384" s="201"/>
    </row>
    <row r="385" spans="1:12" ht="36.75" customHeight="1" x14ac:dyDescent="0.25">
      <c r="A385" s="458" t="s">
        <v>133</v>
      </c>
      <c r="B385" s="452">
        <v>903</v>
      </c>
      <c r="C385" s="454" t="s">
        <v>299</v>
      </c>
      <c r="D385" s="454" t="s">
        <v>118</v>
      </c>
      <c r="E385" s="454" t="s">
        <v>1208</v>
      </c>
      <c r="F385" s="454" t="s">
        <v>134</v>
      </c>
      <c r="G385" s="27">
        <f>1180-800-380+88.8</f>
        <v>88.8</v>
      </c>
      <c r="H385" s="27">
        <v>88.8</v>
      </c>
      <c r="I385" s="459">
        <f t="shared" si="162"/>
        <v>100</v>
      </c>
      <c r="J385" s="478"/>
      <c r="K385" s="463"/>
      <c r="L385" s="201"/>
    </row>
    <row r="386" spans="1:12" s="201" customFormat="1" ht="36.75" customHeight="1" x14ac:dyDescent="0.25">
      <c r="A386" s="456" t="s">
        <v>947</v>
      </c>
      <c r="B386" s="453">
        <v>903</v>
      </c>
      <c r="C386" s="457" t="s">
        <v>299</v>
      </c>
      <c r="D386" s="457" t="s">
        <v>118</v>
      </c>
      <c r="E386" s="457" t="s">
        <v>1209</v>
      </c>
      <c r="F386" s="457"/>
      <c r="G386" s="44">
        <f>G387</f>
        <v>1039.4000000000001</v>
      </c>
      <c r="H386" s="44">
        <f t="shared" ref="H386:H388" si="190">H387</f>
        <v>947.23900000000003</v>
      </c>
      <c r="I386" s="455">
        <f t="shared" si="162"/>
        <v>91.133249951895323</v>
      </c>
      <c r="J386" s="478"/>
      <c r="K386" s="463"/>
    </row>
    <row r="387" spans="1:12" s="201" customFormat="1" ht="36.75" customHeight="1" x14ac:dyDescent="0.25">
      <c r="A387" s="458" t="s">
        <v>839</v>
      </c>
      <c r="B387" s="452">
        <v>903</v>
      </c>
      <c r="C387" s="454" t="s">
        <v>299</v>
      </c>
      <c r="D387" s="454" t="s">
        <v>118</v>
      </c>
      <c r="E387" s="454" t="s">
        <v>1210</v>
      </c>
      <c r="F387" s="454"/>
      <c r="G387" s="459">
        <f>G388</f>
        <v>1039.4000000000001</v>
      </c>
      <c r="H387" s="459">
        <f t="shared" si="190"/>
        <v>947.23900000000003</v>
      </c>
      <c r="I387" s="459">
        <f t="shared" si="162"/>
        <v>91.133249951895323</v>
      </c>
      <c r="J387" s="478"/>
      <c r="K387" s="463"/>
    </row>
    <row r="388" spans="1:12" s="201" customFormat="1" ht="62.45" customHeight="1" x14ac:dyDescent="0.25">
      <c r="A388" s="458" t="s">
        <v>127</v>
      </c>
      <c r="B388" s="452">
        <v>903</v>
      </c>
      <c r="C388" s="454" t="s">
        <v>299</v>
      </c>
      <c r="D388" s="454" t="s">
        <v>118</v>
      </c>
      <c r="E388" s="454" t="s">
        <v>1210</v>
      </c>
      <c r="F388" s="454" t="s">
        <v>128</v>
      </c>
      <c r="G388" s="459">
        <f>G389</f>
        <v>1039.4000000000001</v>
      </c>
      <c r="H388" s="459">
        <f t="shared" si="190"/>
        <v>947.23900000000003</v>
      </c>
      <c r="I388" s="459">
        <f t="shared" si="162"/>
        <v>91.133249951895323</v>
      </c>
      <c r="J388" s="478"/>
      <c r="K388" s="463"/>
    </row>
    <row r="389" spans="1:12" s="201" customFormat="1" ht="36.75" customHeight="1" x14ac:dyDescent="0.25">
      <c r="A389" s="458" t="s">
        <v>129</v>
      </c>
      <c r="B389" s="452">
        <v>903</v>
      </c>
      <c r="C389" s="454" t="s">
        <v>299</v>
      </c>
      <c r="D389" s="454" t="s">
        <v>118</v>
      </c>
      <c r="E389" s="454" t="s">
        <v>1210</v>
      </c>
      <c r="F389" s="454" t="s">
        <v>209</v>
      </c>
      <c r="G389" s="459">
        <f>875+75.2+95.2-6</f>
        <v>1039.4000000000001</v>
      </c>
      <c r="H389" s="459">
        <v>947.23900000000003</v>
      </c>
      <c r="I389" s="459">
        <f t="shared" si="162"/>
        <v>91.133249951895323</v>
      </c>
      <c r="J389" s="478"/>
      <c r="K389" s="478">
        <v>44417</v>
      </c>
    </row>
    <row r="390" spans="1:12" s="201" customFormat="1" ht="36.75" customHeight="1" x14ac:dyDescent="0.25">
      <c r="A390" s="213" t="s">
        <v>900</v>
      </c>
      <c r="B390" s="453">
        <v>903</v>
      </c>
      <c r="C390" s="457" t="s">
        <v>299</v>
      </c>
      <c r="D390" s="457" t="s">
        <v>118</v>
      </c>
      <c r="E390" s="457" t="s">
        <v>1211</v>
      </c>
      <c r="F390" s="457"/>
      <c r="G390" s="455">
        <f>G391+G394</f>
        <v>2442</v>
      </c>
      <c r="H390" s="455">
        <f t="shared" ref="H390" si="191">H391+H394</f>
        <v>1331.288</v>
      </c>
      <c r="I390" s="455">
        <f t="shared" si="162"/>
        <v>54.51629811629811</v>
      </c>
      <c r="J390" s="478"/>
      <c r="K390" s="463"/>
    </row>
    <row r="391" spans="1:12" s="201" customFormat="1" ht="87" customHeight="1" x14ac:dyDescent="0.25">
      <c r="A391" s="31" t="s">
        <v>293</v>
      </c>
      <c r="B391" s="452">
        <v>903</v>
      </c>
      <c r="C391" s="454" t="s">
        <v>299</v>
      </c>
      <c r="D391" s="454" t="s">
        <v>118</v>
      </c>
      <c r="E391" s="454" t="s">
        <v>1406</v>
      </c>
      <c r="F391" s="454"/>
      <c r="G391" s="459">
        <f>G392</f>
        <v>2100.6</v>
      </c>
      <c r="H391" s="459">
        <f t="shared" ref="H391:H392" si="192">H392</f>
        <v>1178.548</v>
      </c>
      <c r="I391" s="459">
        <f t="shared" si="162"/>
        <v>56.105303246691427</v>
      </c>
      <c r="J391" s="478"/>
      <c r="K391" s="463"/>
    </row>
    <row r="392" spans="1:12" s="201" customFormat="1" ht="66.599999999999994" customHeight="1" x14ac:dyDescent="0.25">
      <c r="A392" s="458" t="s">
        <v>127</v>
      </c>
      <c r="B392" s="452">
        <v>903</v>
      </c>
      <c r="C392" s="454" t="s">
        <v>299</v>
      </c>
      <c r="D392" s="454" t="s">
        <v>118</v>
      </c>
      <c r="E392" s="454" t="s">
        <v>1406</v>
      </c>
      <c r="F392" s="454" t="s">
        <v>128</v>
      </c>
      <c r="G392" s="459">
        <f>G393</f>
        <v>2100.6</v>
      </c>
      <c r="H392" s="459">
        <f t="shared" si="192"/>
        <v>1178.548</v>
      </c>
      <c r="I392" s="459">
        <f t="shared" si="162"/>
        <v>56.105303246691427</v>
      </c>
      <c r="J392" s="478"/>
      <c r="K392" s="463"/>
    </row>
    <row r="393" spans="1:12" s="201" customFormat="1" ht="21.75" customHeight="1" x14ac:dyDescent="0.25">
      <c r="A393" s="458" t="s">
        <v>208</v>
      </c>
      <c r="B393" s="452">
        <v>903</v>
      </c>
      <c r="C393" s="454" t="s">
        <v>299</v>
      </c>
      <c r="D393" s="454" t="s">
        <v>118</v>
      </c>
      <c r="E393" s="454" t="s">
        <v>1406</v>
      </c>
      <c r="F393" s="454" t="s">
        <v>209</v>
      </c>
      <c r="G393" s="459">
        <f>724.29+100+0.01+1276.3</f>
        <v>2100.6</v>
      </c>
      <c r="H393" s="459">
        <v>1178.548</v>
      </c>
      <c r="I393" s="459">
        <f t="shared" si="162"/>
        <v>56.105303246691427</v>
      </c>
      <c r="J393" s="478"/>
      <c r="K393" s="463"/>
    </row>
    <row r="394" spans="1:12" s="201" customFormat="1" ht="69" customHeight="1" x14ac:dyDescent="0.25">
      <c r="A394" s="458" t="s">
        <v>331</v>
      </c>
      <c r="B394" s="452">
        <v>903</v>
      </c>
      <c r="C394" s="454" t="s">
        <v>299</v>
      </c>
      <c r="D394" s="454" t="s">
        <v>118</v>
      </c>
      <c r="E394" s="454" t="s">
        <v>1292</v>
      </c>
      <c r="F394" s="454"/>
      <c r="G394" s="459">
        <f>G395</f>
        <v>341.4</v>
      </c>
      <c r="H394" s="459">
        <f t="shared" ref="H394:H395" si="193">H395</f>
        <v>152.74</v>
      </c>
      <c r="I394" s="459">
        <f t="shared" si="162"/>
        <v>44.739308728763923</v>
      </c>
      <c r="J394" s="478"/>
      <c r="K394" s="463"/>
    </row>
    <row r="395" spans="1:12" s="201" customFormat="1" ht="72" customHeight="1" x14ac:dyDescent="0.25">
      <c r="A395" s="458" t="s">
        <v>127</v>
      </c>
      <c r="B395" s="452">
        <v>903</v>
      </c>
      <c r="C395" s="454" t="s">
        <v>299</v>
      </c>
      <c r="D395" s="454" t="s">
        <v>118</v>
      </c>
      <c r="E395" s="454" t="s">
        <v>1292</v>
      </c>
      <c r="F395" s="454" t="s">
        <v>128</v>
      </c>
      <c r="G395" s="459">
        <f>G396</f>
        <v>341.4</v>
      </c>
      <c r="H395" s="459">
        <f t="shared" si="193"/>
        <v>152.74</v>
      </c>
      <c r="I395" s="459">
        <f t="shared" si="162"/>
        <v>44.739308728763923</v>
      </c>
      <c r="J395" s="478"/>
      <c r="K395" s="463"/>
    </row>
    <row r="396" spans="1:12" s="201" customFormat="1" ht="19.5" customHeight="1" x14ac:dyDescent="0.25">
      <c r="A396" s="458" t="s">
        <v>208</v>
      </c>
      <c r="B396" s="452">
        <v>903</v>
      </c>
      <c r="C396" s="454" t="s">
        <v>299</v>
      </c>
      <c r="D396" s="454" t="s">
        <v>118</v>
      </c>
      <c r="E396" s="454" t="s">
        <v>1292</v>
      </c>
      <c r="F396" s="454" t="s">
        <v>209</v>
      </c>
      <c r="G396" s="459">
        <v>341.4</v>
      </c>
      <c r="H396" s="459">
        <v>152.74</v>
      </c>
      <c r="I396" s="459">
        <f t="shared" ref="I396:I459" si="194">H396/G396*100</f>
        <v>44.739308728763923</v>
      </c>
      <c r="J396" s="478"/>
      <c r="K396" s="463"/>
    </row>
    <row r="397" spans="1:12" s="201" customFormat="1" ht="33" customHeight="1" x14ac:dyDescent="0.25">
      <c r="A397" s="456" t="s">
        <v>902</v>
      </c>
      <c r="B397" s="453">
        <v>903</v>
      </c>
      <c r="C397" s="457" t="s">
        <v>299</v>
      </c>
      <c r="D397" s="457" t="s">
        <v>118</v>
      </c>
      <c r="E397" s="457" t="s">
        <v>1216</v>
      </c>
      <c r="F397" s="457"/>
      <c r="G397" s="455">
        <f>G398</f>
        <v>50</v>
      </c>
      <c r="H397" s="455">
        <f t="shared" ref="H397:H399" si="195">H398</f>
        <v>50</v>
      </c>
      <c r="I397" s="455">
        <f t="shared" si="194"/>
        <v>100</v>
      </c>
      <c r="J397" s="478"/>
      <c r="K397" s="463"/>
    </row>
    <row r="398" spans="1:12" s="201" customFormat="1" ht="32.25" customHeight="1" x14ac:dyDescent="0.25">
      <c r="A398" s="458" t="s">
        <v>821</v>
      </c>
      <c r="B398" s="452">
        <v>903</v>
      </c>
      <c r="C398" s="454" t="s">
        <v>299</v>
      </c>
      <c r="D398" s="454" t="s">
        <v>118</v>
      </c>
      <c r="E398" s="454" t="s">
        <v>1217</v>
      </c>
      <c r="F398" s="454"/>
      <c r="G398" s="459">
        <f>G399</f>
        <v>50</v>
      </c>
      <c r="H398" s="459">
        <f t="shared" si="195"/>
        <v>50</v>
      </c>
      <c r="I398" s="459">
        <f t="shared" si="194"/>
        <v>100</v>
      </c>
      <c r="J398" s="478"/>
      <c r="K398" s="463"/>
    </row>
    <row r="399" spans="1:12" s="201" customFormat="1" ht="33.75" customHeight="1" x14ac:dyDescent="0.25">
      <c r="A399" s="458" t="s">
        <v>131</v>
      </c>
      <c r="B399" s="452">
        <v>903</v>
      </c>
      <c r="C399" s="454" t="s">
        <v>299</v>
      </c>
      <c r="D399" s="454" t="s">
        <v>118</v>
      </c>
      <c r="E399" s="454" t="s">
        <v>1217</v>
      </c>
      <c r="F399" s="454" t="s">
        <v>132</v>
      </c>
      <c r="G399" s="459">
        <f>G400</f>
        <v>50</v>
      </c>
      <c r="H399" s="459">
        <f t="shared" si="195"/>
        <v>50</v>
      </c>
      <c r="I399" s="459">
        <f t="shared" si="194"/>
        <v>100</v>
      </c>
      <c r="J399" s="478"/>
      <c r="K399" s="463"/>
    </row>
    <row r="400" spans="1:12" s="201" customFormat="1" ht="31.7" customHeight="1" x14ac:dyDescent="0.25">
      <c r="A400" s="458" t="s">
        <v>133</v>
      </c>
      <c r="B400" s="452">
        <v>903</v>
      </c>
      <c r="C400" s="454" t="s">
        <v>299</v>
      </c>
      <c r="D400" s="454" t="s">
        <v>118</v>
      </c>
      <c r="E400" s="454" t="s">
        <v>1217</v>
      </c>
      <c r="F400" s="454" t="s">
        <v>134</v>
      </c>
      <c r="G400" s="459">
        <v>50</v>
      </c>
      <c r="H400" s="459">
        <v>50</v>
      </c>
      <c r="I400" s="459">
        <f t="shared" si="194"/>
        <v>100</v>
      </c>
      <c r="J400" s="478"/>
      <c r="K400" s="463"/>
    </row>
    <row r="401" spans="1:12" s="201" customFormat="1" ht="21.2" customHeight="1" x14ac:dyDescent="0.25">
      <c r="A401" s="456" t="s">
        <v>1010</v>
      </c>
      <c r="B401" s="453">
        <v>903</v>
      </c>
      <c r="C401" s="457" t="s">
        <v>299</v>
      </c>
      <c r="D401" s="457" t="s">
        <v>118</v>
      </c>
      <c r="E401" s="457" t="s">
        <v>1218</v>
      </c>
      <c r="F401" s="457"/>
      <c r="G401" s="455">
        <f>G402</f>
        <v>68.7</v>
      </c>
      <c r="H401" s="455">
        <f t="shared" ref="H401:H403" si="196">H402</f>
        <v>3.5</v>
      </c>
      <c r="I401" s="455">
        <f t="shared" si="194"/>
        <v>5.094614264919942</v>
      </c>
      <c r="J401" s="478"/>
      <c r="K401" s="463"/>
    </row>
    <row r="402" spans="1:12" ht="31.5" x14ac:dyDescent="0.25">
      <c r="A402" s="458" t="s">
        <v>1489</v>
      </c>
      <c r="B402" s="452">
        <v>903</v>
      </c>
      <c r="C402" s="454" t="s">
        <v>299</v>
      </c>
      <c r="D402" s="454" t="s">
        <v>118</v>
      </c>
      <c r="E402" s="454" t="s">
        <v>1219</v>
      </c>
      <c r="F402" s="454"/>
      <c r="G402" s="459">
        <f>G403</f>
        <v>68.7</v>
      </c>
      <c r="H402" s="459">
        <f t="shared" si="196"/>
        <v>3.5</v>
      </c>
      <c r="I402" s="459">
        <f t="shared" si="194"/>
        <v>5.094614264919942</v>
      </c>
      <c r="J402" s="478"/>
      <c r="K402" s="463"/>
      <c r="L402" s="201"/>
    </row>
    <row r="403" spans="1:12" ht="31.5" x14ac:dyDescent="0.25">
      <c r="A403" s="458" t="s">
        <v>131</v>
      </c>
      <c r="B403" s="452">
        <v>903</v>
      </c>
      <c r="C403" s="454" t="s">
        <v>299</v>
      </c>
      <c r="D403" s="454" t="s">
        <v>118</v>
      </c>
      <c r="E403" s="454" t="s">
        <v>1219</v>
      </c>
      <c r="F403" s="454" t="s">
        <v>132</v>
      </c>
      <c r="G403" s="459">
        <f>G404</f>
        <v>68.7</v>
      </c>
      <c r="H403" s="459">
        <f t="shared" si="196"/>
        <v>3.5</v>
      </c>
      <c r="I403" s="459">
        <f t="shared" si="194"/>
        <v>5.094614264919942</v>
      </c>
      <c r="J403" s="478"/>
      <c r="K403" s="463"/>
      <c r="L403" s="201"/>
    </row>
    <row r="404" spans="1:12" ht="31.5" x14ac:dyDescent="0.25">
      <c r="A404" s="458" t="s">
        <v>133</v>
      </c>
      <c r="B404" s="452">
        <v>903</v>
      </c>
      <c r="C404" s="454" t="s">
        <v>299</v>
      </c>
      <c r="D404" s="454" t="s">
        <v>118</v>
      </c>
      <c r="E404" s="454" t="s">
        <v>1219</v>
      </c>
      <c r="F404" s="454" t="s">
        <v>134</v>
      </c>
      <c r="G404" s="459">
        <f>3.5+65.2</f>
        <v>68.7</v>
      </c>
      <c r="H404" s="459">
        <v>3.5</v>
      </c>
      <c r="I404" s="459">
        <f t="shared" si="194"/>
        <v>5.094614264919942</v>
      </c>
      <c r="J404" s="478"/>
      <c r="K404" s="463"/>
      <c r="L404" s="201"/>
    </row>
    <row r="405" spans="1:12" s="201" customFormat="1" ht="31.5" hidden="1" x14ac:dyDescent="0.25">
      <c r="A405" s="34" t="s">
        <v>1683</v>
      </c>
      <c r="B405" s="453">
        <v>903</v>
      </c>
      <c r="C405" s="457" t="s">
        <v>299</v>
      </c>
      <c r="D405" s="457" t="s">
        <v>118</v>
      </c>
      <c r="E405" s="457" t="s">
        <v>1685</v>
      </c>
      <c r="F405" s="457"/>
      <c r="G405" s="455">
        <f>G406</f>
        <v>0</v>
      </c>
      <c r="H405" s="455">
        <f t="shared" ref="H405:H407" si="197">H406</f>
        <v>0</v>
      </c>
      <c r="I405" s="455" t="e">
        <f t="shared" si="194"/>
        <v>#DIV/0!</v>
      </c>
      <c r="J405" s="478"/>
      <c r="K405" s="463"/>
    </row>
    <row r="406" spans="1:12" s="201" customFormat="1" ht="47.25" hidden="1" x14ac:dyDescent="0.25">
      <c r="A406" s="31" t="s">
        <v>1684</v>
      </c>
      <c r="B406" s="452">
        <v>903</v>
      </c>
      <c r="C406" s="454" t="s">
        <v>299</v>
      </c>
      <c r="D406" s="454" t="s">
        <v>118</v>
      </c>
      <c r="E406" s="454" t="s">
        <v>1686</v>
      </c>
      <c r="F406" s="454"/>
      <c r="G406" s="459">
        <f>G407</f>
        <v>0</v>
      </c>
      <c r="H406" s="459">
        <f t="shared" si="197"/>
        <v>0</v>
      </c>
      <c r="I406" s="455" t="e">
        <f t="shared" si="194"/>
        <v>#DIV/0!</v>
      </c>
      <c r="J406" s="478"/>
      <c r="K406" s="463"/>
    </row>
    <row r="407" spans="1:12" s="201" customFormat="1" ht="31.5" hidden="1" x14ac:dyDescent="0.25">
      <c r="A407" s="458" t="s">
        <v>131</v>
      </c>
      <c r="B407" s="452">
        <v>903</v>
      </c>
      <c r="C407" s="454" t="s">
        <v>299</v>
      </c>
      <c r="D407" s="454" t="s">
        <v>118</v>
      </c>
      <c r="E407" s="454" t="s">
        <v>1686</v>
      </c>
      <c r="F407" s="454" t="s">
        <v>132</v>
      </c>
      <c r="G407" s="459">
        <f>G408</f>
        <v>0</v>
      </c>
      <c r="H407" s="459">
        <f t="shared" si="197"/>
        <v>0</v>
      </c>
      <c r="I407" s="455" t="e">
        <f t="shared" si="194"/>
        <v>#DIV/0!</v>
      </c>
      <c r="J407" s="478"/>
      <c r="K407" s="463"/>
    </row>
    <row r="408" spans="1:12" s="201" customFormat="1" ht="31.5" hidden="1" x14ac:dyDescent="0.25">
      <c r="A408" s="458" t="s">
        <v>133</v>
      </c>
      <c r="B408" s="452">
        <v>903</v>
      </c>
      <c r="C408" s="454" t="s">
        <v>299</v>
      </c>
      <c r="D408" s="454" t="s">
        <v>118</v>
      </c>
      <c r="E408" s="454" t="s">
        <v>1686</v>
      </c>
      <c r="F408" s="454" t="s">
        <v>134</v>
      </c>
      <c r="G408" s="459">
        <f>1500-1500</f>
        <v>0</v>
      </c>
      <c r="H408" s="459">
        <f t="shared" ref="H408" si="198">1500-1500</f>
        <v>0</v>
      </c>
      <c r="I408" s="455" t="e">
        <f t="shared" si="194"/>
        <v>#DIV/0!</v>
      </c>
      <c r="J408" s="478"/>
      <c r="K408" s="463"/>
    </row>
    <row r="409" spans="1:12" s="201" customFormat="1" ht="31.5" hidden="1" x14ac:dyDescent="0.25">
      <c r="A409" s="206" t="s">
        <v>1180</v>
      </c>
      <c r="B409" s="453">
        <v>903</v>
      </c>
      <c r="C409" s="457" t="s">
        <v>299</v>
      </c>
      <c r="D409" s="457" t="s">
        <v>118</v>
      </c>
      <c r="E409" s="457" t="s">
        <v>1214</v>
      </c>
      <c r="F409" s="457"/>
      <c r="G409" s="455">
        <f>G410</f>
        <v>0</v>
      </c>
      <c r="H409" s="455">
        <f t="shared" ref="H409:H411" si="199">H410</f>
        <v>0</v>
      </c>
      <c r="I409" s="455" t="e">
        <f t="shared" si="194"/>
        <v>#DIV/0!</v>
      </c>
      <c r="J409" s="478"/>
      <c r="K409" s="463"/>
    </row>
    <row r="410" spans="1:12" s="201" customFormat="1" ht="15.75" hidden="1" x14ac:dyDescent="0.25">
      <c r="A410" s="98" t="s">
        <v>1187</v>
      </c>
      <c r="B410" s="452">
        <v>903</v>
      </c>
      <c r="C410" s="454" t="s">
        <v>299</v>
      </c>
      <c r="D410" s="454" t="s">
        <v>118</v>
      </c>
      <c r="E410" s="454" t="s">
        <v>1215</v>
      </c>
      <c r="F410" s="454"/>
      <c r="G410" s="459">
        <f>G411</f>
        <v>0</v>
      </c>
      <c r="H410" s="459">
        <f t="shared" si="199"/>
        <v>0</v>
      </c>
      <c r="I410" s="455" t="e">
        <f t="shared" si="194"/>
        <v>#DIV/0!</v>
      </c>
      <c r="J410" s="478"/>
      <c r="K410" s="463"/>
    </row>
    <row r="411" spans="1:12" s="201" customFormat="1" ht="31.5" hidden="1" x14ac:dyDescent="0.25">
      <c r="A411" s="458" t="s">
        <v>131</v>
      </c>
      <c r="B411" s="452">
        <v>903</v>
      </c>
      <c r="C411" s="454" t="s">
        <v>299</v>
      </c>
      <c r="D411" s="454" t="s">
        <v>118</v>
      </c>
      <c r="E411" s="454" t="s">
        <v>1215</v>
      </c>
      <c r="F411" s="454" t="s">
        <v>132</v>
      </c>
      <c r="G411" s="459">
        <f>G412</f>
        <v>0</v>
      </c>
      <c r="H411" s="459">
        <f t="shared" si="199"/>
        <v>0</v>
      </c>
      <c r="I411" s="455" t="e">
        <f t="shared" si="194"/>
        <v>#DIV/0!</v>
      </c>
      <c r="J411" s="478"/>
      <c r="K411" s="463"/>
    </row>
    <row r="412" spans="1:12" s="201" customFormat="1" ht="31.5" hidden="1" x14ac:dyDescent="0.25">
      <c r="A412" s="458" t="s">
        <v>133</v>
      </c>
      <c r="B412" s="452">
        <v>903</v>
      </c>
      <c r="C412" s="454" t="s">
        <v>299</v>
      </c>
      <c r="D412" s="454" t="s">
        <v>118</v>
      </c>
      <c r="E412" s="454" t="s">
        <v>1215</v>
      </c>
      <c r="F412" s="454" t="s">
        <v>134</v>
      </c>
      <c r="G412" s="459">
        <v>0</v>
      </c>
      <c r="H412" s="459">
        <v>0</v>
      </c>
      <c r="I412" s="455" t="e">
        <f t="shared" si="194"/>
        <v>#DIV/0!</v>
      </c>
      <c r="J412" s="478"/>
      <c r="K412" s="463"/>
    </row>
    <row r="413" spans="1:12" s="201" customFormat="1" ht="28.15" hidden="1" customHeight="1" x14ac:dyDescent="0.25">
      <c r="A413" s="328" t="s">
        <v>1333</v>
      </c>
      <c r="B413" s="453">
        <v>903</v>
      </c>
      <c r="C413" s="457" t="s">
        <v>299</v>
      </c>
      <c r="D413" s="457" t="s">
        <v>118</v>
      </c>
      <c r="E413" s="457"/>
      <c r="F413" s="457"/>
      <c r="G413" s="455">
        <f>G414</f>
        <v>0</v>
      </c>
      <c r="H413" s="455">
        <f t="shared" ref="H413:H415" si="200">H414</f>
        <v>0</v>
      </c>
      <c r="I413" s="455" t="e">
        <f t="shared" si="194"/>
        <v>#DIV/0!</v>
      </c>
      <c r="J413" s="478"/>
      <c r="K413" s="463"/>
    </row>
    <row r="414" spans="1:12" s="201" customFormat="1" ht="15.75" hidden="1" x14ac:dyDescent="0.25">
      <c r="A414" s="458"/>
      <c r="B414" s="452">
        <v>903</v>
      </c>
      <c r="C414" s="454" t="s">
        <v>299</v>
      </c>
      <c r="D414" s="454" t="s">
        <v>118</v>
      </c>
      <c r="E414" s="454"/>
      <c r="F414" s="454"/>
      <c r="G414" s="459">
        <f>G415</f>
        <v>0</v>
      </c>
      <c r="H414" s="459">
        <f t="shared" si="200"/>
        <v>0</v>
      </c>
      <c r="I414" s="455" t="e">
        <f t="shared" si="194"/>
        <v>#DIV/0!</v>
      </c>
      <c r="J414" s="478"/>
      <c r="K414" s="463"/>
    </row>
    <row r="415" spans="1:12" s="201" customFormat="1" ht="31.5" hidden="1" x14ac:dyDescent="0.25">
      <c r="A415" s="458" t="s">
        <v>131</v>
      </c>
      <c r="B415" s="452">
        <v>903</v>
      </c>
      <c r="C415" s="454" t="s">
        <v>299</v>
      </c>
      <c r="D415" s="454" t="s">
        <v>118</v>
      </c>
      <c r="E415" s="454"/>
      <c r="F415" s="454" t="s">
        <v>132</v>
      </c>
      <c r="G415" s="459">
        <f>G416</f>
        <v>0</v>
      </c>
      <c r="H415" s="459">
        <f t="shared" si="200"/>
        <v>0</v>
      </c>
      <c r="I415" s="455" t="e">
        <f t="shared" si="194"/>
        <v>#DIV/0!</v>
      </c>
      <c r="J415" s="478"/>
      <c r="K415" s="463"/>
    </row>
    <row r="416" spans="1:12" s="201" customFormat="1" ht="31.5" hidden="1" x14ac:dyDescent="0.25">
      <c r="A416" s="458" t="s">
        <v>133</v>
      </c>
      <c r="B416" s="452">
        <v>903</v>
      </c>
      <c r="C416" s="454" t="s">
        <v>299</v>
      </c>
      <c r="D416" s="454" t="s">
        <v>118</v>
      </c>
      <c r="E416" s="454"/>
      <c r="F416" s="454" t="s">
        <v>134</v>
      </c>
      <c r="G416" s="459">
        <v>0</v>
      </c>
      <c r="H416" s="459">
        <v>0</v>
      </c>
      <c r="I416" s="455" t="e">
        <f t="shared" si="194"/>
        <v>#DIV/0!</v>
      </c>
      <c r="J416" s="478"/>
      <c r="K416" s="463"/>
    </row>
    <row r="417" spans="1:12" ht="47.25" hidden="1" x14ac:dyDescent="0.25">
      <c r="A417" s="34" t="s">
        <v>1439</v>
      </c>
      <c r="B417" s="453">
        <v>903</v>
      </c>
      <c r="C417" s="457" t="s">
        <v>299</v>
      </c>
      <c r="D417" s="457" t="s">
        <v>118</v>
      </c>
      <c r="E417" s="457" t="s">
        <v>324</v>
      </c>
      <c r="F417" s="457"/>
      <c r="G417" s="455">
        <f>G419</f>
        <v>0</v>
      </c>
      <c r="H417" s="455">
        <f t="shared" ref="H417" si="201">H419</f>
        <v>0</v>
      </c>
      <c r="I417" s="455" t="e">
        <f t="shared" si="194"/>
        <v>#DIV/0!</v>
      </c>
      <c r="J417" s="478"/>
      <c r="K417" s="463"/>
      <c r="L417" s="201"/>
    </row>
    <row r="418" spans="1:12" s="201" customFormat="1" ht="47.25" hidden="1" x14ac:dyDescent="0.25">
      <c r="A418" s="34" t="s">
        <v>1025</v>
      </c>
      <c r="B418" s="453">
        <v>903</v>
      </c>
      <c r="C418" s="457" t="s">
        <v>299</v>
      </c>
      <c r="D418" s="457" t="s">
        <v>118</v>
      </c>
      <c r="E418" s="457" t="s">
        <v>934</v>
      </c>
      <c r="F418" s="457"/>
      <c r="G418" s="455">
        <f>G421</f>
        <v>0</v>
      </c>
      <c r="H418" s="455">
        <f t="shared" ref="H418" si="202">H421</f>
        <v>0</v>
      </c>
      <c r="I418" s="455" t="e">
        <f t="shared" si="194"/>
        <v>#DIV/0!</v>
      </c>
      <c r="J418" s="478"/>
      <c r="K418" s="463"/>
    </row>
    <row r="419" spans="1:12" ht="47.25" hidden="1" x14ac:dyDescent="0.25">
      <c r="A419" s="31" t="s">
        <v>1081</v>
      </c>
      <c r="B419" s="452">
        <v>903</v>
      </c>
      <c r="C419" s="454" t="s">
        <v>299</v>
      </c>
      <c r="D419" s="454" t="s">
        <v>118</v>
      </c>
      <c r="E419" s="454" t="s">
        <v>1026</v>
      </c>
      <c r="F419" s="454"/>
      <c r="G419" s="459">
        <f>G420</f>
        <v>0</v>
      </c>
      <c r="H419" s="459">
        <f t="shared" ref="H419:H420" si="203">H420</f>
        <v>0</v>
      </c>
      <c r="I419" s="455" t="e">
        <f t="shared" si="194"/>
        <v>#DIV/0!</v>
      </c>
      <c r="J419" s="478"/>
      <c r="K419" s="463"/>
      <c r="L419" s="201"/>
    </row>
    <row r="420" spans="1:12" ht="31.5" hidden="1" x14ac:dyDescent="0.25">
      <c r="A420" s="458" t="s">
        <v>131</v>
      </c>
      <c r="B420" s="452">
        <v>903</v>
      </c>
      <c r="C420" s="454" t="s">
        <v>299</v>
      </c>
      <c r="D420" s="454" t="s">
        <v>118</v>
      </c>
      <c r="E420" s="454" t="s">
        <v>1026</v>
      </c>
      <c r="F420" s="454" t="s">
        <v>132</v>
      </c>
      <c r="G420" s="459">
        <f>G421</f>
        <v>0</v>
      </c>
      <c r="H420" s="459">
        <f t="shared" si="203"/>
        <v>0</v>
      </c>
      <c r="I420" s="455" t="e">
        <f t="shared" si="194"/>
        <v>#DIV/0!</v>
      </c>
      <c r="J420" s="478"/>
      <c r="K420" s="463"/>
      <c r="L420" s="201"/>
    </row>
    <row r="421" spans="1:12" ht="31.5" hidden="1" x14ac:dyDescent="0.25">
      <c r="A421" s="458" t="s">
        <v>133</v>
      </c>
      <c r="B421" s="452">
        <v>903</v>
      </c>
      <c r="C421" s="454" t="s">
        <v>299</v>
      </c>
      <c r="D421" s="454" t="s">
        <v>118</v>
      </c>
      <c r="E421" s="454" t="s">
        <v>1026</v>
      </c>
      <c r="F421" s="454" t="s">
        <v>134</v>
      </c>
      <c r="G421" s="459">
        <v>0</v>
      </c>
      <c r="H421" s="459">
        <v>0</v>
      </c>
      <c r="I421" s="455" t="e">
        <f t="shared" si="194"/>
        <v>#DIV/0!</v>
      </c>
      <c r="J421" s="478"/>
      <c r="K421" s="463"/>
      <c r="L421" s="201"/>
    </row>
    <row r="422" spans="1:12" ht="47.25" x14ac:dyDescent="0.25">
      <c r="A422" s="462" t="s">
        <v>1344</v>
      </c>
      <c r="B422" s="453">
        <v>903</v>
      </c>
      <c r="C422" s="457" t="s">
        <v>299</v>
      </c>
      <c r="D422" s="457" t="s">
        <v>118</v>
      </c>
      <c r="E422" s="457" t="s">
        <v>705</v>
      </c>
      <c r="F422" s="465"/>
      <c r="G422" s="455">
        <f>G423</f>
        <v>871.7</v>
      </c>
      <c r="H422" s="455">
        <f t="shared" ref="H422:H425" si="204">H423</f>
        <v>614.279</v>
      </c>
      <c r="I422" s="455">
        <f t="shared" si="194"/>
        <v>70.469083400252373</v>
      </c>
      <c r="J422" s="478"/>
      <c r="K422" s="463"/>
      <c r="L422" s="201"/>
    </row>
    <row r="423" spans="1:12" s="201" customFormat="1" ht="47.25" x14ac:dyDescent="0.25">
      <c r="A423" s="462" t="s">
        <v>890</v>
      </c>
      <c r="B423" s="453">
        <v>903</v>
      </c>
      <c r="C423" s="457" t="s">
        <v>299</v>
      </c>
      <c r="D423" s="457" t="s">
        <v>118</v>
      </c>
      <c r="E423" s="457" t="s">
        <v>888</v>
      </c>
      <c r="F423" s="465"/>
      <c r="G423" s="455">
        <f>G424</f>
        <v>871.7</v>
      </c>
      <c r="H423" s="455">
        <f t="shared" si="204"/>
        <v>614.279</v>
      </c>
      <c r="I423" s="455">
        <f t="shared" si="194"/>
        <v>70.469083400252373</v>
      </c>
      <c r="J423" s="478"/>
      <c r="K423" s="463"/>
    </row>
    <row r="424" spans="1:12" ht="31.5" x14ac:dyDescent="0.25">
      <c r="A424" s="98" t="s">
        <v>1022</v>
      </c>
      <c r="B424" s="452">
        <v>903</v>
      </c>
      <c r="C424" s="454" t="s">
        <v>299</v>
      </c>
      <c r="D424" s="454" t="s">
        <v>118</v>
      </c>
      <c r="E424" s="454" t="s">
        <v>889</v>
      </c>
      <c r="F424" s="460"/>
      <c r="G424" s="459">
        <f>G425</f>
        <v>871.7</v>
      </c>
      <c r="H424" s="459">
        <f t="shared" si="204"/>
        <v>614.279</v>
      </c>
      <c r="I424" s="459">
        <f t="shared" si="194"/>
        <v>70.469083400252373</v>
      </c>
      <c r="J424" s="478"/>
      <c r="K424" s="463"/>
      <c r="L424" s="201"/>
    </row>
    <row r="425" spans="1:12" ht="31.5" x14ac:dyDescent="0.25">
      <c r="A425" s="458" t="s">
        <v>131</v>
      </c>
      <c r="B425" s="452">
        <v>903</v>
      </c>
      <c r="C425" s="454" t="s">
        <v>299</v>
      </c>
      <c r="D425" s="454" t="s">
        <v>118</v>
      </c>
      <c r="E425" s="454" t="s">
        <v>889</v>
      </c>
      <c r="F425" s="460" t="s">
        <v>132</v>
      </c>
      <c r="G425" s="459">
        <f>G426</f>
        <v>871.7</v>
      </c>
      <c r="H425" s="459">
        <f t="shared" si="204"/>
        <v>614.279</v>
      </c>
      <c r="I425" s="459">
        <f t="shared" si="194"/>
        <v>70.469083400252373</v>
      </c>
      <c r="J425" s="478"/>
      <c r="K425" s="463"/>
      <c r="L425" s="201"/>
    </row>
    <row r="426" spans="1:12" ht="31.5" x14ac:dyDescent="0.25">
      <c r="A426" s="458" t="s">
        <v>133</v>
      </c>
      <c r="B426" s="452">
        <v>903</v>
      </c>
      <c r="C426" s="454" t="s">
        <v>299</v>
      </c>
      <c r="D426" s="454" t="s">
        <v>118</v>
      </c>
      <c r="E426" s="454" t="s">
        <v>889</v>
      </c>
      <c r="F426" s="460" t="s">
        <v>134</v>
      </c>
      <c r="G426" s="459">
        <f>844.9-39.8-34.4+70.4+30.6</f>
        <v>871.7</v>
      </c>
      <c r="H426" s="459">
        <v>614.279</v>
      </c>
      <c r="I426" s="459">
        <f t="shared" si="194"/>
        <v>70.469083400252373</v>
      </c>
      <c r="J426" s="478"/>
      <c r="K426" s="463"/>
      <c r="L426" s="201"/>
    </row>
    <row r="427" spans="1:12" ht="15.75" x14ac:dyDescent="0.25">
      <c r="A427" s="456" t="s">
        <v>333</v>
      </c>
      <c r="B427" s="453">
        <v>903</v>
      </c>
      <c r="C427" s="457" t="s">
        <v>299</v>
      </c>
      <c r="D427" s="457" t="s">
        <v>150</v>
      </c>
      <c r="E427" s="457"/>
      <c r="F427" s="457"/>
      <c r="G427" s="455">
        <f>G428+G438+G454+G460</f>
        <v>19788.5</v>
      </c>
      <c r="H427" s="455">
        <f t="shared" ref="H427" si="205">H428+H438+H454+H460</f>
        <v>16062.727019999997</v>
      </c>
      <c r="I427" s="455">
        <f t="shared" si="194"/>
        <v>81.172029309952734</v>
      </c>
      <c r="J427" s="478"/>
      <c r="K427" s="463"/>
      <c r="L427" s="201"/>
    </row>
    <row r="428" spans="1:12" s="201" customFormat="1" ht="31.5" x14ac:dyDescent="0.25">
      <c r="A428" s="456" t="s">
        <v>917</v>
      </c>
      <c r="B428" s="453">
        <v>903</v>
      </c>
      <c r="C428" s="457" t="s">
        <v>299</v>
      </c>
      <c r="D428" s="457" t="s">
        <v>150</v>
      </c>
      <c r="E428" s="457" t="s">
        <v>858</v>
      </c>
      <c r="F428" s="457"/>
      <c r="G428" s="455">
        <f>G429</f>
        <v>7141.6</v>
      </c>
      <c r="H428" s="455">
        <f t="shared" ref="H428" si="206">H429</f>
        <v>5651.6209999999992</v>
      </c>
      <c r="I428" s="455">
        <f t="shared" si="194"/>
        <v>79.136622045479982</v>
      </c>
      <c r="J428" s="478"/>
      <c r="K428" s="463"/>
    </row>
    <row r="429" spans="1:12" s="201" customFormat="1" ht="15.75" x14ac:dyDescent="0.25">
      <c r="A429" s="456" t="s">
        <v>918</v>
      </c>
      <c r="B429" s="453">
        <v>903</v>
      </c>
      <c r="C429" s="457" t="s">
        <v>299</v>
      </c>
      <c r="D429" s="457" t="s">
        <v>150</v>
      </c>
      <c r="E429" s="457" t="s">
        <v>859</v>
      </c>
      <c r="F429" s="457"/>
      <c r="G429" s="455">
        <f>G430+G435</f>
        <v>7141.6</v>
      </c>
      <c r="H429" s="455">
        <f t="shared" ref="H429" si="207">H430+H435</f>
        <v>5651.6209999999992</v>
      </c>
      <c r="I429" s="455">
        <f t="shared" si="194"/>
        <v>79.136622045479982</v>
      </c>
      <c r="J429" s="478"/>
      <c r="K429" s="463"/>
    </row>
    <row r="430" spans="1:12" s="201" customFormat="1" ht="31.5" x14ac:dyDescent="0.25">
      <c r="A430" s="458" t="s">
        <v>897</v>
      </c>
      <c r="B430" s="452">
        <v>903</v>
      </c>
      <c r="C430" s="454" t="s">
        <v>299</v>
      </c>
      <c r="D430" s="454" t="s">
        <v>150</v>
      </c>
      <c r="E430" s="454" t="s">
        <v>860</v>
      </c>
      <c r="F430" s="454"/>
      <c r="G430" s="459">
        <f>G431+G433</f>
        <v>6898.8</v>
      </c>
      <c r="H430" s="459">
        <f t="shared" ref="H430" si="208">H431+H433</f>
        <v>5436.5105999999996</v>
      </c>
      <c r="I430" s="459">
        <f t="shared" si="194"/>
        <v>78.803713689337272</v>
      </c>
      <c r="J430" s="478"/>
      <c r="K430" s="463"/>
    </row>
    <row r="431" spans="1:12" s="201" customFormat="1" ht="78.75" x14ac:dyDescent="0.25">
      <c r="A431" s="458" t="s">
        <v>127</v>
      </c>
      <c r="B431" s="452">
        <v>903</v>
      </c>
      <c r="C431" s="454" t="s">
        <v>299</v>
      </c>
      <c r="D431" s="454" t="s">
        <v>150</v>
      </c>
      <c r="E431" s="454" t="s">
        <v>860</v>
      </c>
      <c r="F431" s="454" t="s">
        <v>128</v>
      </c>
      <c r="G431" s="459">
        <f>G432</f>
        <v>6898.8</v>
      </c>
      <c r="H431" s="459">
        <f t="shared" ref="H431" si="209">H432</f>
        <v>5436.5105999999996</v>
      </c>
      <c r="I431" s="459">
        <f t="shared" si="194"/>
        <v>78.803713689337272</v>
      </c>
      <c r="J431" s="478"/>
      <c r="K431" s="463"/>
    </row>
    <row r="432" spans="1:12" s="201" customFormat="1" ht="31.5" x14ac:dyDescent="0.25">
      <c r="A432" s="458" t="s">
        <v>129</v>
      </c>
      <c r="B432" s="452">
        <v>903</v>
      </c>
      <c r="C432" s="454" t="s">
        <v>299</v>
      </c>
      <c r="D432" s="454" t="s">
        <v>150</v>
      </c>
      <c r="E432" s="454" t="s">
        <v>860</v>
      </c>
      <c r="F432" s="454" t="s">
        <v>130</v>
      </c>
      <c r="G432" s="27">
        <f>7015.6-18.8-285+187</f>
        <v>6898.8</v>
      </c>
      <c r="H432" s="27">
        <v>5436.5105999999996</v>
      </c>
      <c r="I432" s="459">
        <f t="shared" si="194"/>
        <v>78.803713689337272</v>
      </c>
      <c r="J432" s="478"/>
      <c r="K432" s="478">
        <v>44417</v>
      </c>
    </row>
    <row r="433" spans="1:12" s="201" customFormat="1" ht="31.5" hidden="1" x14ac:dyDescent="0.25">
      <c r="A433" s="458" t="s">
        <v>131</v>
      </c>
      <c r="B433" s="452">
        <v>903</v>
      </c>
      <c r="C433" s="454" t="s">
        <v>299</v>
      </c>
      <c r="D433" s="454" t="s">
        <v>150</v>
      </c>
      <c r="E433" s="454" t="s">
        <v>860</v>
      </c>
      <c r="F433" s="454" t="s">
        <v>132</v>
      </c>
      <c r="G433" s="459">
        <f>G434</f>
        <v>0</v>
      </c>
      <c r="H433" s="459">
        <f t="shared" ref="H433" si="210">H434</f>
        <v>0</v>
      </c>
      <c r="I433" s="459" t="e">
        <f t="shared" si="194"/>
        <v>#DIV/0!</v>
      </c>
      <c r="J433" s="478"/>
      <c r="K433" s="463"/>
    </row>
    <row r="434" spans="1:12" s="201" customFormat="1" ht="31.5" hidden="1" x14ac:dyDescent="0.25">
      <c r="A434" s="458" t="s">
        <v>133</v>
      </c>
      <c r="B434" s="452">
        <v>903</v>
      </c>
      <c r="C434" s="454" t="s">
        <v>299</v>
      </c>
      <c r="D434" s="454" t="s">
        <v>150</v>
      </c>
      <c r="E434" s="454" t="s">
        <v>860</v>
      </c>
      <c r="F434" s="454" t="s">
        <v>134</v>
      </c>
      <c r="G434" s="459">
        <v>0</v>
      </c>
      <c r="H434" s="459">
        <v>0</v>
      </c>
      <c r="I434" s="459" t="e">
        <f t="shared" si="194"/>
        <v>#DIV/0!</v>
      </c>
      <c r="J434" s="478"/>
      <c r="K434" s="463"/>
    </row>
    <row r="435" spans="1:12" s="201" customFormat="1" ht="31.5" x14ac:dyDescent="0.25">
      <c r="A435" s="458" t="s">
        <v>839</v>
      </c>
      <c r="B435" s="452">
        <v>903</v>
      </c>
      <c r="C435" s="454" t="s">
        <v>299</v>
      </c>
      <c r="D435" s="454" t="s">
        <v>150</v>
      </c>
      <c r="E435" s="454" t="s">
        <v>862</v>
      </c>
      <c r="F435" s="454"/>
      <c r="G435" s="459">
        <f>G436</f>
        <v>242.8</v>
      </c>
      <c r="H435" s="459">
        <f t="shared" ref="H435:H436" si="211">H436</f>
        <v>215.1104</v>
      </c>
      <c r="I435" s="459">
        <f t="shared" si="194"/>
        <v>88.595716639209215</v>
      </c>
      <c r="J435" s="478"/>
      <c r="K435" s="463"/>
    </row>
    <row r="436" spans="1:12" s="201" customFormat="1" ht="78.75" x14ac:dyDescent="0.25">
      <c r="A436" s="458" t="s">
        <v>127</v>
      </c>
      <c r="B436" s="452">
        <v>903</v>
      </c>
      <c r="C436" s="454" t="s">
        <v>299</v>
      </c>
      <c r="D436" s="454" t="s">
        <v>150</v>
      </c>
      <c r="E436" s="454" t="s">
        <v>862</v>
      </c>
      <c r="F436" s="454" t="s">
        <v>128</v>
      </c>
      <c r="G436" s="459">
        <f>G437</f>
        <v>242.8</v>
      </c>
      <c r="H436" s="459">
        <f t="shared" si="211"/>
        <v>215.1104</v>
      </c>
      <c r="I436" s="459">
        <f t="shared" si="194"/>
        <v>88.595716639209215</v>
      </c>
      <c r="J436" s="478"/>
      <c r="K436" s="463"/>
    </row>
    <row r="437" spans="1:12" s="201" customFormat="1" ht="31.5" x14ac:dyDescent="0.25">
      <c r="A437" s="458" t="s">
        <v>129</v>
      </c>
      <c r="B437" s="452">
        <v>903</v>
      </c>
      <c r="C437" s="454" t="s">
        <v>299</v>
      </c>
      <c r="D437" s="454" t="s">
        <v>150</v>
      </c>
      <c r="E437" s="454" t="s">
        <v>862</v>
      </c>
      <c r="F437" s="454" t="s">
        <v>130</v>
      </c>
      <c r="G437" s="459">
        <f>276-33.2</f>
        <v>242.8</v>
      </c>
      <c r="H437" s="459">
        <v>215.1104</v>
      </c>
      <c r="I437" s="459">
        <f t="shared" si="194"/>
        <v>88.595716639209215</v>
      </c>
      <c r="J437" s="478"/>
      <c r="K437" s="463"/>
    </row>
    <row r="438" spans="1:12" s="201" customFormat="1" ht="15.75" x14ac:dyDescent="0.25">
      <c r="A438" s="456" t="s">
        <v>926</v>
      </c>
      <c r="B438" s="453">
        <v>903</v>
      </c>
      <c r="C438" s="457" t="s">
        <v>299</v>
      </c>
      <c r="D438" s="457" t="s">
        <v>150</v>
      </c>
      <c r="E438" s="457" t="s">
        <v>866</v>
      </c>
      <c r="F438" s="457"/>
      <c r="G438" s="455">
        <f>G443+G439</f>
        <v>12442.9</v>
      </c>
      <c r="H438" s="455">
        <f t="shared" ref="H438" si="212">H443+H439</f>
        <v>10283.136019999998</v>
      </c>
      <c r="I438" s="455">
        <f t="shared" si="194"/>
        <v>82.642599554766164</v>
      </c>
      <c r="J438" s="478"/>
      <c r="K438" s="463"/>
    </row>
    <row r="439" spans="1:12" s="201" customFormat="1" ht="31.5" x14ac:dyDescent="0.25">
      <c r="A439" s="34" t="s">
        <v>870</v>
      </c>
      <c r="B439" s="453">
        <v>903</v>
      </c>
      <c r="C439" s="457" t="s">
        <v>299</v>
      </c>
      <c r="D439" s="457" t="s">
        <v>150</v>
      </c>
      <c r="E439" s="457" t="s">
        <v>865</v>
      </c>
      <c r="F439" s="457"/>
      <c r="G439" s="455">
        <f>G440</f>
        <v>1185</v>
      </c>
      <c r="H439" s="455">
        <f t="shared" ref="H439:H441" si="213">H440</f>
        <v>1185</v>
      </c>
      <c r="I439" s="455">
        <f t="shared" si="194"/>
        <v>100</v>
      </c>
      <c r="J439" s="478"/>
      <c r="K439" s="463"/>
    </row>
    <row r="440" spans="1:12" s="201" customFormat="1" ht="50.25" customHeight="1" x14ac:dyDescent="0.25">
      <c r="A440" s="31" t="s">
        <v>1702</v>
      </c>
      <c r="B440" s="452">
        <v>903</v>
      </c>
      <c r="C440" s="454" t="s">
        <v>299</v>
      </c>
      <c r="D440" s="454" t="s">
        <v>150</v>
      </c>
      <c r="E440" s="454" t="s">
        <v>1701</v>
      </c>
      <c r="F440" s="454"/>
      <c r="G440" s="459">
        <f>G441</f>
        <v>1185</v>
      </c>
      <c r="H440" s="459">
        <f t="shared" si="213"/>
        <v>1185</v>
      </c>
      <c r="I440" s="459">
        <f t="shared" si="194"/>
        <v>100</v>
      </c>
      <c r="J440" s="478"/>
      <c r="K440" s="463"/>
    </row>
    <row r="441" spans="1:12" s="201" customFormat="1" ht="31.5" x14ac:dyDescent="0.25">
      <c r="A441" s="458" t="s">
        <v>131</v>
      </c>
      <c r="B441" s="452">
        <v>903</v>
      </c>
      <c r="C441" s="454" t="s">
        <v>299</v>
      </c>
      <c r="D441" s="454" t="s">
        <v>150</v>
      </c>
      <c r="E441" s="454" t="s">
        <v>1701</v>
      </c>
      <c r="F441" s="454" t="s">
        <v>132</v>
      </c>
      <c r="G441" s="459">
        <f>G442</f>
        <v>1185</v>
      </c>
      <c r="H441" s="459">
        <f t="shared" si="213"/>
        <v>1185</v>
      </c>
      <c r="I441" s="459">
        <f t="shared" si="194"/>
        <v>100</v>
      </c>
      <c r="J441" s="478"/>
      <c r="K441" s="463"/>
    </row>
    <row r="442" spans="1:12" s="201" customFormat="1" ht="31.5" x14ac:dyDescent="0.25">
      <c r="A442" s="458" t="s">
        <v>133</v>
      </c>
      <c r="B442" s="452">
        <v>903</v>
      </c>
      <c r="C442" s="454" t="s">
        <v>299</v>
      </c>
      <c r="D442" s="454" t="s">
        <v>150</v>
      </c>
      <c r="E442" s="454" t="s">
        <v>1701</v>
      </c>
      <c r="F442" s="454" t="s">
        <v>134</v>
      </c>
      <c r="G442" s="459">
        <v>1185</v>
      </c>
      <c r="H442" s="459">
        <v>1185</v>
      </c>
      <c r="I442" s="459">
        <f t="shared" si="194"/>
        <v>100</v>
      </c>
      <c r="J442" s="478"/>
      <c r="K442" s="463"/>
    </row>
    <row r="443" spans="1:12" s="201" customFormat="1" ht="31.7" customHeight="1" x14ac:dyDescent="0.25">
      <c r="A443" s="456" t="s">
        <v>929</v>
      </c>
      <c r="B443" s="453">
        <v>903</v>
      </c>
      <c r="C443" s="457" t="s">
        <v>299</v>
      </c>
      <c r="D443" s="457" t="s">
        <v>150</v>
      </c>
      <c r="E443" s="457" t="s">
        <v>914</v>
      </c>
      <c r="F443" s="457"/>
      <c r="G443" s="455">
        <f>G444+G451</f>
        <v>11257.9</v>
      </c>
      <c r="H443" s="455">
        <f t="shared" ref="H443" si="214">H444+H451</f>
        <v>9098.1360199999981</v>
      </c>
      <c r="I443" s="455">
        <f t="shared" si="194"/>
        <v>80.815569688840711</v>
      </c>
      <c r="J443" s="478"/>
      <c r="K443" s="463"/>
    </row>
    <row r="444" spans="1:12" s="201" customFormat="1" ht="30.75" customHeight="1" x14ac:dyDescent="0.25">
      <c r="A444" s="458" t="s">
        <v>903</v>
      </c>
      <c r="B444" s="452">
        <v>903</v>
      </c>
      <c r="C444" s="454" t="s">
        <v>299</v>
      </c>
      <c r="D444" s="454" t="s">
        <v>150</v>
      </c>
      <c r="E444" s="454" t="s">
        <v>915</v>
      </c>
      <c r="F444" s="454"/>
      <c r="G444" s="459">
        <f>G445+G447+G449</f>
        <v>10918.9</v>
      </c>
      <c r="H444" s="459">
        <f t="shared" ref="H444" si="215">H445+H447+H449</f>
        <v>8759.1360199999981</v>
      </c>
      <c r="I444" s="459">
        <f t="shared" si="194"/>
        <v>80.219949079119672</v>
      </c>
      <c r="J444" s="478"/>
      <c r="K444" s="463"/>
    </row>
    <row r="445" spans="1:12" s="201" customFormat="1" ht="78.75" x14ac:dyDescent="0.25">
      <c r="A445" s="458" t="s">
        <v>127</v>
      </c>
      <c r="B445" s="452">
        <v>903</v>
      </c>
      <c r="C445" s="454" t="s">
        <v>299</v>
      </c>
      <c r="D445" s="454" t="s">
        <v>150</v>
      </c>
      <c r="E445" s="454" t="s">
        <v>915</v>
      </c>
      <c r="F445" s="454" t="s">
        <v>128</v>
      </c>
      <c r="G445" s="459">
        <f>G446</f>
        <v>8965.1999999999989</v>
      </c>
      <c r="H445" s="459">
        <f t="shared" ref="H445" si="216">H446</f>
        <v>7283.3661199999997</v>
      </c>
      <c r="I445" s="459">
        <f t="shared" si="194"/>
        <v>81.240419845625311</v>
      </c>
      <c r="J445" s="478"/>
      <c r="K445" s="463"/>
    </row>
    <row r="446" spans="1:12" s="201" customFormat="1" ht="21.2" customHeight="1" x14ac:dyDescent="0.25">
      <c r="A446" s="458" t="s">
        <v>342</v>
      </c>
      <c r="B446" s="452">
        <v>903</v>
      </c>
      <c r="C446" s="454" t="s">
        <v>299</v>
      </c>
      <c r="D446" s="454" t="s">
        <v>150</v>
      </c>
      <c r="E446" s="454" t="s">
        <v>915</v>
      </c>
      <c r="F446" s="454" t="s">
        <v>209</v>
      </c>
      <c r="G446" s="27">
        <f>8853.8+12.3+16.1+83</f>
        <v>8965.1999999999989</v>
      </c>
      <c r="H446" s="27">
        <v>7283.3661199999997</v>
      </c>
      <c r="I446" s="459">
        <f t="shared" si="194"/>
        <v>81.240419845625311</v>
      </c>
      <c r="J446" s="478"/>
      <c r="K446" s="478">
        <v>44417</v>
      </c>
      <c r="L446" s="489"/>
    </row>
    <row r="447" spans="1:12" s="201" customFormat="1" ht="31.5" x14ac:dyDescent="0.25">
      <c r="A447" s="458" t="s">
        <v>131</v>
      </c>
      <c r="B447" s="452">
        <v>903</v>
      </c>
      <c r="C447" s="454" t="s">
        <v>299</v>
      </c>
      <c r="D447" s="454" t="s">
        <v>150</v>
      </c>
      <c r="E447" s="454" t="s">
        <v>915</v>
      </c>
      <c r="F447" s="454" t="s">
        <v>132</v>
      </c>
      <c r="G447" s="459">
        <f>G448</f>
        <v>1939.7</v>
      </c>
      <c r="H447" s="459">
        <f t="shared" ref="H447" si="217">H448</f>
        <v>1463.1839</v>
      </c>
      <c r="I447" s="459">
        <f t="shared" si="194"/>
        <v>75.4335154920864</v>
      </c>
      <c r="J447" s="478"/>
      <c r="K447" s="463"/>
    </row>
    <row r="448" spans="1:12" s="201" customFormat="1" ht="31.5" x14ac:dyDescent="0.25">
      <c r="A448" s="458" t="s">
        <v>133</v>
      </c>
      <c r="B448" s="452">
        <v>903</v>
      </c>
      <c r="C448" s="454" t="s">
        <v>299</v>
      </c>
      <c r="D448" s="454" t="s">
        <v>150</v>
      </c>
      <c r="E448" s="454" t="s">
        <v>915</v>
      </c>
      <c r="F448" s="454" t="s">
        <v>134</v>
      </c>
      <c r="G448" s="27">
        <f>1936.4+0.6-140.4+40.4+100+2.7</f>
        <v>1939.7</v>
      </c>
      <c r="H448" s="27">
        <v>1463.1839</v>
      </c>
      <c r="I448" s="459">
        <f t="shared" si="194"/>
        <v>75.4335154920864</v>
      </c>
      <c r="J448" s="478"/>
      <c r="K448" s="463"/>
      <c r="L448" s="489"/>
    </row>
    <row r="449" spans="1:12" s="201" customFormat="1" ht="15.75" x14ac:dyDescent="0.25">
      <c r="A449" s="458" t="s">
        <v>135</v>
      </c>
      <c r="B449" s="452">
        <v>903</v>
      </c>
      <c r="C449" s="454" t="s">
        <v>299</v>
      </c>
      <c r="D449" s="454" t="s">
        <v>150</v>
      </c>
      <c r="E449" s="454" t="s">
        <v>915</v>
      </c>
      <c r="F449" s="454" t="s">
        <v>145</v>
      </c>
      <c r="G449" s="459">
        <f>G450</f>
        <v>14</v>
      </c>
      <c r="H449" s="459">
        <f t="shared" ref="H449" si="218">H450</f>
        <v>12.586</v>
      </c>
      <c r="I449" s="459">
        <f t="shared" si="194"/>
        <v>89.9</v>
      </c>
      <c r="J449" s="478"/>
      <c r="K449" s="463"/>
    </row>
    <row r="450" spans="1:12" s="201" customFormat="1" ht="15.75" x14ac:dyDescent="0.25">
      <c r="A450" s="458" t="s">
        <v>568</v>
      </c>
      <c r="B450" s="452">
        <v>903</v>
      </c>
      <c r="C450" s="454" t="s">
        <v>299</v>
      </c>
      <c r="D450" s="454" t="s">
        <v>150</v>
      </c>
      <c r="E450" s="454" t="s">
        <v>915</v>
      </c>
      <c r="F450" s="454" t="s">
        <v>138</v>
      </c>
      <c r="G450" s="459">
        <v>14</v>
      </c>
      <c r="H450" s="459">
        <v>12.586</v>
      </c>
      <c r="I450" s="459">
        <f t="shared" si="194"/>
        <v>89.9</v>
      </c>
      <c r="J450" s="478"/>
      <c r="K450" s="463"/>
    </row>
    <row r="451" spans="1:12" s="201" customFormat="1" ht="31.5" x14ac:dyDescent="0.25">
      <c r="A451" s="458" t="s">
        <v>839</v>
      </c>
      <c r="B451" s="452">
        <v>903</v>
      </c>
      <c r="C451" s="454" t="s">
        <v>299</v>
      </c>
      <c r="D451" s="454" t="s">
        <v>150</v>
      </c>
      <c r="E451" s="454" t="s">
        <v>916</v>
      </c>
      <c r="F451" s="454"/>
      <c r="G451" s="459">
        <f>G452</f>
        <v>339</v>
      </c>
      <c r="H451" s="459">
        <f t="shared" ref="H451:H452" si="219">H452</f>
        <v>339</v>
      </c>
      <c r="I451" s="459">
        <f t="shared" si="194"/>
        <v>100</v>
      </c>
      <c r="J451" s="478"/>
      <c r="K451" s="463"/>
    </row>
    <row r="452" spans="1:12" s="201" customFormat="1" ht="78.75" x14ac:dyDescent="0.25">
      <c r="A452" s="458" t="s">
        <v>127</v>
      </c>
      <c r="B452" s="452">
        <v>903</v>
      </c>
      <c r="C452" s="454" t="s">
        <v>299</v>
      </c>
      <c r="D452" s="454" t="s">
        <v>150</v>
      </c>
      <c r="E452" s="454" t="s">
        <v>916</v>
      </c>
      <c r="F452" s="454" t="s">
        <v>128</v>
      </c>
      <c r="G452" s="459">
        <f>G453</f>
        <v>339</v>
      </c>
      <c r="H452" s="459">
        <f t="shared" si="219"/>
        <v>339</v>
      </c>
      <c r="I452" s="459">
        <f t="shared" si="194"/>
        <v>100</v>
      </c>
      <c r="J452" s="478"/>
      <c r="K452" s="463"/>
    </row>
    <row r="453" spans="1:12" s="201" customFormat="1" ht="15.75" x14ac:dyDescent="0.25">
      <c r="A453" s="458" t="s">
        <v>342</v>
      </c>
      <c r="B453" s="452">
        <v>903</v>
      </c>
      <c r="C453" s="454" t="s">
        <v>299</v>
      </c>
      <c r="D453" s="454" t="s">
        <v>150</v>
      </c>
      <c r="E453" s="454" t="s">
        <v>916</v>
      </c>
      <c r="F453" s="454" t="s">
        <v>209</v>
      </c>
      <c r="G453" s="459">
        <f>210+95.8+33.2</f>
        <v>339</v>
      </c>
      <c r="H453" s="459">
        <v>339</v>
      </c>
      <c r="I453" s="459">
        <f t="shared" si="194"/>
        <v>100</v>
      </c>
      <c r="J453" s="478"/>
      <c r="K453" s="463"/>
    </row>
    <row r="454" spans="1:12" ht="48.2" customHeight="1" x14ac:dyDescent="0.25">
      <c r="A454" s="456" t="s">
        <v>1350</v>
      </c>
      <c r="B454" s="453">
        <v>903</v>
      </c>
      <c r="C454" s="457" t="s">
        <v>299</v>
      </c>
      <c r="D454" s="457" t="s">
        <v>150</v>
      </c>
      <c r="E454" s="457" t="s">
        <v>344</v>
      </c>
      <c r="F454" s="457"/>
      <c r="G454" s="455">
        <f>G455</f>
        <v>200</v>
      </c>
      <c r="H454" s="455">
        <f t="shared" ref="H454:H458" si="220">H455</f>
        <v>127.97</v>
      </c>
      <c r="I454" s="455">
        <f t="shared" si="194"/>
        <v>63.984999999999999</v>
      </c>
      <c r="J454" s="478"/>
      <c r="K454" s="463"/>
      <c r="L454" s="201"/>
    </row>
    <row r="455" spans="1:12" ht="31.5" x14ac:dyDescent="0.25">
      <c r="A455" s="456" t="s">
        <v>1356</v>
      </c>
      <c r="B455" s="453">
        <v>903</v>
      </c>
      <c r="C455" s="457" t="s">
        <v>299</v>
      </c>
      <c r="D455" s="457" t="s">
        <v>150</v>
      </c>
      <c r="E455" s="457" t="s">
        <v>362</v>
      </c>
      <c r="F455" s="457"/>
      <c r="G455" s="455">
        <f>G456</f>
        <v>200</v>
      </c>
      <c r="H455" s="455">
        <f t="shared" si="220"/>
        <v>127.97</v>
      </c>
      <c r="I455" s="455">
        <f t="shared" si="194"/>
        <v>63.984999999999999</v>
      </c>
      <c r="J455" s="478"/>
      <c r="K455" s="463"/>
      <c r="L455" s="201"/>
    </row>
    <row r="456" spans="1:12" s="201" customFormat="1" ht="31.5" x14ac:dyDescent="0.25">
      <c r="A456" s="456" t="s">
        <v>997</v>
      </c>
      <c r="B456" s="453">
        <v>903</v>
      </c>
      <c r="C456" s="457" t="s">
        <v>299</v>
      </c>
      <c r="D456" s="457" t="s">
        <v>150</v>
      </c>
      <c r="E456" s="457" t="s">
        <v>1222</v>
      </c>
      <c r="F456" s="457"/>
      <c r="G456" s="455">
        <f>G457</f>
        <v>200</v>
      </c>
      <c r="H456" s="455">
        <f t="shared" si="220"/>
        <v>127.97</v>
      </c>
      <c r="I456" s="455">
        <f t="shared" si="194"/>
        <v>63.984999999999999</v>
      </c>
      <c r="J456" s="478"/>
      <c r="K456" s="463"/>
    </row>
    <row r="457" spans="1:12" ht="15.75" x14ac:dyDescent="0.25">
      <c r="A457" s="458" t="s">
        <v>996</v>
      </c>
      <c r="B457" s="452">
        <v>903</v>
      </c>
      <c r="C457" s="454" t="s">
        <v>299</v>
      </c>
      <c r="D457" s="454" t="s">
        <v>150</v>
      </c>
      <c r="E457" s="454" t="s">
        <v>1223</v>
      </c>
      <c r="F457" s="454"/>
      <c r="G457" s="459">
        <f>G458</f>
        <v>200</v>
      </c>
      <c r="H457" s="459">
        <f t="shared" si="220"/>
        <v>127.97</v>
      </c>
      <c r="I457" s="459">
        <f t="shared" si="194"/>
        <v>63.984999999999999</v>
      </c>
      <c r="J457" s="478"/>
      <c r="K457" s="463"/>
      <c r="L457" s="201"/>
    </row>
    <row r="458" spans="1:12" ht="31.5" x14ac:dyDescent="0.25">
      <c r="A458" s="458" t="s">
        <v>131</v>
      </c>
      <c r="B458" s="452">
        <v>903</v>
      </c>
      <c r="C458" s="454" t="s">
        <v>299</v>
      </c>
      <c r="D458" s="454" t="s">
        <v>150</v>
      </c>
      <c r="E458" s="454" t="s">
        <v>1223</v>
      </c>
      <c r="F458" s="454" t="s">
        <v>132</v>
      </c>
      <c r="G458" s="459">
        <f>G459</f>
        <v>200</v>
      </c>
      <c r="H458" s="459">
        <f t="shared" si="220"/>
        <v>127.97</v>
      </c>
      <c r="I458" s="459">
        <f t="shared" si="194"/>
        <v>63.984999999999999</v>
      </c>
      <c r="J458" s="478"/>
      <c r="K458" s="463"/>
      <c r="L458" s="201"/>
    </row>
    <row r="459" spans="1:12" ht="31.5" x14ac:dyDescent="0.25">
      <c r="A459" s="458" t="s">
        <v>133</v>
      </c>
      <c r="B459" s="452">
        <v>903</v>
      </c>
      <c r="C459" s="454" t="s">
        <v>299</v>
      </c>
      <c r="D459" s="454" t="s">
        <v>150</v>
      </c>
      <c r="E459" s="454" t="s">
        <v>1223</v>
      </c>
      <c r="F459" s="454" t="s">
        <v>134</v>
      </c>
      <c r="G459" s="459">
        <f>210+50-60+50-50-100+100</f>
        <v>200</v>
      </c>
      <c r="H459" s="459">
        <v>127.97</v>
      </c>
      <c r="I459" s="459">
        <f t="shared" si="194"/>
        <v>63.984999999999999</v>
      </c>
      <c r="J459" s="478"/>
      <c r="K459" s="463"/>
      <c r="L459" s="201"/>
    </row>
    <row r="460" spans="1:12" s="201" customFormat="1" ht="47.25" x14ac:dyDescent="0.25">
      <c r="A460" s="34" t="s">
        <v>1360</v>
      </c>
      <c r="B460" s="453">
        <v>903</v>
      </c>
      <c r="C460" s="457" t="s">
        <v>299</v>
      </c>
      <c r="D460" s="457" t="s">
        <v>150</v>
      </c>
      <c r="E460" s="457" t="s">
        <v>324</v>
      </c>
      <c r="F460" s="457"/>
      <c r="G460" s="455">
        <f>G462</f>
        <v>4</v>
      </c>
      <c r="H460" s="455">
        <f t="shared" ref="H460" si="221">H462</f>
        <v>0</v>
      </c>
      <c r="I460" s="455">
        <f t="shared" ref="I460:I523" si="222">H460/G460*100</f>
        <v>0</v>
      </c>
      <c r="J460" s="478"/>
      <c r="K460" s="463"/>
    </row>
    <row r="461" spans="1:12" s="201" customFormat="1" ht="47.25" x14ac:dyDescent="0.25">
      <c r="A461" s="34" t="s">
        <v>1025</v>
      </c>
      <c r="B461" s="453">
        <v>903</v>
      </c>
      <c r="C461" s="457" t="s">
        <v>299</v>
      </c>
      <c r="D461" s="457" t="s">
        <v>150</v>
      </c>
      <c r="E461" s="457" t="s">
        <v>934</v>
      </c>
      <c r="F461" s="457"/>
      <c r="G461" s="455">
        <f>G464</f>
        <v>4</v>
      </c>
      <c r="H461" s="455">
        <f t="shared" ref="H461" si="223">H464</f>
        <v>0</v>
      </c>
      <c r="I461" s="455">
        <f t="shared" si="222"/>
        <v>0</v>
      </c>
      <c r="J461" s="478"/>
      <c r="K461" s="463"/>
    </row>
    <row r="462" spans="1:12" s="201" customFormat="1" ht="47.25" x14ac:dyDescent="0.25">
      <c r="A462" s="31" t="s">
        <v>1081</v>
      </c>
      <c r="B462" s="452">
        <v>903</v>
      </c>
      <c r="C462" s="454" t="s">
        <v>299</v>
      </c>
      <c r="D462" s="454" t="s">
        <v>150</v>
      </c>
      <c r="E462" s="454" t="s">
        <v>1026</v>
      </c>
      <c r="F462" s="454"/>
      <c r="G462" s="459">
        <f>G463</f>
        <v>4</v>
      </c>
      <c r="H462" s="459">
        <f t="shared" ref="H462:H463" si="224">H463</f>
        <v>0</v>
      </c>
      <c r="I462" s="459">
        <f t="shared" si="222"/>
        <v>0</v>
      </c>
      <c r="J462" s="478"/>
      <c r="K462" s="463"/>
    </row>
    <row r="463" spans="1:12" s="201" customFormat="1" ht="31.5" x14ac:dyDescent="0.25">
      <c r="A463" s="458" t="s">
        <v>131</v>
      </c>
      <c r="B463" s="452">
        <v>903</v>
      </c>
      <c r="C463" s="454" t="s">
        <v>299</v>
      </c>
      <c r="D463" s="454" t="s">
        <v>150</v>
      </c>
      <c r="E463" s="454" t="s">
        <v>1026</v>
      </c>
      <c r="F463" s="454" t="s">
        <v>132</v>
      </c>
      <c r="G463" s="459">
        <f>G464</f>
        <v>4</v>
      </c>
      <c r="H463" s="459">
        <f t="shared" si="224"/>
        <v>0</v>
      </c>
      <c r="I463" s="459">
        <f t="shared" si="222"/>
        <v>0</v>
      </c>
      <c r="J463" s="478"/>
      <c r="K463" s="463"/>
    </row>
    <row r="464" spans="1:12" s="201" customFormat="1" ht="31.5" x14ac:dyDescent="0.25">
      <c r="A464" s="458" t="s">
        <v>133</v>
      </c>
      <c r="B464" s="452">
        <v>903</v>
      </c>
      <c r="C464" s="454" t="s">
        <v>299</v>
      </c>
      <c r="D464" s="454" t="s">
        <v>150</v>
      </c>
      <c r="E464" s="454" t="s">
        <v>1026</v>
      </c>
      <c r="F464" s="454" t="s">
        <v>134</v>
      </c>
      <c r="G464" s="459">
        <v>4</v>
      </c>
      <c r="H464" s="459">
        <v>0</v>
      </c>
      <c r="I464" s="459">
        <f t="shared" si="222"/>
        <v>0</v>
      </c>
      <c r="J464" s="478"/>
      <c r="K464" s="463"/>
    </row>
    <row r="465" spans="1:12" ht="15.75" x14ac:dyDescent="0.25">
      <c r="A465" s="456" t="s">
        <v>243</v>
      </c>
      <c r="B465" s="453">
        <v>903</v>
      </c>
      <c r="C465" s="457" t="s">
        <v>244</v>
      </c>
      <c r="D465" s="457"/>
      <c r="E465" s="457"/>
      <c r="F465" s="457"/>
      <c r="G465" s="455">
        <f>G466</f>
        <v>1707</v>
      </c>
      <c r="H465" s="455">
        <f t="shared" ref="H465:H466" si="225">H466</f>
        <v>1038.0149999999999</v>
      </c>
      <c r="I465" s="455">
        <f t="shared" si="222"/>
        <v>60.809314586994724</v>
      </c>
      <c r="J465" s="478"/>
      <c r="K465" s="463"/>
      <c r="L465" s="201"/>
    </row>
    <row r="466" spans="1:12" ht="15.75" x14ac:dyDescent="0.25">
      <c r="A466" s="456" t="s">
        <v>252</v>
      </c>
      <c r="B466" s="453">
        <v>903</v>
      </c>
      <c r="C466" s="457" t="s">
        <v>244</v>
      </c>
      <c r="D466" s="457" t="s">
        <v>215</v>
      </c>
      <c r="E466" s="457"/>
      <c r="F466" s="457"/>
      <c r="G466" s="455">
        <f>G467</f>
        <v>1707</v>
      </c>
      <c r="H466" s="455">
        <f t="shared" si="225"/>
        <v>1038.0149999999999</v>
      </c>
      <c r="I466" s="455">
        <f t="shared" si="222"/>
        <v>60.809314586994724</v>
      </c>
      <c r="J466" s="478"/>
      <c r="K466" s="463"/>
      <c r="L466" s="201"/>
    </row>
    <row r="467" spans="1:12" ht="47.25" x14ac:dyDescent="0.25">
      <c r="A467" s="456" t="s">
        <v>1350</v>
      </c>
      <c r="B467" s="453">
        <v>903</v>
      </c>
      <c r="C467" s="457" t="s">
        <v>244</v>
      </c>
      <c r="D467" s="457" t="s">
        <v>215</v>
      </c>
      <c r="E467" s="457" t="s">
        <v>344</v>
      </c>
      <c r="F467" s="457"/>
      <c r="G467" s="455">
        <f>G468+G473</f>
        <v>1707</v>
      </c>
      <c r="H467" s="455">
        <f t="shared" ref="H467" si="226">H468+H473</f>
        <v>1038.0149999999999</v>
      </c>
      <c r="I467" s="455">
        <f t="shared" si="222"/>
        <v>60.809314586994724</v>
      </c>
      <c r="J467" s="478"/>
      <c r="K467" s="463"/>
      <c r="L467" s="201"/>
    </row>
    <row r="468" spans="1:12" ht="15.75" hidden="1" x14ac:dyDescent="0.25">
      <c r="A468" s="456" t="s">
        <v>352</v>
      </c>
      <c r="B468" s="453">
        <v>903</v>
      </c>
      <c r="C468" s="457" t="s">
        <v>244</v>
      </c>
      <c r="D468" s="457" t="s">
        <v>215</v>
      </c>
      <c r="E468" s="457" t="s">
        <v>353</v>
      </c>
      <c r="F468" s="457"/>
      <c r="G468" s="455">
        <f>G469</f>
        <v>0</v>
      </c>
      <c r="H468" s="455">
        <f t="shared" ref="H468:H471" si="227">H469</f>
        <v>0</v>
      </c>
      <c r="I468" s="455" t="e">
        <f t="shared" si="222"/>
        <v>#DIV/0!</v>
      </c>
      <c r="J468" s="478"/>
      <c r="K468" s="463"/>
      <c r="L468" s="201"/>
    </row>
    <row r="469" spans="1:12" s="201" customFormat="1" ht="33.75" hidden="1" customHeight="1" x14ac:dyDescent="0.25">
      <c r="A469" s="456" t="s">
        <v>905</v>
      </c>
      <c r="B469" s="453">
        <v>903</v>
      </c>
      <c r="C469" s="457" t="s">
        <v>244</v>
      </c>
      <c r="D469" s="457" t="s">
        <v>215</v>
      </c>
      <c r="E469" s="457" t="s">
        <v>904</v>
      </c>
      <c r="F469" s="457"/>
      <c r="G469" s="455">
        <f>G470</f>
        <v>0</v>
      </c>
      <c r="H469" s="455">
        <f t="shared" si="227"/>
        <v>0</v>
      </c>
      <c r="I469" s="455" t="e">
        <f t="shared" si="222"/>
        <v>#DIV/0!</v>
      </c>
      <c r="J469" s="478"/>
      <c r="K469" s="463"/>
    </row>
    <row r="470" spans="1:12" ht="31.5" hidden="1" x14ac:dyDescent="0.25">
      <c r="A470" s="458" t="s">
        <v>824</v>
      </c>
      <c r="B470" s="452">
        <v>903</v>
      </c>
      <c r="C470" s="454" t="s">
        <v>244</v>
      </c>
      <c r="D470" s="454" t="s">
        <v>215</v>
      </c>
      <c r="E470" s="454" t="s">
        <v>906</v>
      </c>
      <c r="F470" s="454"/>
      <c r="G470" s="459">
        <f>G471</f>
        <v>0</v>
      </c>
      <c r="H470" s="459">
        <f t="shared" si="227"/>
        <v>0</v>
      </c>
      <c r="I470" s="455" t="e">
        <f t="shared" si="222"/>
        <v>#DIV/0!</v>
      </c>
      <c r="J470" s="478"/>
      <c r="K470" s="463"/>
      <c r="L470" s="201"/>
    </row>
    <row r="471" spans="1:12" ht="15.75" hidden="1" x14ac:dyDescent="0.25">
      <c r="A471" s="458" t="s">
        <v>248</v>
      </c>
      <c r="B471" s="452">
        <v>903</v>
      </c>
      <c r="C471" s="454" t="s">
        <v>244</v>
      </c>
      <c r="D471" s="454" t="s">
        <v>215</v>
      </c>
      <c r="E471" s="454" t="s">
        <v>906</v>
      </c>
      <c r="F471" s="454" t="s">
        <v>249</v>
      </c>
      <c r="G471" s="459">
        <f>G472</f>
        <v>0</v>
      </c>
      <c r="H471" s="459">
        <f t="shared" si="227"/>
        <v>0</v>
      </c>
      <c r="I471" s="455" t="e">
        <f t="shared" si="222"/>
        <v>#DIV/0!</v>
      </c>
      <c r="J471" s="478"/>
      <c r="K471" s="463"/>
      <c r="L471" s="201"/>
    </row>
    <row r="472" spans="1:12" ht="31.5" hidden="1" x14ac:dyDescent="0.25">
      <c r="A472" s="458" t="s">
        <v>250</v>
      </c>
      <c r="B472" s="452">
        <v>903</v>
      </c>
      <c r="C472" s="454" t="s">
        <v>244</v>
      </c>
      <c r="D472" s="454" t="s">
        <v>215</v>
      </c>
      <c r="E472" s="454" t="s">
        <v>906</v>
      </c>
      <c r="F472" s="454" t="s">
        <v>251</v>
      </c>
      <c r="G472" s="459"/>
      <c r="H472" s="459"/>
      <c r="I472" s="455" t="e">
        <f t="shared" si="222"/>
        <v>#DIV/0!</v>
      </c>
      <c r="J472" s="478"/>
      <c r="K472" s="463"/>
      <c r="L472" s="201"/>
    </row>
    <row r="473" spans="1:12" ht="31.5" x14ac:dyDescent="0.25">
      <c r="A473" s="456" t="s">
        <v>1356</v>
      </c>
      <c r="B473" s="453">
        <v>903</v>
      </c>
      <c r="C473" s="453">
        <v>10</v>
      </c>
      <c r="D473" s="457" t="s">
        <v>215</v>
      </c>
      <c r="E473" s="457" t="s">
        <v>362</v>
      </c>
      <c r="F473" s="457"/>
      <c r="G473" s="455">
        <f>G474+G480+G486</f>
        <v>1707</v>
      </c>
      <c r="H473" s="455">
        <f t="shared" ref="H473" si="228">H474+H480+H486</f>
        <v>1038.0149999999999</v>
      </c>
      <c r="I473" s="455">
        <f t="shared" si="222"/>
        <v>60.809314586994724</v>
      </c>
      <c r="J473" s="478"/>
      <c r="K473" s="463"/>
      <c r="L473" s="201"/>
    </row>
    <row r="474" spans="1:12" s="201" customFormat="1" ht="31.5" x14ac:dyDescent="0.25">
      <c r="A474" s="456" t="s">
        <v>1038</v>
      </c>
      <c r="B474" s="453">
        <v>903</v>
      </c>
      <c r="C474" s="457" t="s">
        <v>244</v>
      </c>
      <c r="D474" s="457" t="s">
        <v>215</v>
      </c>
      <c r="E474" s="457" t="s">
        <v>913</v>
      </c>
      <c r="F474" s="457"/>
      <c r="G474" s="455">
        <f>G475</f>
        <v>1030</v>
      </c>
      <c r="H474" s="455">
        <f t="shared" ref="H474" si="229">H475</f>
        <v>668.01499999999999</v>
      </c>
      <c r="I474" s="455">
        <f t="shared" si="222"/>
        <v>64.855825242718453</v>
      </c>
      <c r="J474" s="478"/>
      <c r="K474" s="463"/>
    </row>
    <row r="475" spans="1:12" s="201" customFormat="1" ht="39.75" customHeight="1" x14ac:dyDescent="0.25">
      <c r="A475" s="98" t="s">
        <v>1039</v>
      </c>
      <c r="B475" s="452">
        <v>903</v>
      </c>
      <c r="C475" s="454" t="s">
        <v>244</v>
      </c>
      <c r="D475" s="454" t="s">
        <v>215</v>
      </c>
      <c r="E475" s="454" t="s">
        <v>1225</v>
      </c>
      <c r="F475" s="454"/>
      <c r="G475" s="459">
        <f>G478+G477</f>
        <v>1030</v>
      </c>
      <c r="H475" s="459">
        <f t="shared" ref="H475" si="230">H478+H477</f>
        <v>668.01499999999999</v>
      </c>
      <c r="I475" s="459">
        <f t="shared" si="222"/>
        <v>64.855825242718453</v>
      </c>
      <c r="J475" s="478"/>
      <c r="K475" s="463"/>
    </row>
    <row r="476" spans="1:12" s="201" customFormat="1" ht="31.5" x14ac:dyDescent="0.25">
      <c r="A476" s="458" t="s">
        <v>131</v>
      </c>
      <c r="B476" s="452">
        <v>903</v>
      </c>
      <c r="C476" s="454" t="s">
        <v>244</v>
      </c>
      <c r="D476" s="454" t="s">
        <v>215</v>
      </c>
      <c r="E476" s="454" t="s">
        <v>1225</v>
      </c>
      <c r="F476" s="454" t="s">
        <v>132</v>
      </c>
      <c r="G476" s="459">
        <f>G477</f>
        <v>400</v>
      </c>
      <c r="H476" s="459">
        <f t="shared" ref="H476" si="231">H477</f>
        <v>297.71499999999997</v>
      </c>
      <c r="I476" s="459">
        <f t="shared" si="222"/>
        <v>74.428749999999994</v>
      </c>
      <c r="J476" s="478"/>
      <c r="K476" s="463"/>
    </row>
    <row r="477" spans="1:12" s="201" customFormat="1" ht="31.5" x14ac:dyDescent="0.25">
      <c r="A477" s="458" t="s">
        <v>133</v>
      </c>
      <c r="B477" s="452">
        <v>903</v>
      </c>
      <c r="C477" s="454" t="s">
        <v>244</v>
      </c>
      <c r="D477" s="454" t="s">
        <v>215</v>
      </c>
      <c r="E477" s="454" t="s">
        <v>1225</v>
      </c>
      <c r="F477" s="454" t="s">
        <v>134</v>
      </c>
      <c r="G477" s="459">
        <f>400-100-80.9-104.3+50+235.2</f>
        <v>400</v>
      </c>
      <c r="H477" s="459">
        <v>297.71499999999997</v>
      </c>
      <c r="I477" s="459">
        <f t="shared" si="222"/>
        <v>74.428749999999994</v>
      </c>
      <c r="J477" s="478"/>
      <c r="K477" s="463"/>
    </row>
    <row r="478" spans="1:12" s="201" customFormat="1" ht="15.75" x14ac:dyDescent="0.25">
      <c r="A478" s="458" t="s">
        <v>248</v>
      </c>
      <c r="B478" s="452">
        <v>903</v>
      </c>
      <c r="C478" s="454" t="s">
        <v>244</v>
      </c>
      <c r="D478" s="454" t="s">
        <v>215</v>
      </c>
      <c r="E478" s="454" t="s">
        <v>1225</v>
      </c>
      <c r="F478" s="454" t="s">
        <v>249</v>
      </c>
      <c r="G478" s="459">
        <f>G479</f>
        <v>630</v>
      </c>
      <c r="H478" s="459">
        <f t="shared" ref="H478" si="232">H479</f>
        <v>370.3</v>
      </c>
      <c r="I478" s="459">
        <f t="shared" si="222"/>
        <v>58.777777777777786</v>
      </c>
      <c r="J478" s="478"/>
      <c r="K478" s="463"/>
    </row>
    <row r="479" spans="1:12" s="201" customFormat="1" ht="15.75" x14ac:dyDescent="0.25">
      <c r="A479" s="458" t="s">
        <v>348</v>
      </c>
      <c r="B479" s="452">
        <v>903</v>
      </c>
      <c r="C479" s="454" t="s">
        <v>244</v>
      </c>
      <c r="D479" s="454" t="s">
        <v>215</v>
      </c>
      <c r="E479" s="454" t="s">
        <v>1225</v>
      </c>
      <c r="F479" s="454" t="s">
        <v>349</v>
      </c>
      <c r="G479" s="459">
        <v>630</v>
      </c>
      <c r="H479" s="459">
        <v>370.3</v>
      </c>
      <c r="I479" s="459">
        <f t="shared" si="222"/>
        <v>58.777777777777786</v>
      </c>
      <c r="J479" s="478"/>
      <c r="K479" s="463"/>
    </row>
    <row r="480" spans="1:12" s="201" customFormat="1" ht="31.5" x14ac:dyDescent="0.25">
      <c r="A480" s="456" t="s">
        <v>1229</v>
      </c>
      <c r="B480" s="453">
        <v>903</v>
      </c>
      <c r="C480" s="453">
        <v>10</v>
      </c>
      <c r="D480" s="457" t="s">
        <v>215</v>
      </c>
      <c r="E480" s="457" t="s">
        <v>1227</v>
      </c>
      <c r="F480" s="457"/>
      <c r="G480" s="455">
        <f>G481</f>
        <v>257</v>
      </c>
      <c r="H480" s="455">
        <f t="shared" ref="H480" si="233">H481</f>
        <v>190</v>
      </c>
      <c r="I480" s="455">
        <f t="shared" si="222"/>
        <v>73.929961089494171</v>
      </c>
      <c r="J480" s="478"/>
      <c r="K480" s="463"/>
    </row>
    <row r="481" spans="1:12" s="201" customFormat="1" ht="15.75" x14ac:dyDescent="0.25">
      <c r="A481" s="458" t="s">
        <v>1226</v>
      </c>
      <c r="B481" s="452">
        <v>903</v>
      </c>
      <c r="C481" s="454" t="s">
        <v>244</v>
      </c>
      <c r="D481" s="454" t="s">
        <v>215</v>
      </c>
      <c r="E481" s="454" t="s">
        <v>1228</v>
      </c>
      <c r="F481" s="454"/>
      <c r="G481" s="459">
        <f>G483+G485</f>
        <v>257</v>
      </c>
      <c r="H481" s="459">
        <f t="shared" ref="H481" si="234">H483+H485</f>
        <v>190</v>
      </c>
      <c r="I481" s="459">
        <f t="shared" si="222"/>
        <v>73.929961089494171</v>
      </c>
      <c r="J481" s="478"/>
      <c r="K481" s="463"/>
    </row>
    <row r="482" spans="1:12" s="201" customFormat="1" ht="31.5" hidden="1" x14ac:dyDescent="0.25">
      <c r="A482" s="458" t="s">
        <v>131</v>
      </c>
      <c r="B482" s="452">
        <v>903</v>
      </c>
      <c r="C482" s="454" t="s">
        <v>244</v>
      </c>
      <c r="D482" s="454" t="s">
        <v>215</v>
      </c>
      <c r="E482" s="454" t="s">
        <v>1228</v>
      </c>
      <c r="F482" s="454" t="s">
        <v>132</v>
      </c>
      <c r="G482" s="459">
        <f>G483</f>
        <v>0</v>
      </c>
      <c r="H482" s="459">
        <f t="shared" ref="H482" si="235">H483</f>
        <v>0</v>
      </c>
      <c r="I482" s="459" t="e">
        <f t="shared" si="222"/>
        <v>#DIV/0!</v>
      </c>
      <c r="J482" s="478"/>
      <c r="K482" s="463"/>
    </row>
    <row r="483" spans="1:12" s="201" customFormat="1" ht="31.5" hidden="1" x14ac:dyDescent="0.25">
      <c r="A483" s="458" t="s">
        <v>133</v>
      </c>
      <c r="B483" s="452">
        <v>903</v>
      </c>
      <c r="C483" s="454" t="s">
        <v>244</v>
      </c>
      <c r="D483" s="454" t="s">
        <v>215</v>
      </c>
      <c r="E483" s="454" t="s">
        <v>1228</v>
      </c>
      <c r="F483" s="454" t="s">
        <v>134</v>
      </c>
      <c r="G483" s="459">
        <f>400-400</f>
        <v>0</v>
      </c>
      <c r="H483" s="459">
        <f t="shared" ref="H483" si="236">400-400</f>
        <v>0</v>
      </c>
      <c r="I483" s="459" t="e">
        <f t="shared" si="222"/>
        <v>#DIV/0!</v>
      </c>
      <c r="J483" s="478"/>
      <c r="K483" s="463"/>
    </row>
    <row r="484" spans="1:12" s="201" customFormat="1" ht="15.75" x14ac:dyDescent="0.25">
      <c r="A484" s="458" t="s">
        <v>248</v>
      </c>
      <c r="B484" s="452">
        <v>903</v>
      </c>
      <c r="C484" s="454" t="s">
        <v>244</v>
      </c>
      <c r="D484" s="454" t="s">
        <v>215</v>
      </c>
      <c r="E484" s="454" t="s">
        <v>1228</v>
      </c>
      <c r="F484" s="454" t="s">
        <v>249</v>
      </c>
      <c r="G484" s="459">
        <f>G485</f>
        <v>257</v>
      </c>
      <c r="H484" s="459">
        <f t="shared" ref="H484" si="237">H485</f>
        <v>190</v>
      </c>
      <c r="I484" s="459">
        <f t="shared" si="222"/>
        <v>73.929961089494171</v>
      </c>
      <c r="J484" s="478"/>
      <c r="K484" s="463"/>
    </row>
    <row r="485" spans="1:12" s="201" customFormat="1" ht="15.75" x14ac:dyDescent="0.25">
      <c r="A485" s="458" t="s">
        <v>348</v>
      </c>
      <c r="B485" s="452">
        <v>903</v>
      </c>
      <c r="C485" s="454" t="s">
        <v>244</v>
      </c>
      <c r="D485" s="454" t="s">
        <v>215</v>
      </c>
      <c r="E485" s="454" t="s">
        <v>1228</v>
      </c>
      <c r="F485" s="454" t="s">
        <v>349</v>
      </c>
      <c r="G485" s="459">
        <v>257</v>
      </c>
      <c r="H485" s="459">
        <v>190</v>
      </c>
      <c r="I485" s="459">
        <f t="shared" si="222"/>
        <v>73.929961089494171</v>
      </c>
      <c r="J485" s="478"/>
      <c r="K485" s="463"/>
    </row>
    <row r="486" spans="1:12" s="201" customFormat="1" ht="31.5" x14ac:dyDescent="0.25">
      <c r="A486" s="456" t="s">
        <v>997</v>
      </c>
      <c r="B486" s="453">
        <v>903</v>
      </c>
      <c r="C486" s="453">
        <v>10</v>
      </c>
      <c r="D486" s="457" t="s">
        <v>215</v>
      </c>
      <c r="E486" s="457" t="s">
        <v>1222</v>
      </c>
      <c r="F486" s="457"/>
      <c r="G486" s="455">
        <f>G487</f>
        <v>420</v>
      </c>
      <c r="H486" s="455">
        <f t="shared" ref="H486:H488" si="238">H487</f>
        <v>180</v>
      </c>
      <c r="I486" s="455">
        <f t="shared" si="222"/>
        <v>42.857142857142854</v>
      </c>
      <c r="J486" s="478"/>
      <c r="K486" s="463"/>
    </row>
    <row r="487" spans="1:12" ht="15.75" x14ac:dyDescent="0.25">
      <c r="A487" s="458" t="s">
        <v>1036</v>
      </c>
      <c r="B487" s="452">
        <v>903</v>
      </c>
      <c r="C487" s="454" t="s">
        <v>244</v>
      </c>
      <c r="D487" s="454" t="s">
        <v>215</v>
      </c>
      <c r="E487" s="454" t="s">
        <v>1224</v>
      </c>
      <c r="F487" s="454"/>
      <c r="G487" s="459">
        <f>G488</f>
        <v>420</v>
      </c>
      <c r="H487" s="459">
        <f t="shared" si="238"/>
        <v>180</v>
      </c>
      <c r="I487" s="459">
        <f t="shared" si="222"/>
        <v>42.857142857142854</v>
      </c>
      <c r="J487" s="478"/>
      <c r="K487" s="463"/>
      <c r="L487" s="201"/>
    </row>
    <row r="488" spans="1:12" ht="15.75" x14ac:dyDescent="0.25">
      <c r="A488" s="458" t="s">
        <v>248</v>
      </c>
      <c r="B488" s="452">
        <v>903</v>
      </c>
      <c r="C488" s="454" t="s">
        <v>244</v>
      </c>
      <c r="D488" s="454" t="s">
        <v>215</v>
      </c>
      <c r="E488" s="454" t="s">
        <v>1224</v>
      </c>
      <c r="F488" s="454" t="s">
        <v>249</v>
      </c>
      <c r="G488" s="459">
        <f>G489</f>
        <v>420</v>
      </c>
      <c r="H488" s="459">
        <f t="shared" si="238"/>
        <v>180</v>
      </c>
      <c r="I488" s="459">
        <f t="shared" si="222"/>
        <v>42.857142857142854</v>
      </c>
      <c r="J488" s="478"/>
      <c r="K488" s="463"/>
      <c r="L488" s="201"/>
    </row>
    <row r="489" spans="1:12" ht="15.75" x14ac:dyDescent="0.25">
      <c r="A489" s="458" t="s">
        <v>348</v>
      </c>
      <c r="B489" s="452">
        <v>903</v>
      </c>
      <c r="C489" s="454" t="s">
        <v>244</v>
      </c>
      <c r="D489" s="454" t="s">
        <v>215</v>
      </c>
      <c r="E489" s="454" t="s">
        <v>1224</v>
      </c>
      <c r="F489" s="454" t="s">
        <v>349</v>
      </c>
      <c r="G489" s="459">
        <v>420</v>
      </c>
      <c r="H489" s="459">
        <v>180</v>
      </c>
      <c r="I489" s="459">
        <f t="shared" si="222"/>
        <v>42.857142857142854</v>
      </c>
      <c r="J489" s="478"/>
      <c r="K489" s="463"/>
      <c r="L489" s="201"/>
    </row>
    <row r="490" spans="1:12" s="201" customFormat="1" ht="15.75" x14ac:dyDescent="0.25">
      <c r="A490" s="456" t="s">
        <v>582</v>
      </c>
      <c r="B490" s="453">
        <v>903</v>
      </c>
      <c r="C490" s="457" t="s">
        <v>238</v>
      </c>
      <c r="D490" s="454"/>
      <c r="E490" s="454"/>
      <c r="F490" s="454"/>
      <c r="G490" s="455">
        <f>G491</f>
        <v>5788.4</v>
      </c>
      <c r="H490" s="455">
        <f t="shared" ref="H490" si="239">H491</f>
        <v>4027.6170900000002</v>
      </c>
      <c r="I490" s="455">
        <f t="shared" si="222"/>
        <v>69.580835636790823</v>
      </c>
      <c r="J490" s="478"/>
      <c r="K490" s="463"/>
    </row>
    <row r="491" spans="1:12" s="201" customFormat="1" ht="15.75" x14ac:dyDescent="0.25">
      <c r="A491" s="456" t="s">
        <v>583</v>
      </c>
      <c r="B491" s="453">
        <v>903</v>
      </c>
      <c r="C491" s="457" t="s">
        <v>238</v>
      </c>
      <c r="D491" s="457" t="s">
        <v>213</v>
      </c>
      <c r="E491" s="457"/>
      <c r="F491" s="457"/>
      <c r="G491" s="455">
        <f>G492+G505</f>
        <v>5788.4</v>
      </c>
      <c r="H491" s="455">
        <f t="shared" ref="H491" si="240">H492+H505</f>
        <v>4027.6170900000002</v>
      </c>
      <c r="I491" s="455">
        <f t="shared" si="222"/>
        <v>69.580835636790823</v>
      </c>
      <c r="J491" s="478"/>
      <c r="K491" s="463"/>
    </row>
    <row r="492" spans="1:12" s="201" customFormat="1" ht="31.5" x14ac:dyDescent="0.25">
      <c r="A492" s="456" t="s">
        <v>1354</v>
      </c>
      <c r="B492" s="453">
        <v>903</v>
      </c>
      <c r="C492" s="457" t="s">
        <v>238</v>
      </c>
      <c r="D492" s="457" t="s">
        <v>213</v>
      </c>
      <c r="E492" s="457" t="s">
        <v>267</v>
      </c>
      <c r="F492" s="457"/>
      <c r="G492" s="455">
        <f>G493+G501</f>
        <v>5710.4</v>
      </c>
      <c r="H492" s="455">
        <f t="shared" ref="H492" si="241">H493+H501</f>
        <v>3975.6170900000002</v>
      </c>
      <c r="I492" s="455">
        <f t="shared" si="222"/>
        <v>69.620641110955461</v>
      </c>
      <c r="J492" s="478"/>
      <c r="K492" s="463"/>
    </row>
    <row r="493" spans="1:12" s="201" customFormat="1" ht="31.5" x14ac:dyDescent="0.25">
      <c r="A493" s="456" t="s">
        <v>1301</v>
      </c>
      <c r="B493" s="453">
        <v>903</v>
      </c>
      <c r="C493" s="457" t="s">
        <v>238</v>
      </c>
      <c r="D493" s="457" t="s">
        <v>213</v>
      </c>
      <c r="E493" s="457" t="s">
        <v>1204</v>
      </c>
      <c r="F493" s="457"/>
      <c r="G493" s="455">
        <f>G494</f>
        <v>5452.4</v>
      </c>
      <c r="H493" s="455">
        <f t="shared" ref="H493" si="242">H494</f>
        <v>3717.6170900000002</v>
      </c>
      <c r="I493" s="455">
        <f t="shared" si="222"/>
        <v>68.183132015259346</v>
      </c>
      <c r="J493" s="478"/>
      <c r="K493" s="463"/>
    </row>
    <row r="494" spans="1:12" s="201" customFormat="1" ht="15.75" x14ac:dyDescent="0.25">
      <c r="A494" s="458" t="s">
        <v>801</v>
      </c>
      <c r="B494" s="452">
        <v>903</v>
      </c>
      <c r="C494" s="454" t="s">
        <v>238</v>
      </c>
      <c r="D494" s="454" t="s">
        <v>213</v>
      </c>
      <c r="E494" s="454" t="s">
        <v>1205</v>
      </c>
      <c r="F494" s="454"/>
      <c r="G494" s="459">
        <f>G495+G497+G499</f>
        <v>5452.4</v>
      </c>
      <c r="H494" s="459">
        <f t="shared" ref="H494" si="243">H495+H497+H499</f>
        <v>3717.6170900000002</v>
      </c>
      <c r="I494" s="459">
        <f t="shared" si="222"/>
        <v>68.183132015259346</v>
      </c>
      <c r="J494" s="478"/>
      <c r="K494" s="463"/>
    </row>
    <row r="495" spans="1:12" s="201" customFormat="1" ht="78.75" x14ac:dyDescent="0.25">
      <c r="A495" s="458" t="s">
        <v>127</v>
      </c>
      <c r="B495" s="452">
        <v>903</v>
      </c>
      <c r="C495" s="454" t="s">
        <v>238</v>
      </c>
      <c r="D495" s="454" t="s">
        <v>213</v>
      </c>
      <c r="E495" s="454" t="s">
        <v>1205</v>
      </c>
      <c r="F495" s="454" t="s">
        <v>128</v>
      </c>
      <c r="G495" s="459">
        <f>G496</f>
        <v>4650.3999999999996</v>
      </c>
      <c r="H495" s="459">
        <f t="shared" ref="H495" si="244">H496</f>
        <v>3160.4586300000001</v>
      </c>
      <c r="I495" s="459">
        <f t="shared" si="222"/>
        <v>67.9610061500086</v>
      </c>
      <c r="J495" s="478"/>
      <c r="K495" s="463"/>
    </row>
    <row r="496" spans="1:12" s="201" customFormat="1" ht="15.75" x14ac:dyDescent="0.25">
      <c r="A496" s="458" t="s">
        <v>208</v>
      </c>
      <c r="B496" s="452">
        <v>903</v>
      </c>
      <c r="C496" s="454" t="s">
        <v>238</v>
      </c>
      <c r="D496" s="454" t="s">
        <v>213</v>
      </c>
      <c r="E496" s="454" t="s">
        <v>1205</v>
      </c>
      <c r="F496" s="454" t="s">
        <v>209</v>
      </c>
      <c r="G496" s="27">
        <f>4897.2-100+1.1-463.7-70.2-0.1-77.6+463.7-5+5</f>
        <v>4650.3999999999996</v>
      </c>
      <c r="H496" s="27">
        <v>3160.4586300000001</v>
      </c>
      <c r="I496" s="459">
        <f t="shared" si="222"/>
        <v>67.9610061500086</v>
      </c>
      <c r="J496" s="478">
        <v>44425</v>
      </c>
      <c r="K496" s="478">
        <v>44417</v>
      </c>
    </row>
    <row r="497" spans="1:12" s="201" customFormat="1" ht="31.5" x14ac:dyDescent="0.25">
      <c r="A497" s="458" t="s">
        <v>131</v>
      </c>
      <c r="B497" s="452">
        <v>903</v>
      </c>
      <c r="C497" s="454" t="s">
        <v>238</v>
      </c>
      <c r="D497" s="454" t="s">
        <v>213</v>
      </c>
      <c r="E497" s="454" t="s">
        <v>1205</v>
      </c>
      <c r="F497" s="454" t="s">
        <v>132</v>
      </c>
      <c r="G497" s="459">
        <f>G498</f>
        <v>771.90000000000009</v>
      </c>
      <c r="H497" s="459">
        <f t="shared" ref="H497" si="245">H498</f>
        <v>544.72546</v>
      </c>
      <c r="I497" s="459">
        <f t="shared" si="222"/>
        <v>70.569433864490207</v>
      </c>
      <c r="J497" s="478"/>
      <c r="K497" s="463"/>
    </row>
    <row r="498" spans="1:12" s="201" customFormat="1" ht="31.5" x14ac:dyDescent="0.25">
      <c r="A498" s="458" t="s">
        <v>133</v>
      </c>
      <c r="B498" s="452">
        <v>903</v>
      </c>
      <c r="C498" s="454" t="s">
        <v>238</v>
      </c>
      <c r="D498" s="454" t="s">
        <v>213</v>
      </c>
      <c r="E498" s="454" t="s">
        <v>1205</v>
      </c>
      <c r="F498" s="454" t="s">
        <v>134</v>
      </c>
      <c r="G498" s="27">
        <f>1456-797-63.9-68+60+60+68+50+16.6+13-30+2.1+0.1+5</f>
        <v>771.90000000000009</v>
      </c>
      <c r="H498" s="27">
        <v>544.72546</v>
      </c>
      <c r="I498" s="459">
        <f t="shared" si="222"/>
        <v>70.569433864490207</v>
      </c>
      <c r="J498" s="478"/>
      <c r="K498" s="463"/>
    </row>
    <row r="499" spans="1:12" s="201" customFormat="1" ht="15.75" x14ac:dyDescent="0.25">
      <c r="A499" s="458" t="s">
        <v>135</v>
      </c>
      <c r="B499" s="452">
        <v>903</v>
      </c>
      <c r="C499" s="454" t="s">
        <v>238</v>
      </c>
      <c r="D499" s="454" t="s">
        <v>213</v>
      </c>
      <c r="E499" s="454" t="s">
        <v>1205</v>
      </c>
      <c r="F499" s="454" t="s">
        <v>145</v>
      </c>
      <c r="G499" s="459">
        <f>G500</f>
        <v>30.1</v>
      </c>
      <c r="H499" s="459">
        <f t="shared" ref="H499" si="246">H500</f>
        <v>12.433</v>
      </c>
      <c r="I499" s="459">
        <f t="shared" si="222"/>
        <v>41.305647840531556</v>
      </c>
      <c r="J499" s="478"/>
      <c r="K499" s="463"/>
    </row>
    <row r="500" spans="1:12" s="201" customFormat="1" ht="15.75" x14ac:dyDescent="0.25">
      <c r="A500" s="458" t="s">
        <v>568</v>
      </c>
      <c r="B500" s="452">
        <v>903</v>
      </c>
      <c r="C500" s="454" t="s">
        <v>238</v>
      </c>
      <c r="D500" s="454" t="s">
        <v>213</v>
      </c>
      <c r="E500" s="454" t="s">
        <v>1205</v>
      </c>
      <c r="F500" s="454" t="s">
        <v>138</v>
      </c>
      <c r="G500" s="459">
        <f>30+0.1</f>
        <v>30.1</v>
      </c>
      <c r="H500" s="459">
        <v>12.433</v>
      </c>
      <c r="I500" s="459">
        <f t="shared" si="222"/>
        <v>41.305647840531556</v>
      </c>
      <c r="J500" s="478"/>
      <c r="K500" s="463"/>
    </row>
    <row r="501" spans="1:12" s="201" customFormat="1" ht="31.5" x14ac:dyDescent="0.25">
      <c r="A501" s="456" t="s">
        <v>947</v>
      </c>
      <c r="B501" s="453">
        <v>903</v>
      </c>
      <c r="C501" s="457" t="s">
        <v>238</v>
      </c>
      <c r="D501" s="457" t="s">
        <v>213</v>
      </c>
      <c r="E501" s="457" t="s">
        <v>1209</v>
      </c>
      <c r="F501" s="457"/>
      <c r="G501" s="455">
        <f>G502</f>
        <v>258</v>
      </c>
      <c r="H501" s="455">
        <f t="shared" ref="H501:H503" si="247">H502</f>
        <v>258</v>
      </c>
      <c r="I501" s="455">
        <f t="shared" si="222"/>
        <v>100</v>
      </c>
      <c r="J501" s="478"/>
      <c r="K501" s="463"/>
    </row>
    <row r="502" spans="1:12" s="201" customFormat="1" ht="31.5" x14ac:dyDescent="0.25">
      <c r="A502" s="458" t="s">
        <v>839</v>
      </c>
      <c r="B502" s="452">
        <v>903</v>
      </c>
      <c r="C502" s="454" t="s">
        <v>238</v>
      </c>
      <c r="D502" s="454" t="s">
        <v>213</v>
      </c>
      <c r="E502" s="454" t="s">
        <v>1210</v>
      </c>
      <c r="F502" s="454"/>
      <c r="G502" s="459">
        <f>G503</f>
        <v>258</v>
      </c>
      <c r="H502" s="459">
        <f t="shared" si="247"/>
        <v>258</v>
      </c>
      <c r="I502" s="459">
        <f t="shared" si="222"/>
        <v>100</v>
      </c>
      <c r="J502" s="478"/>
      <c r="K502" s="463"/>
    </row>
    <row r="503" spans="1:12" s="201" customFormat="1" ht="78.75" x14ac:dyDescent="0.25">
      <c r="A503" s="458" t="s">
        <v>127</v>
      </c>
      <c r="B503" s="452">
        <v>903</v>
      </c>
      <c r="C503" s="454" t="s">
        <v>238</v>
      </c>
      <c r="D503" s="454" t="s">
        <v>213</v>
      </c>
      <c r="E503" s="454" t="s">
        <v>1210</v>
      </c>
      <c r="F503" s="454" t="s">
        <v>128</v>
      </c>
      <c r="G503" s="459">
        <f>G504</f>
        <v>258</v>
      </c>
      <c r="H503" s="459">
        <f t="shared" si="247"/>
        <v>258</v>
      </c>
      <c r="I503" s="459">
        <f t="shared" si="222"/>
        <v>100</v>
      </c>
      <c r="J503" s="478"/>
      <c r="K503" s="463"/>
    </row>
    <row r="504" spans="1:12" s="201" customFormat="1" ht="15.75" x14ac:dyDescent="0.25">
      <c r="A504" s="458" t="s">
        <v>208</v>
      </c>
      <c r="B504" s="452">
        <v>903</v>
      </c>
      <c r="C504" s="454" t="s">
        <v>238</v>
      </c>
      <c r="D504" s="454" t="s">
        <v>213</v>
      </c>
      <c r="E504" s="454" t="s">
        <v>1210</v>
      </c>
      <c r="F504" s="454" t="s">
        <v>209</v>
      </c>
      <c r="G504" s="459">
        <f>276-75.2+57.2</f>
        <v>258</v>
      </c>
      <c r="H504" s="459">
        <v>258</v>
      </c>
      <c r="I504" s="459">
        <f t="shared" si="222"/>
        <v>100</v>
      </c>
      <c r="J504" s="478"/>
      <c r="K504" s="463"/>
    </row>
    <row r="505" spans="1:12" s="201" customFormat="1" ht="47.25" x14ac:dyDescent="0.25">
      <c r="A505" s="462" t="s">
        <v>1344</v>
      </c>
      <c r="B505" s="453">
        <v>903</v>
      </c>
      <c r="C505" s="457" t="s">
        <v>238</v>
      </c>
      <c r="D505" s="457" t="s">
        <v>213</v>
      </c>
      <c r="E505" s="457" t="s">
        <v>705</v>
      </c>
      <c r="F505" s="465"/>
      <c r="G505" s="455">
        <f>G507</f>
        <v>78</v>
      </c>
      <c r="H505" s="455">
        <f t="shared" ref="H505" si="248">H507</f>
        <v>52</v>
      </c>
      <c r="I505" s="455">
        <f t="shared" si="222"/>
        <v>66.666666666666657</v>
      </c>
      <c r="J505" s="478"/>
      <c r="K505" s="463"/>
    </row>
    <row r="506" spans="1:12" s="201" customFormat="1" ht="47.25" x14ac:dyDescent="0.25">
      <c r="A506" s="462" t="s">
        <v>890</v>
      </c>
      <c r="B506" s="453">
        <v>903</v>
      </c>
      <c r="C506" s="457" t="s">
        <v>238</v>
      </c>
      <c r="D506" s="457" t="s">
        <v>213</v>
      </c>
      <c r="E506" s="457" t="s">
        <v>888</v>
      </c>
      <c r="F506" s="465"/>
      <c r="G506" s="455">
        <f>G507</f>
        <v>78</v>
      </c>
      <c r="H506" s="455">
        <f t="shared" ref="H506:H508" si="249">H507</f>
        <v>52</v>
      </c>
      <c r="I506" s="455">
        <f t="shared" si="222"/>
        <v>66.666666666666657</v>
      </c>
      <c r="J506" s="478"/>
      <c r="K506" s="463"/>
    </row>
    <row r="507" spans="1:12" s="201" customFormat="1" ht="31.5" x14ac:dyDescent="0.25">
      <c r="A507" s="98" t="s">
        <v>1004</v>
      </c>
      <c r="B507" s="452">
        <v>903</v>
      </c>
      <c r="C507" s="454" t="s">
        <v>238</v>
      </c>
      <c r="D507" s="454" t="s">
        <v>213</v>
      </c>
      <c r="E507" s="454" t="s">
        <v>889</v>
      </c>
      <c r="F507" s="460"/>
      <c r="G507" s="459">
        <f>G508</f>
        <v>78</v>
      </c>
      <c r="H507" s="459">
        <f t="shared" si="249"/>
        <v>52</v>
      </c>
      <c r="I507" s="459">
        <f t="shared" si="222"/>
        <v>66.666666666666657</v>
      </c>
      <c r="J507" s="478"/>
      <c r="K507" s="463"/>
    </row>
    <row r="508" spans="1:12" s="201" customFormat="1" ht="31.5" x14ac:dyDescent="0.25">
      <c r="A508" s="458" t="s">
        <v>131</v>
      </c>
      <c r="B508" s="452">
        <v>903</v>
      </c>
      <c r="C508" s="454" t="s">
        <v>238</v>
      </c>
      <c r="D508" s="454" t="s">
        <v>213</v>
      </c>
      <c r="E508" s="454" t="s">
        <v>889</v>
      </c>
      <c r="F508" s="460" t="s">
        <v>132</v>
      </c>
      <c r="G508" s="459">
        <f>G509</f>
        <v>78</v>
      </c>
      <c r="H508" s="459">
        <f t="shared" si="249"/>
        <v>52</v>
      </c>
      <c r="I508" s="459">
        <f t="shared" si="222"/>
        <v>66.666666666666657</v>
      </c>
      <c r="J508" s="478"/>
      <c r="K508" s="463"/>
    </row>
    <row r="509" spans="1:12" s="201" customFormat="1" ht="31.5" x14ac:dyDescent="0.25">
      <c r="A509" s="458" t="s">
        <v>133</v>
      </c>
      <c r="B509" s="452">
        <v>903</v>
      </c>
      <c r="C509" s="454" t="s">
        <v>238</v>
      </c>
      <c r="D509" s="454" t="s">
        <v>213</v>
      </c>
      <c r="E509" s="454" t="s">
        <v>889</v>
      </c>
      <c r="F509" s="460" t="s">
        <v>134</v>
      </c>
      <c r="G509" s="459">
        <f>72+6</f>
        <v>78</v>
      </c>
      <c r="H509" s="459">
        <v>52</v>
      </c>
      <c r="I509" s="459">
        <f t="shared" si="222"/>
        <v>66.666666666666657</v>
      </c>
      <c r="J509" s="478"/>
      <c r="K509" s="463"/>
    </row>
    <row r="510" spans="1:12" ht="31.5" x14ac:dyDescent="0.25">
      <c r="A510" s="453" t="s">
        <v>387</v>
      </c>
      <c r="B510" s="453">
        <v>905</v>
      </c>
      <c r="C510" s="454"/>
      <c r="D510" s="454"/>
      <c r="E510" s="454"/>
      <c r="F510" s="454"/>
      <c r="G510" s="455">
        <f>G511+G545+G555</f>
        <v>25380.260000000002</v>
      </c>
      <c r="H510" s="455">
        <f t="shared" ref="H510" si="250">H511+H545+H555</f>
        <v>19931.449000000001</v>
      </c>
      <c r="I510" s="455">
        <f t="shared" si="222"/>
        <v>78.531303461824265</v>
      </c>
      <c r="J510" s="478"/>
      <c r="K510" s="463"/>
      <c r="L510" s="201"/>
    </row>
    <row r="511" spans="1:12" ht="15.75" x14ac:dyDescent="0.25">
      <c r="A511" s="456" t="s">
        <v>117</v>
      </c>
      <c r="B511" s="453">
        <v>905</v>
      </c>
      <c r="C511" s="457" t="s">
        <v>118</v>
      </c>
      <c r="D511" s="454"/>
      <c r="E511" s="454"/>
      <c r="F511" s="454"/>
      <c r="G511" s="455">
        <f>G512+G529</f>
        <v>25054.86</v>
      </c>
      <c r="H511" s="455">
        <f t="shared" ref="H511" si="251">H512+H529</f>
        <v>19686.441999999999</v>
      </c>
      <c r="I511" s="455">
        <f t="shared" si="222"/>
        <v>78.573346648115376</v>
      </c>
      <c r="J511" s="478"/>
      <c r="K511" s="463"/>
      <c r="L511" s="201"/>
    </row>
    <row r="512" spans="1:12" ht="65.25" customHeight="1" x14ac:dyDescent="0.25">
      <c r="A512" s="456" t="s">
        <v>149</v>
      </c>
      <c r="B512" s="453">
        <v>905</v>
      </c>
      <c r="C512" s="457" t="s">
        <v>118</v>
      </c>
      <c r="D512" s="457" t="s">
        <v>150</v>
      </c>
      <c r="E512" s="457"/>
      <c r="F512" s="457"/>
      <c r="G512" s="455">
        <f>G513</f>
        <v>12175</v>
      </c>
      <c r="H512" s="455">
        <f t="shared" ref="H512" si="252">H513</f>
        <v>9524.0289999999986</v>
      </c>
      <c r="I512" s="455">
        <f t="shared" si="222"/>
        <v>78.226110882956874</v>
      </c>
      <c r="J512" s="478"/>
      <c r="K512" s="463"/>
      <c r="L512" s="201"/>
    </row>
    <row r="513" spans="1:12" ht="31.5" x14ac:dyDescent="0.25">
      <c r="A513" s="456" t="s">
        <v>917</v>
      </c>
      <c r="B513" s="453">
        <v>905</v>
      </c>
      <c r="C513" s="457" t="s">
        <v>118</v>
      </c>
      <c r="D513" s="457" t="s">
        <v>150</v>
      </c>
      <c r="E513" s="457" t="s">
        <v>858</v>
      </c>
      <c r="F513" s="457"/>
      <c r="G513" s="455">
        <f>G514+G525</f>
        <v>12175</v>
      </c>
      <c r="H513" s="455">
        <f t="shared" ref="H513" si="253">H514+H525</f>
        <v>9524.0289999999986</v>
      </c>
      <c r="I513" s="455">
        <f t="shared" si="222"/>
        <v>78.226110882956874</v>
      </c>
      <c r="J513" s="478"/>
      <c r="K513" s="463"/>
      <c r="L513" s="201"/>
    </row>
    <row r="514" spans="1:12" ht="15.75" x14ac:dyDescent="0.25">
      <c r="A514" s="456" t="s">
        <v>918</v>
      </c>
      <c r="B514" s="453">
        <v>905</v>
      </c>
      <c r="C514" s="457" t="s">
        <v>118</v>
      </c>
      <c r="D514" s="457" t="s">
        <v>150</v>
      </c>
      <c r="E514" s="457" t="s">
        <v>859</v>
      </c>
      <c r="F514" s="457"/>
      <c r="G514" s="455">
        <f>G515+G522</f>
        <v>12175</v>
      </c>
      <c r="H514" s="455">
        <f t="shared" ref="H514" si="254">H515+H522</f>
        <v>9524.0289999999986</v>
      </c>
      <c r="I514" s="455">
        <f t="shared" si="222"/>
        <v>78.226110882956874</v>
      </c>
      <c r="J514" s="478"/>
      <c r="K514" s="463"/>
      <c r="L514" s="201"/>
    </row>
    <row r="515" spans="1:12" ht="28.5" customHeight="1" x14ac:dyDescent="0.25">
      <c r="A515" s="458" t="s">
        <v>897</v>
      </c>
      <c r="B515" s="452">
        <v>905</v>
      </c>
      <c r="C515" s="454" t="s">
        <v>118</v>
      </c>
      <c r="D515" s="454" t="s">
        <v>150</v>
      </c>
      <c r="E515" s="454" t="s">
        <v>860</v>
      </c>
      <c r="F515" s="454"/>
      <c r="G515" s="459">
        <f>G516+G518+G520</f>
        <v>11713</v>
      </c>
      <c r="H515" s="459">
        <f t="shared" ref="H515" si="255">H516+H518+H520</f>
        <v>9081.5579999999991</v>
      </c>
      <c r="I515" s="459">
        <f t="shared" si="222"/>
        <v>77.534004951762995</v>
      </c>
      <c r="J515" s="478"/>
      <c r="K515" s="463"/>
      <c r="L515" s="201"/>
    </row>
    <row r="516" spans="1:12" ht="78.75" x14ac:dyDescent="0.25">
      <c r="A516" s="458" t="s">
        <v>127</v>
      </c>
      <c r="B516" s="452">
        <v>905</v>
      </c>
      <c r="C516" s="454" t="s">
        <v>118</v>
      </c>
      <c r="D516" s="454" t="s">
        <v>150</v>
      </c>
      <c r="E516" s="454" t="s">
        <v>860</v>
      </c>
      <c r="F516" s="454" t="s">
        <v>128</v>
      </c>
      <c r="G516" s="459">
        <f>G517</f>
        <v>11099.6</v>
      </c>
      <c r="H516" s="459">
        <f t="shared" ref="H516" si="256">H517</f>
        <v>8603.5949999999993</v>
      </c>
      <c r="I516" s="459">
        <f t="shared" si="222"/>
        <v>77.512658113805898</v>
      </c>
      <c r="J516" s="478"/>
      <c r="K516" s="463"/>
      <c r="L516" s="201"/>
    </row>
    <row r="517" spans="1:12" ht="31.5" x14ac:dyDescent="0.25">
      <c r="A517" s="458" t="s">
        <v>129</v>
      </c>
      <c r="B517" s="452">
        <v>905</v>
      </c>
      <c r="C517" s="454" t="s">
        <v>118</v>
      </c>
      <c r="D517" s="454" t="s">
        <v>150</v>
      </c>
      <c r="E517" s="454" t="s">
        <v>860</v>
      </c>
      <c r="F517" s="454" t="s">
        <v>130</v>
      </c>
      <c r="G517" s="27">
        <f>11111.6-6-6</f>
        <v>11099.6</v>
      </c>
      <c r="H517" s="27">
        <v>8603.5949999999993</v>
      </c>
      <c r="I517" s="459">
        <f t="shared" si="222"/>
        <v>77.512658113805898</v>
      </c>
      <c r="J517" s="478"/>
      <c r="K517" s="478">
        <v>44421</v>
      </c>
      <c r="L517" s="479">
        <v>44427</v>
      </c>
    </row>
    <row r="518" spans="1:12" ht="31.5" x14ac:dyDescent="0.25">
      <c r="A518" s="458" t="s">
        <v>131</v>
      </c>
      <c r="B518" s="452">
        <v>905</v>
      </c>
      <c r="C518" s="454" t="s">
        <v>118</v>
      </c>
      <c r="D518" s="454" t="s">
        <v>150</v>
      </c>
      <c r="E518" s="454" t="s">
        <v>860</v>
      </c>
      <c r="F518" s="454" t="s">
        <v>132</v>
      </c>
      <c r="G518" s="459">
        <f>G519</f>
        <v>464.4</v>
      </c>
      <c r="H518" s="459">
        <f t="shared" ref="H518" si="257">H519</f>
        <v>341.89400000000001</v>
      </c>
      <c r="I518" s="459">
        <f t="shared" si="222"/>
        <v>73.620585701981057</v>
      </c>
      <c r="J518" s="478"/>
      <c r="K518" s="463"/>
      <c r="L518" s="201"/>
    </row>
    <row r="519" spans="1:12" ht="31.5" x14ac:dyDescent="0.25">
      <c r="A519" s="458" t="s">
        <v>133</v>
      </c>
      <c r="B519" s="452">
        <v>905</v>
      </c>
      <c r="C519" s="454" t="s">
        <v>118</v>
      </c>
      <c r="D519" s="454" t="s">
        <v>150</v>
      </c>
      <c r="E519" s="454" t="s">
        <v>860</v>
      </c>
      <c r="F519" s="454" t="s">
        <v>134</v>
      </c>
      <c r="G519" s="27">
        <f>440+4.4+20</f>
        <v>464.4</v>
      </c>
      <c r="H519" s="27">
        <v>341.89400000000001</v>
      </c>
      <c r="I519" s="459">
        <f t="shared" si="222"/>
        <v>73.620585701981057</v>
      </c>
      <c r="J519" s="478"/>
      <c r="K519" s="478">
        <v>44411</v>
      </c>
      <c r="L519" s="201"/>
    </row>
    <row r="520" spans="1:12" ht="15.75" x14ac:dyDescent="0.25">
      <c r="A520" s="458" t="s">
        <v>135</v>
      </c>
      <c r="B520" s="452">
        <v>905</v>
      </c>
      <c r="C520" s="454" t="s">
        <v>118</v>
      </c>
      <c r="D520" s="454" t="s">
        <v>150</v>
      </c>
      <c r="E520" s="454" t="s">
        <v>860</v>
      </c>
      <c r="F520" s="454" t="s">
        <v>145</v>
      </c>
      <c r="G520" s="459">
        <f>G521</f>
        <v>149</v>
      </c>
      <c r="H520" s="459">
        <f t="shared" ref="H520" si="258">H521</f>
        <v>136.06899999999999</v>
      </c>
      <c r="I520" s="459">
        <f t="shared" si="222"/>
        <v>91.3214765100671</v>
      </c>
      <c r="J520" s="478"/>
      <c r="K520" s="463"/>
      <c r="L520" s="201"/>
    </row>
    <row r="521" spans="1:12" ht="15.75" x14ac:dyDescent="0.25">
      <c r="A521" s="458" t="s">
        <v>568</v>
      </c>
      <c r="B521" s="452">
        <v>905</v>
      </c>
      <c r="C521" s="454" t="s">
        <v>118</v>
      </c>
      <c r="D521" s="454" t="s">
        <v>150</v>
      </c>
      <c r="E521" s="454" t="s">
        <v>860</v>
      </c>
      <c r="F521" s="454" t="s">
        <v>138</v>
      </c>
      <c r="G521" s="459">
        <f>8.8+7.5+20+30+65-0.3+6+6+6</f>
        <v>149</v>
      </c>
      <c r="H521" s="459">
        <v>136.06899999999999</v>
      </c>
      <c r="I521" s="459">
        <f t="shared" si="222"/>
        <v>91.3214765100671</v>
      </c>
      <c r="J521" s="478"/>
      <c r="K521" s="478">
        <v>44421</v>
      </c>
      <c r="L521" s="479">
        <v>44427</v>
      </c>
    </row>
    <row r="522" spans="1:12" s="201" customFormat="1" ht="31.5" x14ac:dyDescent="0.25">
      <c r="A522" s="458" t="s">
        <v>839</v>
      </c>
      <c r="B522" s="452">
        <v>905</v>
      </c>
      <c r="C522" s="454" t="s">
        <v>118</v>
      </c>
      <c r="D522" s="454" t="s">
        <v>150</v>
      </c>
      <c r="E522" s="454" t="s">
        <v>862</v>
      </c>
      <c r="F522" s="454"/>
      <c r="G522" s="459">
        <f>G523</f>
        <v>462</v>
      </c>
      <c r="H522" s="459">
        <f t="shared" ref="H522:H523" si="259">H523</f>
        <v>442.471</v>
      </c>
      <c r="I522" s="459">
        <f t="shared" si="222"/>
        <v>95.772943722943722</v>
      </c>
      <c r="J522" s="478"/>
      <c r="K522" s="463"/>
    </row>
    <row r="523" spans="1:12" s="201" customFormat="1" ht="78.75" x14ac:dyDescent="0.25">
      <c r="A523" s="458" t="s">
        <v>127</v>
      </c>
      <c r="B523" s="452">
        <v>905</v>
      </c>
      <c r="C523" s="454" t="s">
        <v>118</v>
      </c>
      <c r="D523" s="454" t="s">
        <v>150</v>
      </c>
      <c r="E523" s="454" t="s">
        <v>862</v>
      </c>
      <c r="F523" s="454" t="s">
        <v>128</v>
      </c>
      <c r="G523" s="459">
        <f>G524</f>
        <v>462</v>
      </c>
      <c r="H523" s="459">
        <f t="shared" si="259"/>
        <v>442.471</v>
      </c>
      <c r="I523" s="459">
        <f t="shared" si="222"/>
        <v>95.772943722943722</v>
      </c>
      <c r="J523" s="478"/>
      <c r="K523" s="463"/>
    </row>
    <row r="524" spans="1:12" s="201" customFormat="1" ht="31.5" x14ac:dyDescent="0.25">
      <c r="A524" s="458" t="s">
        <v>129</v>
      </c>
      <c r="B524" s="452">
        <v>905</v>
      </c>
      <c r="C524" s="454" t="s">
        <v>118</v>
      </c>
      <c r="D524" s="454" t="s">
        <v>150</v>
      </c>
      <c r="E524" s="454" t="s">
        <v>862</v>
      </c>
      <c r="F524" s="454" t="s">
        <v>130</v>
      </c>
      <c r="G524" s="459">
        <v>462</v>
      </c>
      <c r="H524" s="459">
        <v>442.471</v>
      </c>
      <c r="I524" s="459">
        <f t="shared" ref="I524:I587" si="260">H524/G524*100</f>
        <v>95.772943722943722</v>
      </c>
      <c r="J524" s="478"/>
      <c r="K524" s="463"/>
    </row>
    <row r="525" spans="1:12" s="201" customFormat="1" ht="31.5" hidden="1" x14ac:dyDescent="0.25">
      <c r="A525" s="456" t="s">
        <v>885</v>
      </c>
      <c r="B525" s="453">
        <v>905</v>
      </c>
      <c r="C525" s="457" t="s">
        <v>118</v>
      </c>
      <c r="D525" s="457" t="s">
        <v>150</v>
      </c>
      <c r="E525" s="457" t="s">
        <v>863</v>
      </c>
      <c r="F525" s="457"/>
      <c r="G525" s="455">
        <f>G526</f>
        <v>0</v>
      </c>
      <c r="H525" s="455">
        <f t="shared" ref="H525:H527" si="261">H526</f>
        <v>0</v>
      </c>
      <c r="I525" s="455" t="e">
        <f t="shared" si="260"/>
        <v>#DIV/0!</v>
      </c>
      <c r="J525" s="478"/>
      <c r="K525" s="463"/>
    </row>
    <row r="526" spans="1:12" s="201" customFormat="1" ht="77.45" hidden="1" customHeight="1" x14ac:dyDescent="0.25">
      <c r="A526" s="31" t="s">
        <v>1170</v>
      </c>
      <c r="B526" s="452">
        <v>905</v>
      </c>
      <c r="C526" s="454" t="s">
        <v>118</v>
      </c>
      <c r="D526" s="454" t="s">
        <v>150</v>
      </c>
      <c r="E526" s="454" t="s">
        <v>1169</v>
      </c>
      <c r="F526" s="454"/>
      <c r="G526" s="459">
        <f>G527</f>
        <v>0</v>
      </c>
      <c r="H526" s="459">
        <f t="shared" si="261"/>
        <v>0</v>
      </c>
      <c r="I526" s="455" t="e">
        <f t="shared" si="260"/>
        <v>#DIV/0!</v>
      </c>
      <c r="J526" s="478"/>
      <c r="K526" s="463"/>
    </row>
    <row r="527" spans="1:12" s="201" customFormat="1" ht="78.75" hidden="1" x14ac:dyDescent="0.25">
      <c r="A527" s="458" t="s">
        <v>127</v>
      </c>
      <c r="B527" s="452">
        <v>905</v>
      </c>
      <c r="C527" s="454" t="s">
        <v>118</v>
      </c>
      <c r="D527" s="454" t="s">
        <v>150</v>
      </c>
      <c r="E527" s="454" t="s">
        <v>1169</v>
      </c>
      <c r="F527" s="454" t="s">
        <v>128</v>
      </c>
      <c r="G527" s="459">
        <f>G528</f>
        <v>0</v>
      </c>
      <c r="H527" s="459">
        <f t="shared" si="261"/>
        <v>0</v>
      </c>
      <c r="I527" s="455" t="e">
        <f t="shared" si="260"/>
        <v>#DIV/0!</v>
      </c>
      <c r="J527" s="478"/>
      <c r="K527" s="463"/>
    </row>
    <row r="528" spans="1:12" s="201" customFormat="1" ht="31.5" hidden="1" x14ac:dyDescent="0.25">
      <c r="A528" s="458" t="s">
        <v>129</v>
      </c>
      <c r="B528" s="452">
        <v>905</v>
      </c>
      <c r="C528" s="454" t="s">
        <v>118</v>
      </c>
      <c r="D528" s="454" t="s">
        <v>150</v>
      </c>
      <c r="E528" s="454" t="s">
        <v>1169</v>
      </c>
      <c r="F528" s="454" t="s">
        <v>130</v>
      </c>
      <c r="G528" s="459"/>
      <c r="H528" s="459"/>
      <c r="I528" s="455" t="e">
        <f t="shared" si="260"/>
        <v>#DIV/0!</v>
      </c>
      <c r="J528" s="478"/>
      <c r="K528" s="463"/>
    </row>
    <row r="529" spans="1:44" ht="15.75" x14ac:dyDescent="0.25">
      <c r="A529" s="456" t="s">
        <v>139</v>
      </c>
      <c r="B529" s="453">
        <v>905</v>
      </c>
      <c r="C529" s="457" t="s">
        <v>118</v>
      </c>
      <c r="D529" s="457" t="s">
        <v>140</v>
      </c>
      <c r="E529" s="457"/>
      <c r="F529" s="457"/>
      <c r="G529" s="455">
        <f>G530+G540</f>
        <v>12879.86</v>
      </c>
      <c r="H529" s="455">
        <f t="shared" ref="H529" si="262">H530+H540</f>
        <v>10162.413</v>
      </c>
      <c r="I529" s="455">
        <f t="shared" si="260"/>
        <v>78.901579675555482</v>
      </c>
      <c r="J529" s="478"/>
      <c r="K529" s="463"/>
      <c r="L529" s="201"/>
    </row>
    <row r="530" spans="1:44" s="201" customFormat="1" ht="15.75" x14ac:dyDescent="0.25">
      <c r="A530" s="456" t="s">
        <v>141</v>
      </c>
      <c r="B530" s="453">
        <v>905</v>
      </c>
      <c r="C530" s="457" t="s">
        <v>118</v>
      </c>
      <c r="D530" s="457" t="s">
        <v>140</v>
      </c>
      <c r="E530" s="457" t="s">
        <v>866</v>
      </c>
      <c r="F530" s="457"/>
      <c r="G530" s="455">
        <f>G531</f>
        <v>12250.1</v>
      </c>
      <c r="H530" s="455">
        <f t="shared" ref="H530" si="263">H531</f>
        <v>10162.413</v>
      </c>
      <c r="I530" s="455">
        <f t="shared" si="260"/>
        <v>82.957796262887655</v>
      </c>
      <c r="J530" s="478"/>
      <c r="K530" s="463"/>
    </row>
    <row r="531" spans="1:44" s="201" customFormat="1" ht="31.5" x14ac:dyDescent="0.25">
      <c r="A531" s="456" t="s">
        <v>870</v>
      </c>
      <c r="B531" s="453">
        <v>905</v>
      </c>
      <c r="C531" s="457" t="s">
        <v>118</v>
      </c>
      <c r="D531" s="457" t="s">
        <v>140</v>
      </c>
      <c r="E531" s="457" t="s">
        <v>865</v>
      </c>
      <c r="F531" s="457"/>
      <c r="G531" s="455">
        <f>G532+G537</f>
        <v>12250.1</v>
      </c>
      <c r="H531" s="455">
        <f t="shared" ref="H531" si="264">H532+H537</f>
        <v>10162.413</v>
      </c>
      <c r="I531" s="455">
        <f t="shared" si="260"/>
        <v>82.957796262887655</v>
      </c>
      <c r="J531" s="478"/>
      <c r="K531" s="463"/>
    </row>
    <row r="532" spans="1:44" s="201" customFormat="1" ht="47.25" x14ac:dyDescent="0.25">
      <c r="A532" s="458" t="s">
        <v>388</v>
      </c>
      <c r="B532" s="452">
        <v>905</v>
      </c>
      <c r="C532" s="454" t="s">
        <v>118</v>
      </c>
      <c r="D532" s="454" t="s">
        <v>140</v>
      </c>
      <c r="E532" s="454" t="s">
        <v>1011</v>
      </c>
      <c r="F532" s="454"/>
      <c r="G532" s="459">
        <f>G533+G535</f>
        <v>12250.1</v>
      </c>
      <c r="H532" s="459">
        <f t="shared" ref="H532" si="265">H533+H535</f>
        <v>10162.413</v>
      </c>
      <c r="I532" s="459">
        <f t="shared" si="260"/>
        <v>82.957796262887655</v>
      </c>
      <c r="J532" s="478"/>
      <c r="K532" s="463"/>
    </row>
    <row r="533" spans="1:44" s="201" customFormat="1" ht="31.5" x14ac:dyDescent="0.25">
      <c r="A533" s="458" t="s">
        <v>131</v>
      </c>
      <c r="B533" s="452">
        <v>905</v>
      </c>
      <c r="C533" s="454" t="s">
        <v>118</v>
      </c>
      <c r="D533" s="454" t="s">
        <v>140</v>
      </c>
      <c r="E533" s="454" t="s">
        <v>1011</v>
      </c>
      <c r="F533" s="454" t="s">
        <v>132</v>
      </c>
      <c r="G533" s="459">
        <f>G534</f>
        <v>5895.7000000000007</v>
      </c>
      <c r="H533" s="459">
        <f t="shared" ref="H533" si="266">H534</f>
        <v>3808.0129999999999</v>
      </c>
      <c r="I533" s="459">
        <f t="shared" si="260"/>
        <v>64.589667045473803</v>
      </c>
      <c r="J533" s="478"/>
      <c r="K533" s="463"/>
    </row>
    <row r="534" spans="1:44" s="201" customFormat="1" ht="31.5" x14ac:dyDescent="0.25">
      <c r="A534" s="458" t="s">
        <v>133</v>
      </c>
      <c r="B534" s="452">
        <v>905</v>
      </c>
      <c r="C534" s="454" t="s">
        <v>118</v>
      </c>
      <c r="D534" s="454" t="s">
        <v>140</v>
      </c>
      <c r="E534" s="454" t="s">
        <v>1011</v>
      </c>
      <c r="F534" s="454" t="s">
        <v>134</v>
      </c>
      <c r="G534" s="459">
        <f>5707.8-505.7-40+151+527+30-4.4-15+45</f>
        <v>5895.7000000000007</v>
      </c>
      <c r="H534" s="459">
        <v>3808.0129999999999</v>
      </c>
      <c r="I534" s="459">
        <f t="shared" si="260"/>
        <v>64.589667045473803</v>
      </c>
      <c r="J534" s="478"/>
      <c r="K534" s="478">
        <v>44411</v>
      </c>
    </row>
    <row r="535" spans="1:44" s="201" customFormat="1" ht="15.75" x14ac:dyDescent="0.25">
      <c r="A535" s="458" t="s">
        <v>135</v>
      </c>
      <c r="B535" s="452">
        <v>905</v>
      </c>
      <c r="C535" s="454" t="s">
        <v>118</v>
      </c>
      <c r="D535" s="454" t="s">
        <v>140</v>
      </c>
      <c r="E535" s="454" t="s">
        <v>1011</v>
      </c>
      <c r="F535" s="454" t="s">
        <v>145</v>
      </c>
      <c r="G535" s="459">
        <f>G536</f>
        <v>6354.4</v>
      </c>
      <c r="H535" s="459">
        <f t="shared" ref="H535" si="267">H536</f>
        <v>6354.4</v>
      </c>
      <c r="I535" s="459">
        <f t="shared" si="260"/>
        <v>100</v>
      </c>
      <c r="J535" s="478"/>
      <c r="K535" s="478"/>
    </row>
    <row r="536" spans="1:44" s="201" customFormat="1" ht="31.5" x14ac:dyDescent="0.25">
      <c r="A536" s="458" t="s">
        <v>836</v>
      </c>
      <c r="B536" s="452">
        <v>905</v>
      </c>
      <c r="C536" s="454" t="s">
        <v>118</v>
      </c>
      <c r="D536" s="454" t="s">
        <v>140</v>
      </c>
      <c r="E536" s="454" t="s">
        <v>1011</v>
      </c>
      <c r="F536" s="454" t="s">
        <v>147</v>
      </c>
      <c r="G536" s="459">
        <v>6354.4</v>
      </c>
      <c r="H536" s="459">
        <v>6354.4</v>
      </c>
      <c r="I536" s="459">
        <f t="shared" si="260"/>
        <v>100</v>
      </c>
      <c r="J536" s="478"/>
      <c r="K536" s="478"/>
    </row>
    <row r="537" spans="1:44" s="201" customFormat="1" ht="31.5" hidden="1" x14ac:dyDescent="0.25">
      <c r="A537" s="458" t="s">
        <v>931</v>
      </c>
      <c r="B537" s="452">
        <v>905</v>
      </c>
      <c r="C537" s="454" t="s">
        <v>118</v>
      </c>
      <c r="D537" s="454" t="s">
        <v>140</v>
      </c>
      <c r="E537" s="454" t="s">
        <v>1012</v>
      </c>
      <c r="F537" s="454"/>
      <c r="G537" s="459">
        <f>G538</f>
        <v>0</v>
      </c>
      <c r="H537" s="459">
        <f t="shared" ref="H537:H538" si="268">H538</f>
        <v>0</v>
      </c>
      <c r="I537" s="455" t="e">
        <f t="shared" si="260"/>
        <v>#DIV/0!</v>
      </c>
      <c r="J537" s="478"/>
      <c r="K537" s="463"/>
    </row>
    <row r="538" spans="1:44" s="201" customFormat="1" ht="31.5" hidden="1" x14ac:dyDescent="0.25">
      <c r="A538" s="458" t="s">
        <v>131</v>
      </c>
      <c r="B538" s="452">
        <v>905</v>
      </c>
      <c r="C538" s="454" t="s">
        <v>118</v>
      </c>
      <c r="D538" s="454" t="s">
        <v>140</v>
      </c>
      <c r="E538" s="454" t="s">
        <v>1012</v>
      </c>
      <c r="F538" s="454" t="s">
        <v>132</v>
      </c>
      <c r="G538" s="459">
        <f>G539</f>
        <v>0</v>
      </c>
      <c r="H538" s="459">
        <f t="shared" si="268"/>
        <v>0</v>
      </c>
      <c r="I538" s="455" t="e">
        <f t="shared" si="260"/>
        <v>#DIV/0!</v>
      </c>
      <c r="J538" s="478"/>
      <c r="K538" s="463"/>
    </row>
    <row r="539" spans="1:44" s="201" customFormat="1" ht="31.5" hidden="1" x14ac:dyDescent="0.25">
      <c r="A539" s="458" t="s">
        <v>133</v>
      </c>
      <c r="B539" s="452">
        <v>905</v>
      </c>
      <c r="C539" s="454" t="s">
        <v>118</v>
      </c>
      <c r="D539" s="454" t="s">
        <v>140</v>
      </c>
      <c r="E539" s="454" t="s">
        <v>1012</v>
      </c>
      <c r="F539" s="454" t="s">
        <v>134</v>
      </c>
      <c r="G539" s="459">
        <f>100-100</f>
        <v>0</v>
      </c>
      <c r="H539" s="459">
        <f t="shared" ref="H539" si="269">100-100</f>
        <v>0</v>
      </c>
      <c r="I539" s="455" t="e">
        <f t="shared" si="260"/>
        <v>#DIV/0!</v>
      </c>
      <c r="J539" s="478"/>
      <c r="K539" s="463"/>
    </row>
    <row r="540" spans="1:44" s="111" customFormat="1" ht="69.400000000000006" customHeight="1" x14ac:dyDescent="0.25">
      <c r="A540" s="456" t="s">
        <v>1537</v>
      </c>
      <c r="B540" s="453">
        <v>905</v>
      </c>
      <c r="C540" s="457" t="s">
        <v>118</v>
      </c>
      <c r="D540" s="457" t="s">
        <v>140</v>
      </c>
      <c r="E540" s="457" t="s">
        <v>782</v>
      </c>
      <c r="F540" s="457"/>
      <c r="G540" s="455">
        <f>G541</f>
        <v>629.7600000000001</v>
      </c>
      <c r="H540" s="455">
        <f t="shared" ref="H540:H543" si="270">H541</f>
        <v>0</v>
      </c>
      <c r="I540" s="455">
        <f t="shared" si="260"/>
        <v>0</v>
      </c>
      <c r="J540" s="481"/>
      <c r="K540" s="127"/>
      <c r="L540" s="202"/>
      <c r="AE540" s="202"/>
      <c r="AF540" s="202"/>
      <c r="AG540" s="202"/>
      <c r="AH540" s="202"/>
      <c r="AI540" s="202"/>
      <c r="AJ540" s="202"/>
      <c r="AK540" s="202"/>
      <c r="AL540" s="202"/>
      <c r="AO540" s="202"/>
      <c r="AP540" s="202"/>
      <c r="AR540" s="202"/>
    </row>
    <row r="541" spans="1:44" s="202" customFormat="1" ht="29.25" customHeight="1" x14ac:dyDescent="0.25">
      <c r="A541" s="456" t="s">
        <v>930</v>
      </c>
      <c r="B541" s="453">
        <v>905</v>
      </c>
      <c r="C541" s="457" t="s">
        <v>118</v>
      </c>
      <c r="D541" s="457" t="s">
        <v>140</v>
      </c>
      <c r="E541" s="457" t="s">
        <v>1020</v>
      </c>
      <c r="F541" s="457"/>
      <c r="G541" s="455">
        <f>G542</f>
        <v>629.7600000000001</v>
      </c>
      <c r="H541" s="455">
        <f t="shared" si="270"/>
        <v>0</v>
      </c>
      <c r="I541" s="455">
        <f t="shared" si="260"/>
        <v>0</v>
      </c>
      <c r="J541" s="481"/>
      <c r="K541" s="127"/>
    </row>
    <row r="542" spans="1:44" s="111" customFormat="1" ht="15.75" x14ac:dyDescent="0.25">
      <c r="A542" s="458" t="s">
        <v>1532</v>
      </c>
      <c r="B542" s="452">
        <v>905</v>
      </c>
      <c r="C542" s="454" t="s">
        <v>118</v>
      </c>
      <c r="D542" s="454" t="s">
        <v>140</v>
      </c>
      <c r="E542" s="454" t="s">
        <v>1021</v>
      </c>
      <c r="F542" s="454"/>
      <c r="G542" s="459">
        <f>G543</f>
        <v>629.7600000000001</v>
      </c>
      <c r="H542" s="459">
        <f t="shared" si="270"/>
        <v>0</v>
      </c>
      <c r="I542" s="459">
        <f t="shared" si="260"/>
        <v>0</v>
      </c>
      <c r="J542" s="481"/>
      <c r="K542" s="127"/>
      <c r="L542" s="202"/>
      <c r="AE542" s="202"/>
      <c r="AF542" s="202"/>
      <c r="AG542" s="202"/>
      <c r="AH542" s="202"/>
      <c r="AI542" s="202"/>
      <c r="AJ542" s="202"/>
      <c r="AK542" s="202"/>
      <c r="AL542" s="202"/>
      <c r="AO542" s="202"/>
      <c r="AP542" s="202"/>
      <c r="AR542" s="202"/>
    </row>
    <row r="543" spans="1:44" s="111" customFormat="1" ht="31.5" x14ac:dyDescent="0.25">
      <c r="A543" s="458" t="s">
        <v>131</v>
      </c>
      <c r="B543" s="452">
        <v>905</v>
      </c>
      <c r="C543" s="454" t="s">
        <v>118</v>
      </c>
      <c r="D543" s="454" t="s">
        <v>140</v>
      </c>
      <c r="E543" s="454" t="s">
        <v>1021</v>
      </c>
      <c r="F543" s="454" t="s">
        <v>132</v>
      </c>
      <c r="G543" s="459">
        <f>G544</f>
        <v>629.7600000000001</v>
      </c>
      <c r="H543" s="459">
        <f t="shared" si="270"/>
        <v>0</v>
      </c>
      <c r="I543" s="459">
        <f t="shared" si="260"/>
        <v>0</v>
      </c>
      <c r="J543" s="481"/>
      <c r="K543" s="127"/>
      <c r="L543" s="202"/>
      <c r="AE543" s="202"/>
      <c r="AF543" s="202"/>
      <c r="AG543" s="202"/>
      <c r="AH543" s="202"/>
      <c r="AI543" s="202"/>
      <c r="AJ543" s="202"/>
      <c r="AK543" s="202"/>
      <c r="AL543" s="202"/>
      <c r="AO543" s="202"/>
      <c r="AP543" s="202"/>
      <c r="AR543" s="202"/>
    </row>
    <row r="544" spans="1:44" s="111" customFormat="1" ht="31.5" x14ac:dyDescent="0.25">
      <c r="A544" s="458" t="s">
        <v>133</v>
      </c>
      <c r="B544" s="452">
        <v>905</v>
      </c>
      <c r="C544" s="454" t="s">
        <v>118</v>
      </c>
      <c r="D544" s="454" t="s">
        <v>140</v>
      </c>
      <c r="E544" s="454" t="s">
        <v>1021</v>
      </c>
      <c r="F544" s="454" t="s">
        <v>134</v>
      </c>
      <c r="G544" s="459">
        <f>92.26+83.03+839.57-322.23254-31.86746-31</f>
        <v>629.7600000000001</v>
      </c>
      <c r="H544" s="459">
        <v>0</v>
      </c>
      <c r="I544" s="459">
        <f t="shared" si="260"/>
        <v>0</v>
      </c>
      <c r="J544" s="481"/>
      <c r="K544" s="127"/>
      <c r="L544" s="202"/>
      <c r="AE544" s="202"/>
      <c r="AF544" s="202"/>
      <c r="AG544" s="202"/>
      <c r="AH544" s="202"/>
      <c r="AI544" s="202"/>
      <c r="AJ544" s="202"/>
      <c r="AK544" s="202"/>
      <c r="AL544" s="202"/>
      <c r="AO544" s="202"/>
      <c r="AP544" s="202"/>
      <c r="AR544" s="202"/>
    </row>
    <row r="545" spans="1:12" ht="15.75" x14ac:dyDescent="0.25">
      <c r="A545" s="462" t="s">
        <v>390</v>
      </c>
      <c r="B545" s="453">
        <v>905</v>
      </c>
      <c r="C545" s="457" t="s">
        <v>234</v>
      </c>
      <c r="D545" s="457"/>
      <c r="E545" s="457"/>
      <c r="F545" s="457"/>
      <c r="G545" s="455">
        <f>G546</f>
        <v>325.39999999999998</v>
      </c>
      <c r="H545" s="455">
        <f t="shared" ref="H545:H547" si="271">H546</f>
        <v>245.00700000000001</v>
      </c>
      <c r="I545" s="455">
        <f t="shared" si="260"/>
        <v>75.294099569760292</v>
      </c>
      <c r="J545" s="478"/>
      <c r="K545" s="463"/>
      <c r="L545" s="201"/>
    </row>
    <row r="546" spans="1:12" ht="15.75" x14ac:dyDescent="0.25">
      <c r="A546" s="462" t="s">
        <v>391</v>
      </c>
      <c r="B546" s="453">
        <v>905</v>
      </c>
      <c r="C546" s="457" t="s">
        <v>234</v>
      </c>
      <c r="D546" s="457" t="s">
        <v>118</v>
      </c>
      <c r="E546" s="457"/>
      <c r="F546" s="457"/>
      <c r="G546" s="455">
        <f>G547</f>
        <v>325.39999999999998</v>
      </c>
      <c r="H546" s="455">
        <f t="shared" si="271"/>
        <v>245.00700000000001</v>
      </c>
      <c r="I546" s="455">
        <f t="shared" si="260"/>
        <v>75.294099569760292</v>
      </c>
      <c r="J546" s="478"/>
      <c r="K546" s="463"/>
      <c r="L546" s="201"/>
    </row>
    <row r="547" spans="1:12" s="201" customFormat="1" ht="15.75" x14ac:dyDescent="0.25">
      <c r="A547" s="456" t="s">
        <v>141</v>
      </c>
      <c r="B547" s="453">
        <v>905</v>
      </c>
      <c r="C547" s="457" t="s">
        <v>234</v>
      </c>
      <c r="D547" s="457" t="s">
        <v>118</v>
      </c>
      <c r="E547" s="457" t="s">
        <v>866</v>
      </c>
      <c r="F547" s="457"/>
      <c r="G547" s="455">
        <f>G548</f>
        <v>325.39999999999998</v>
      </c>
      <c r="H547" s="455">
        <f t="shared" si="271"/>
        <v>245.00700000000001</v>
      </c>
      <c r="I547" s="455">
        <f t="shared" si="260"/>
        <v>75.294099569760292</v>
      </c>
      <c r="J547" s="478"/>
      <c r="K547" s="463"/>
    </row>
    <row r="548" spans="1:12" s="201" customFormat="1" ht="31.5" x14ac:dyDescent="0.25">
      <c r="A548" s="456" t="s">
        <v>870</v>
      </c>
      <c r="B548" s="453">
        <v>905</v>
      </c>
      <c r="C548" s="457" t="s">
        <v>234</v>
      </c>
      <c r="D548" s="457" t="s">
        <v>118</v>
      </c>
      <c r="E548" s="457" t="s">
        <v>865</v>
      </c>
      <c r="F548" s="457"/>
      <c r="G548" s="455">
        <f>G549+G552</f>
        <v>325.39999999999998</v>
      </c>
      <c r="H548" s="455">
        <f t="shared" ref="H548" si="272">H549+H552</f>
        <v>245.00700000000001</v>
      </c>
      <c r="I548" s="455">
        <f t="shared" si="260"/>
        <v>75.294099569760292</v>
      </c>
      <c r="J548" s="478"/>
      <c r="K548" s="463"/>
    </row>
    <row r="549" spans="1:12" ht="31.5" x14ac:dyDescent="0.25">
      <c r="A549" s="29" t="s">
        <v>398</v>
      </c>
      <c r="B549" s="452">
        <v>905</v>
      </c>
      <c r="C549" s="454" t="s">
        <v>234</v>
      </c>
      <c r="D549" s="454" t="s">
        <v>118</v>
      </c>
      <c r="E549" s="454" t="s">
        <v>961</v>
      </c>
      <c r="F549" s="454"/>
      <c r="G549" s="459">
        <f>G550</f>
        <v>310.39999999999998</v>
      </c>
      <c r="H549" s="459">
        <f t="shared" ref="H549:H550" si="273">H550</f>
        <v>230.00700000000001</v>
      </c>
      <c r="I549" s="459">
        <f t="shared" si="260"/>
        <v>74.100193298969074</v>
      </c>
      <c r="J549" s="478"/>
      <c r="K549" s="463"/>
      <c r="L549" s="201"/>
    </row>
    <row r="550" spans="1:12" ht="31.5" x14ac:dyDescent="0.25">
      <c r="A550" s="458" t="s">
        <v>131</v>
      </c>
      <c r="B550" s="452">
        <v>905</v>
      </c>
      <c r="C550" s="454" t="s">
        <v>234</v>
      </c>
      <c r="D550" s="454" t="s">
        <v>118</v>
      </c>
      <c r="E550" s="454" t="s">
        <v>961</v>
      </c>
      <c r="F550" s="454" t="s">
        <v>132</v>
      </c>
      <c r="G550" s="459">
        <f>G551</f>
        <v>310.39999999999998</v>
      </c>
      <c r="H550" s="459">
        <f t="shared" si="273"/>
        <v>230.00700000000001</v>
      </c>
      <c r="I550" s="459">
        <f t="shared" si="260"/>
        <v>74.100193298969074</v>
      </c>
      <c r="J550" s="478"/>
      <c r="K550" s="463"/>
      <c r="L550" s="201"/>
    </row>
    <row r="551" spans="1:12" ht="31.5" x14ac:dyDescent="0.25">
      <c r="A551" s="458" t="s">
        <v>133</v>
      </c>
      <c r="B551" s="452">
        <v>905</v>
      </c>
      <c r="C551" s="454" t="s">
        <v>234</v>
      </c>
      <c r="D551" s="454" t="s">
        <v>118</v>
      </c>
      <c r="E551" s="454" t="s">
        <v>961</v>
      </c>
      <c r="F551" s="454" t="s">
        <v>134</v>
      </c>
      <c r="G551" s="459">
        <f>263.2+7+0.2+40</f>
        <v>310.39999999999998</v>
      </c>
      <c r="H551" s="459">
        <v>230.00700000000001</v>
      </c>
      <c r="I551" s="459">
        <f t="shared" si="260"/>
        <v>74.100193298969074</v>
      </c>
      <c r="J551" s="478"/>
      <c r="K551" s="463"/>
      <c r="L551" s="201"/>
    </row>
    <row r="552" spans="1:12" ht="31.5" x14ac:dyDescent="0.25">
      <c r="A552" s="29" t="s">
        <v>932</v>
      </c>
      <c r="B552" s="452">
        <v>905</v>
      </c>
      <c r="C552" s="454" t="s">
        <v>234</v>
      </c>
      <c r="D552" s="454" t="s">
        <v>118</v>
      </c>
      <c r="E552" s="454" t="s">
        <v>962</v>
      </c>
      <c r="F552" s="454"/>
      <c r="G552" s="459">
        <f>G553</f>
        <v>15</v>
      </c>
      <c r="H552" s="459">
        <f t="shared" ref="H552:H553" si="274">H553</f>
        <v>15</v>
      </c>
      <c r="I552" s="459">
        <f t="shared" si="260"/>
        <v>100</v>
      </c>
      <c r="J552" s="478"/>
      <c r="K552" s="463"/>
      <c r="L552" s="201"/>
    </row>
    <row r="553" spans="1:12" ht="31.5" x14ac:dyDescent="0.25">
      <c r="A553" s="458" t="s">
        <v>131</v>
      </c>
      <c r="B553" s="452">
        <v>905</v>
      </c>
      <c r="C553" s="454" t="s">
        <v>234</v>
      </c>
      <c r="D553" s="454" t="s">
        <v>118</v>
      </c>
      <c r="E553" s="454" t="s">
        <v>962</v>
      </c>
      <c r="F553" s="454" t="s">
        <v>132</v>
      </c>
      <c r="G553" s="459">
        <f>G554</f>
        <v>15</v>
      </c>
      <c r="H553" s="459">
        <f t="shared" si="274"/>
        <v>15</v>
      </c>
      <c r="I553" s="459">
        <f t="shared" si="260"/>
        <v>100</v>
      </c>
      <c r="J553" s="478"/>
      <c r="K553" s="463"/>
      <c r="L553" s="201"/>
    </row>
    <row r="554" spans="1:12" ht="31.5" x14ac:dyDescent="0.25">
      <c r="A554" s="458" t="s">
        <v>133</v>
      </c>
      <c r="B554" s="452">
        <v>905</v>
      </c>
      <c r="C554" s="454" t="s">
        <v>234</v>
      </c>
      <c r="D554" s="454" t="s">
        <v>118</v>
      </c>
      <c r="E554" s="454" t="s">
        <v>962</v>
      </c>
      <c r="F554" s="454" t="s">
        <v>134</v>
      </c>
      <c r="G554" s="459">
        <v>15</v>
      </c>
      <c r="H554" s="459">
        <v>15</v>
      </c>
      <c r="I554" s="459">
        <f t="shared" si="260"/>
        <v>100</v>
      </c>
      <c r="J554" s="478"/>
      <c r="K554" s="463"/>
      <c r="L554" s="201"/>
    </row>
    <row r="555" spans="1:12" s="201" customFormat="1" ht="15.75" hidden="1" x14ac:dyDescent="0.25">
      <c r="A555" s="456" t="s">
        <v>243</v>
      </c>
      <c r="B555" s="453">
        <v>905</v>
      </c>
      <c r="C555" s="457" t="s">
        <v>244</v>
      </c>
      <c r="D555" s="454"/>
      <c r="E555" s="454"/>
      <c r="F555" s="454"/>
      <c r="G555" s="455">
        <f>G556</f>
        <v>0</v>
      </c>
      <c r="H555" s="455">
        <f t="shared" ref="H555:H559" si="275">H556</f>
        <v>0</v>
      </c>
      <c r="I555" s="455" t="e">
        <f t="shared" si="260"/>
        <v>#DIV/0!</v>
      </c>
      <c r="J555" s="478"/>
      <c r="K555" s="463"/>
    </row>
    <row r="556" spans="1:12" s="201" customFormat="1" ht="15.75" hidden="1" x14ac:dyDescent="0.25">
      <c r="A556" s="456" t="s">
        <v>400</v>
      </c>
      <c r="B556" s="453">
        <v>905</v>
      </c>
      <c r="C556" s="457" t="s">
        <v>244</v>
      </c>
      <c r="D556" s="457" t="s">
        <v>150</v>
      </c>
      <c r="E556" s="454"/>
      <c r="F556" s="454"/>
      <c r="G556" s="455">
        <f>G557</f>
        <v>0</v>
      </c>
      <c r="H556" s="455">
        <f t="shared" si="275"/>
        <v>0</v>
      </c>
      <c r="I556" s="455" t="e">
        <f t="shared" si="260"/>
        <v>#DIV/0!</v>
      </c>
      <c r="J556" s="478"/>
      <c r="K556" s="463"/>
    </row>
    <row r="557" spans="1:12" s="201" customFormat="1" ht="31.5" hidden="1" x14ac:dyDescent="0.25">
      <c r="A557" s="456" t="s">
        <v>885</v>
      </c>
      <c r="B557" s="453">
        <v>905</v>
      </c>
      <c r="C557" s="457" t="s">
        <v>244</v>
      </c>
      <c r="D557" s="457" t="s">
        <v>150</v>
      </c>
      <c r="E557" s="457" t="s">
        <v>863</v>
      </c>
      <c r="F557" s="454"/>
      <c r="G557" s="455">
        <f>G558</f>
        <v>0</v>
      </c>
      <c r="H557" s="455">
        <f t="shared" si="275"/>
        <v>0</v>
      </c>
      <c r="I557" s="455" t="e">
        <f t="shared" si="260"/>
        <v>#DIV/0!</v>
      </c>
      <c r="J557" s="478"/>
      <c r="K557" s="463"/>
    </row>
    <row r="558" spans="1:12" s="201" customFormat="1" ht="48" hidden="1" customHeight="1" x14ac:dyDescent="0.25">
      <c r="A558" s="458" t="s">
        <v>1338</v>
      </c>
      <c r="B558" s="452">
        <v>905</v>
      </c>
      <c r="C558" s="454" t="s">
        <v>244</v>
      </c>
      <c r="D558" s="454" t="s">
        <v>150</v>
      </c>
      <c r="E558" s="454" t="s">
        <v>1171</v>
      </c>
      <c r="F558" s="454"/>
      <c r="G558" s="459">
        <f>G559</f>
        <v>0</v>
      </c>
      <c r="H558" s="459">
        <f t="shared" si="275"/>
        <v>0</v>
      </c>
      <c r="I558" s="455" t="e">
        <f t="shared" si="260"/>
        <v>#DIV/0!</v>
      </c>
      <c r="J558" s="478"/>
      <c r="K558" s="463"/>
    </row>
    <row r="559" spans="1:12" s="201" customFormat="1" ht="31.5" hidden="1" x14ac:dyDescent="0.25">
      <c r="A559" s="458" t="s">
        <v>131</v>
      </c>
      <c r="B559" s="452">
        <v>905</v>
      </c>
      <c r="C559" s="454" t="s">
        <v>244</v>
      </c>
      <c r="D559" s="454" t="s">
        <v>150</v>
      </c>
      <c r="E559" s="454" t="s">
        <v>1171</v>
      </c>
      <c r="F559" s="454" t="s">
        <v>132</v>
      </c>
      <c r="G559" s="459">
        <f>G560</f>
        <v>0</v>
      </c>
      <c r="H559" s="459">
        <f t="shared" si="275"/>
        <v>0</v>
      </c>
      <c r="I559" s="455" t="e">
        <f t="shared" si="260"/>
        <v>#DIV/0!</v>
      </c>
      <c r="J559" s="478"/>
      <c r="K559" s="463"/>
    </row>
    <row r="560" spans="1:12" s="201" customFormat="1" ht="31.5" hidden="1" x14ac:dyDescent="0.25">
      <c r="A560" s="458" t="s">
        <v>133</v>
      </c>
      <c r="B560" s="452">
        <v>905</v>
      </c>
      <c r="C560" s="454" t="s">
        <v>244</v>
      </c>
      <c r="D560" s="454" t="s">
        <v>150</v>
      </c>
      <c r="E560" s="454" t="s">
        <v>1171</v>
      </c>
      <c r="F560" s="454" t="s">
        <v>134</v>
      </c>
      <c r="G560" s="459">
        <f>1975.4-1975.4</f>
        <v>0</v>
      </c>
      <c r="H560" s="459">
        <f t="shared" ref="H560" si="276">1975.4-1975.4</f>
        <v>0</v>
      </c>
      <c r="I560" s="455" t="e">
        <f t="shared" si="260"/>
        <v>#DIV/0!</v>
      </c>
      <c r="J560" s="478"/>
      <c r="K560" s="463"/>
    </row>
    <row r="561" spans="1:12" ht="31.5" x14ac:dyDescent="0.25">
      <c r="A561" s="453" t="s">
        <v>403</v>
      </c>
      <c r="B561" s="453">
        <v>906</v>
      </c>
      <c r="C561" s="457"/>
      <c r="D561" s="457"/>
      <c r="E561" s="457"/>
      <c r="F561" s="457"/>
      <c r="G561" s="455">
        <f>G569+G562</f>
        <v>392055.88</v>
      </c>
      <c r="H561" s="455">
        <f t="shared" ref="H561" si="277">H569+H562</f>
        <v>279887.52354000002</v>
      </c>
      <c r="I561" s="455">
        <f t="shared" si="260"/>
        <v>71.389701779246366</v>
      </c>
      <c r="J561" s="478"/>
      <c r="K561" s="463"/>
      <c r="L561" s="201"/>
    </row>
    <row r="562" spans="1:12" ht="15.75" x14ac:dyDescent="0.25">
      <c r="A562" s="456" t="s">
        <v>117</v>
      </c>
      <c r="B562" s="453">
        <v>906</v>
      </c>
      <c r="C562" s="457" t="s">
        <v>118</v>
      </c>
      <c r="D562" s="457"/>
      <c r="E562" s="457"/>
      <c r="F562" s="457"/>
      <c r="G562" s="455">
        <f t="shared" ref="G562:H567" si="278">G563</f>
        <v>100</v>
      </c>
      <c r="H562" s="455">
        <f t="shared" si="278"/>
        <v>0</v>
      </c>
      <c r="I562" s="455">
        <f t="shared" si="260"/>
        <v>0</v>
      </c>
      <c r="J562" s="478"/>
      <c r="K562" s="463"/>
      <c r="L562" s="201"/>
    </row>
    <row r="563" spans="1:12" ht="15.75" x14ac:dyDescent="0.25">
      <c r="A563" s="34" t="s">
        <v>139</v>
      </c>
      <c r="B563" s="453">
        <v>906</v>
      </c>
      <c r="C563" s="457" t="s">
        <v>118</v>
      </c>
      <c r="D563" s="457" t="s">
        <v>140</v>
      </c>
      <c r="E563" s="457"/>
      <c r="F563" s="457"/>
      <c r="G563" s="455">
        <f t="shared" si="278"/>
        <v>100</v>
      </c>
      <c r="H563" s="455">
        <f t="shared" si="278"/>
        <v>0</v>
      </c>
      <c r="I563" s="455">
        <f t="shared" si="260"/>
        <v>0</v>
      </c>
      <c r="J563" s="478"/>
      <c r="K563" s="463"/>
      <c r="L563" s="201"/>
    </row>
    <row r="564" spans="1:12" ht="31.5" x14ac:dyDescent="0.25">
      <c r="A564" s="456" t="s">
        <v>1358</v>
      </c>
      <c r="B564" s="453">
        <v>906</v>
      </c>
      <c r="C564" s="457" t="s">
        <v>118</v>
      </c>
      <c r="D564" s="457" t="s">
        <v>140</v>
      </c>
      <c r="E564" s="457" t="s">
        <v>335</v>
      </c>
      <c r="F564" s="457"/>
      <c r="G564" s="455">
        <f t="shared" si="278"/>
        <v>100</v>
      </c>
      <c r="H564" s="455">
        <f t="shared" si="278"/>
        <v>0</v>
      </c>
      <c r="I564" s="455">
        <f t="shared" si="260"/>
        <v>0</v>
      </c>
      <c r="J564" s="478"/>
      <c r="K564" s="463"/>
      <c r="L564" s="201"/>
    </row>
    <row r="565" spans="1:12" s="201" customFormat="1" ht="31.5" x14ac:dyDescent="0.25">
      <c r="A565" s="208" t="s">
        <v>1050</v>
      </c>
      <c r="B565" s="453">
        <v>906</v>
      </c>
      <c r="C565" s="457" t="s">
        <v>118</v>
      </c>
      <c r="D565" s="457" t="s">
        <v>140</v>
      </c>
      <c r="E565" s="457" t="s">
        <v>1051</v>
      </c>
      <c r="F565" s="457"/>
      <c r="G565" s="455">
        <f t="shared" si="278"/>
        <v>100</v>
      </c>
      <c r="H565" s="455">
        <f t="shared" si="278"/>
        <v>0</v>
      </c>
      <c r="I565" s="455">
        <f t="shared" si="260"/>
        <v>0</v>
      </c>
      <c r="J565" s="478"/>
      <c r="K565" s="463"/>
    </row>
    <row r="566" spans="1:12" ht="31.5" x14ac:dyDescent="0.25">
      <c r="A566" s="97" t="s">
        <v>336</v>
      </c>
      <c r="B566" s="452">
        <v>906</v>
      </c>
      <c r="C566" s="454" t="s">
        <v>118</v>
      </c>
      <c r="D566" s="454" t="s">
        <v>140</v>
      </c>
      <c r="E566" s="454" t="s">
        <v>1052</v>
      </c>
      <c r="F566" s="454"/>
      <c r="G566" s="459">
        <f t="shared" si="278"/>
        <v>100</v>
      </c>
      <c r="H566" s="459">
        <f t="shared" si="278"/>
        <v>0</v>
      </c>
      <c r="I566" s="459">
        <f t="shared" si="260"/>
        <v>0</v>
      </c>
      <c r="J566" s="478"/>
      <c r="K566" s="463"/>
      <c r="L566" s="201"/>
    </row>
    <row r="567" spans="1:12" ht="31.5" x14ac:dyDescent="0.25">
      <c r="A567" s="458" t="s">
        <v>131</v>
      </c>
      <c r="B567" s="452">
        <v>906</v>
      </c>
      <c r="C567" s="454" t="s">
        <v>118</v>
      </c>
      <c r="D567" s="454" t="s">
        <v>140</v>
      </c>
      <c r="E567" s="454" t="s">
        <v>1052</v>
      </c>
      <c r="F567" s="454" t="s">
        <v>132</v>
      </c>
      <c r="G567" s="459">
        <f t="shared" si="278"/>
        <v>100</v>
      </c>
      <c r="H567" s="459">
        <f t="shared" si="278"/>
        <v>0</v>
      </c>
      <c r="I567" s="459">
        <f t="shared" si="260"/>
        <v>0</v>
      </c>
      <c r="J567" s="478"/>
      <c r="K567" s="463"/>
      <c r="L567" s="201"/>
    </row>
    <row r="568" spans="1:12" ht="31.5" x14ac:dyDescent="0.25">
      <c r="A568" s="458" t="s">
        <v>133</v>
      </c>
      <c r="B568" s="452">
        <v>906</v>
      </c>
      <c r="C568" s="454" t="s">
        <v>118</v>
      </c>
      <c r="D568" s="454" t="s">
        <v>140</v>
      </c>
      <c r="E568" s="454" t="s">
        <v>1052</v>
      </c>
      <c r="F568" s="454" t="s">
        <v>134</v>
      </c>
      <c r="G568" s="459">
        <v>100</v>
      </c>
      <c r="H568" s="459">
        <v>0</v>
      </c>
      <c r="I568" s="459">
        <f t="shared" si="260"/>
        <v>0</v>
      </c>
      <c r="J568" s="478"/>
      <c r="K568" s="463"/>
      <c r="L568" s="201"/>
    </row>
    <row r="569" spans="1:12" ht="15.75" x14ac:dyDescent="0.25">
      <c r="A569" s="456" t="s">
        <v>263</v>
      </c>
      <c r="B569" s="453">
        <v>906</v>
      </c>
      <c r="C569" s="457" t="s">
        <v>264</v>
      </c>
      <c r="D569" s="457"/>
      <c r="E569" s="457"/>
      <c r="F569" s="457"/>
      <c r="G569" s="455">
        <f>G570+G638+G761+G767+G729</f>
        <v>391955.88</v>
      </c>
      <c r="H569" s="455">
        <f t="shared" ref="H569" si="279">H570+H638+H761+H767+H729</f>
        <v>279887.52354000002</v>
      </c>
      <c r="I569" s="455">
        <f t="shared" si="260"/>
        <v>71.407915487835012</v>
      </c>
      <c r="J569" s="478"/>
      <c r="K569" s="463"/>
      <c r="L569" s="201"/>
    </row>
    <row r="570" spans="1:12" ht="15.75" x14ac:dyDescent="0.25">
      <c r="A570" s="456" t="s">
        <v>404</v>
      </c>
      <c r="B570" s="453">
        <v>906</v>
      </c>
      <c r="C570" s="457" t="s">
        <v>264</v>
      </c>
      <c r="D570" s="457" t="s">
        <v>118</v>
      </c>
      <c r="E570" s="457"/>
      <c r="F570" s="457"/>
      <c r="G570" s="455">
        <f>G571+G628+G633</f>
        <v>124425.075</v>
      </c>
      <c r="H570" s="455">
        <f t="shared" ref="H570" si="280">H571+H628+H633</f>
        <v>86911.696700000015</v>
      </c>
      <c r="I570" s="455">
        <f t="shared" si="260"/>
        <v>69.850628339986955</v>
      </c>
      <c r="J570" s="478"/>
      <c r="K570" s="463"/>
      <c r="L570" s="201"/>
    </row>
    <row r="571" spans="1:12" ht="36" customHeight="1" x14ac:dyDescent="0.25">
      <c r="A571" s="456" t="s">
        <v>1359</v>
      </c>
      <c r="B571" s="453">
        <v>906</v>
      </c>
      <c r="C571" s="457" t="s">
        <v>264</v>
      </c>
      <c r="D571" s="457" t="s">
        <v>118</v>
      </c>
      <c r="E571" s="457" t="s">
        <v>406</v>
      </c>
      <c r="F571" s="457"/>
      <c r="G571" s="455">
        <f>G572+G576+G589+G599+G609+G613+G620+G624</f>
        <v>123753.875</v>
      </c>
      <c r="H571" s="455">
        <f t="shared" ref="H571" si="281">H572+H576+H589+H599+H609+H613+H620+H624</f>
        <v>86424.681900000011</v>
      </c>
      <c r="I571" s="455">
        <f t="shared" si="260"/>
        <v>69.835940005919014</v>
      </c>
      <c r="J571" s="478"/>
      <c r="K571" s="463"/>
      <c r="L571" s="201"/>
    </row>
    <row r="572" spans="1:12" s="201" customFormat="1" ht="38.25" customHeight="1" x14ac:dyDescent="0.25">
      <c r="A572" s="456" t="s">
        <v>937</v>
      </c>
      <c r="B572" s="453">
        <v>906</v>
      </c>
      <c r="C572" s="457" t="s">
        <v>264</v>
      </c>
      <c r="D572" s="457" t="s">
        <v>118</v>
      </c>
      <c r="E572" s="457" t="s">
        <v>1231</v>
      </c>
      <c r="F572" s="457"/>
      <c r="G572" s="455">
        <f>G573</f>
        <v>14838.4</v>
      </c>
      <c r="H572" s="455">
        <f t="shared" ref="H572:H574" si="282">H573</f>
        <v>8713.8919999999998</v>
      </c>
      <c r="I572" s="455">
        <f t="shared" si="260"/>
        <v>58.725280353676943</v>
      </c>
      <c r="J572" s="478"/>
      <c r="K572" s="463"/>
    </row>
    <row r="573" spans="1:12" ht="31.5" x14ac:dyDescent="0.25">
      <c r="A573" s="458" t="s">
        <v>1230</v>
      </c>
      <c r="B573" s="452">
        <v>906</v>
      </c>
      <c r="C573" s="454" t="s">
        <v>264</v>
      </c>
      <c r="D573" s="454" t="s">
        <v>118</v>
      </c>
      <c r="E573" s="454" t="s">
        <v>1232</v>
      </c>
      <c r="F573" s="454"/>
      <c r="G573" s="459">
        <f>G574</f>
        <v>14838.4</v>
      </c>
      <c r="H573" s="459">
        <f t="shared" si="282"/>
        <v>8713.8919999999998</v>
      </c>
      <c r="I573" s="459">
        <f t="shared" si="260"/>
        <v>58.725280353676943</v>
      </c>
      <c r="J573" s="478"/>
      <c r="K573" s="463"/>
      <c r="L573" s="201"/>
    </row>
    <row r="574" spans="1:12" ht="31.5" x14ac:dyDescent="0.25">
      <c r="A574" s="458" t="s">
        <v>272</v>
      </c>
      <c r="B574" s="452">
        <v>906</v>
      </c>
      <c r="C574" s="454" t="s">
        <v>264</v>
      </c>
      <c r="D574" s="454" t="s">
        <v>118</v>
      </c>
      <c r="E574" s="454" t="s">
        <v>1232</v>
      </c>
      <c r="F574" s="454" t="s">
        <v>273</v>
      </c>
      <c r="G574" s="459">
        <f>G575</f>
        <v>14838.4</v>
      </c>
      <c r="H574" s="459">
        <f t="shared" si="282"/>
        <v>8713.8919999999998</v>
      </c>
      <c r="I574" s="459">
        <f t="shared" si="260"/>
        <v>58.725280353676943</v>
      </c>
      <c r="J574" s="478"/>
      <c r="K574" s="463"/>
      <c r="L574" s="201"/>
    </row>
    <row r="575" spans="1:12" ht="15.75" x14ac:dyDescent="0.25">
      <c r="A575" s="458" t="s">
        <v>274</v>
      </c>
      <c r="B575" s="452">
        <v>906</v>
      </c>
      <c r="C575" s="454" t="s">
        <v>264</v>
      </c>
      <c r="D575" s="454" t="s">
        <v>118</v>
      </c>
      <c r="E575" s="454" t="s">
        <v>1232</v>
      </c>
      <c r="F575" s="454" t="s">
        <v>275</v>
      </c>
      <c r="G575" s="27">
        <f>16056.4-1260.8+70-27.2</f>
        <v>14838.4</v>
      </c>
      <c r="H575" s="27">
        <v>8713.8919999999998</v>
      </c>
      <c r="I575" s="459">
        <f t="shared" si="260"/>
        <v>58.725280353676943</v>
      </c>
      <c r="J575" s="478"/>
      <c r="K575" s="463"/>
      <c r="L575" s="201"/>
    </row>
    <row r="576" spans="1:12" s="201" customFormat="1" ht="31.7" customHeight="1" x14ac:dyDescent="0.25">
      <c r="A576" s="456" t="s">
        <v>900</v>
      </c>
      <c r="B576" s="453">
        <v>906</v>
      </c>
      <c r="C576" s="457" t="s">
        <v>264</v>
      </c>
      <c r="D576" s="457" t="s">
        <v>118</v>
      </c>
      <c r="E576" s="457" t="s">
        <v>1233</v>
      </c>
      <c r="F576" s="457"/>
      <c r="G576" s="44">
        <f>G580+G583+G586+G577</f>
        <v>95135.87</v>
      </c>
      <c r="H576" s="44">
        <f t="shared" ref="H576" si="283">H580+H583+H586+H577</f>
        <v>67566.053</v>
      </c>
      <c r="I576" s="455">
        <f t="shared" si="260"/>
        <v>71.020586662002458</v>
      </c>
      <c r="J576" s="478"/>
      <c r="K576" s="463"/>
    </row>
    <row r="577" spans="1:12" s="201" customFormat="1" ht="31.7" customHeight="1" x14ac:dyDescent="0.25">
      <c r="A577" s="31" t="s">
        <v>293</v>
      </c>
      <c r="B577" s="452">
        <v>906</v>
      </c>
      <c r="C577" s="454" t="s">
        <v>264</v>
      </c>
      <c r="D577" s="454" t="s">
        <v>118</v>
      </c>
      <c r="E577" s="454" t="s">
        <v>1393</v>
      </c>
      <c r="F577" s="454"/>
      <c r="G577" s="459">
        <f>G578</f>
        <v>3230</v>
      </c>
      <c r="H577" s="459">
        <f t="shared" ref="H577:H578" si="284">H578</f>
        <v>2416</v>
      </c>
      <c r="I577" s="459">
        <f t="shared" si="260"/>
        <v>74.798761609907118</v>
      </c>
      <c r="J577" s="478"/>
      <c r="K577" s="463"/>
    </row>
    <row r="578" spans="1:12" s="201" customFormat="1" ht="31.7" customHeight="1" x14ac:dyDescent="0.25">
      <c r="A578" s="458" t="s">
        <v>272</v>
      </c>
      <c r="B578" s="452">
        <v>906</v>
      </c>
      <c r="C578" s="454" t="s">
        <v>264</v>
      </c>
      <c r="D578" s="454" t="s">
        <v>118</v>
      </c>
      <c r="E578" s="454" t="s">
        <v>1393</v>
      </c>
      <c r="F578" s="454" t="s">
        <v>273</v>
      </c>
      <c r="G578" s="459">
        <f>G579</f>
        <v>3230</v>
      </c>
      <c r="H578" s="459">
        <f t="shared" si="284"/>
        <v>2416</v>
      </c>
      <c r="I578" s="459">
        <f t="shared" si="260"/>
        <v>74.798761609907118</v>
      </c>
      <c r="J578" s="478"/>
      <c r="K578" s="463"/>
    </row>
    <row r="579" spans="1:12" s="201" customFormat="1" ht="18.399999999999999" customHeight="1" x14ac:dyDescent="0.25">
      <c r="A579" s="458" t="s">
        <v>274</v>
      </c>
      <c r="B579" s="452">
        <v>906</v>
      </c>
      <c r="C579" s="454" t="s">
        <v>264</v>
      </c>
      <c r="D579" s="454" t="s">
        <v>118</v>
      </c>
      <c r="E579" s="454" t="s">
        <v>1393</v>
      </c>
      <c r="F579" s="454" t="s">
        <v>275</v>
      </c>
      <c r="G579" s="27">
        <v>3230</v>
      </c>
      <c r="H579" s="27">
        <v>2416</v>
      </c>
      <c r="I579" s="459">
        <f t="shared" si="260"/>
        <v>74.798761609907118</v>
      </c>
      <c r="J579" s="478"/>
      <c r="K579" s="463"/>
    </row>
    <row r="580" spans="1:12" s="201" customFormat="1" ht="61.5" customHeight="1" x14ac:dyDescent="0.25">
      <c r="A580" s="31" t="s">
        <v>289</v>
      </c>
      <c r="B580" s="452">
        <v>906</v>
      </c>
      <c r="C580" s="454" t="s">
        <v>264</v>
      </c>
      <c r="D580" s="454" t="s">
        <v>118</v>
      </c>
      <c r="E580" s="454" t="s">
        <v>1234</v>
      </c>
      <c r="F580" s="454"/>
      <c r="G580" s="459">
        <f>G581</f>
        <v>589</v>
      </c>
      <c r="H580" s="459">
        <f t="shared" ref="H580:H581" si="285">H581</f>
        <v>372</v>
      </c>
      <c r="I580" s="459">
        <f t="shared" si="260"/>
        <v>63.157894736842103</v>
      </c>
      <c r="J580" s="478"/>
      <c r="K580" s="463"/>
    </row>
    <row r="581" spans="1:12" s="201" customFormat="1" ht="31.5" x14ac:dyDescent="0.25">
      <c r="A581" s="458" t="s">
        <v>272</v>
      </c>
      <c r="B581" s="452">
        <v>906</v>
      </c>
      <c r="C581" s="454" t="s">
        <v>264</v>
      </c>
      <c r="D581" s="454" t="s">
        <v>118</v>
      </c>
      <c r="E581" s="454" t="s">
        <v>1234</v>
      </c>
      <c r="F581" s="454" t="s">
        <v>273</v>
      </c>
      <c r="G581" s="459">
        <f>G582</f>
        <v>589</v>
      </c>
      <c r="H581" s="459">
        <f t="shared" si="285"/>
        <v>372</v>
      </c>
      <c r="I581" s="459">
        <f t="shared" si="260"/>
        <v>63.157894736842103</v>
      </c>
      <c r="J581" s="478"/>
      <c r="K581" s="463"/>
    </row>
    <row r="582" spans="1:12" s="201" customFormat="1" ht="15.75" x14ac:dyDescent="0.25">
      <c r="A582" s="458" t="s">
        <v>274</v>
      </c>
      <c r="B582" s="452">
        <v>906</v>
      </c>
      <c r="C582" s="454" t="s">
        <v>264</v>
      </c>
      <c r="D582" s="454" t="s">
        <v>118</v>
      </c>
      <c r="E582" s="454" t="s">
        <v>1234</v>
      </c>
      <c r="F582" s="454" t="s">
        <v>275</v>
      </c>
      <c r="G582" s="459">
        <v>589</v>
      </c>
      <c r="H582" s="459">
        <v>372</v>
      </c>
      <c r="I582" s="459">
        <f t="shared" si="260"/>
        <v>63.157894736842103</v>
      </c>
      <c r="J582" s="478"/>
      <c r="K582" s="463"/>
    </row>
    <row r="583" spans="1:12" s="201" customFormat="1" ht="63" x14ac:dyDescent="0.25">
      <c r="A583" s="31" t="s">
        <v>420</v>
      </c>
      <c r="B583" s="452">
        <v>906</v>
      </c>
      <c r="C583" s="454" t="s">
        <v>264</v>
      </c>
      <c r="D583" s="454" t="s">
        <v>118</v>
      </c>
      <c r="E583" s="454" t="s">
        <v>1235</v>
      </c>
      <c r="F583" s="454"/>
      <c r="G583" s="459">
        <f>G584</f>
        <v>1497.5</v>
      </c>
      <c r="H583" s="459">
        <f t="shared" ref="H583:H584" si="286">H584</f>
        <v>1062.3800000000001</v>
      </c>
      <c r="I583" s="459">
        <f t="shared" si="260"/>
        <v>70.943572621035074</v>
      </c>
      <c r="J583" s="478"/>
      <c r="K583" s="463"/>
    </row>
    <row r="584" spans="1:12" s="201" customFormat="1" ht="31.5" x14ac:dyDescent="0.25">
      <c r="A584" s="458" t="s">
        <v>272</v>
      </c>
      <c r="B584" s="452">
        <v>906</v>
      </c>
      <c r="C584" s="454" t="s">
        <v>264</v>
      </c>
      <c r="D584" s="454" t="s">
        <v>118</v>
      </c>
      <c r="E584" s="454" t="s">
        <v>1235</v>
      </c>
      <c r="F584" s="454" t="s">
        <v>273</v>
      </c>
      <c r="G584" s="459">
        <f>G585</f>
        <v>1497.5</v>
      </c>
      <c r="H584" s="459">
        <f t="shared" si="286"/>
        <v>1062.3800000000001</v>
      </c>
      <c r="I584" s="459">
        <f t="shared" si="260"/>
        <v>70.943572621035074</v>
      </c>
      <c r="J584" s="478"/>
      <c r="K584" s="463"/>
    </row>
    <row r="585" spans="1:12" s="201" customFormat="1" ht="15.75" x14ac:dyDescent="0.25">
      <c r="A585" s="458" t="s">
        <v>274</v>
      </c>
      <c r="B585" s="452">
        <v>906</v>
      </c>
      <c r="C585" s="454" t="s">
        <v>264</v>
      </c>
      <c r="D585" s="454" t="s">
        <v>118</v>
      </c>
      <c r="E585" s="454" t="s">
        <v>1235</v>
      </c>
      <c r="F585" s="454" t="s">
        <v>275</v>
      </c>
      <c r="G585" s="459">
        <f>1629.37-0.07-131.8</f>
        <v>1497.5</v>
      </c>
      <c r="H585" s="459">
        <v>1062.3800000000001</v>
      </c>
      <c r="I585" s="459">
        <f t="shared" si="260"/>
        <v>70.943572621035074</v>
      </c>
      <c r="J585" s="478"/>
      <c r="K585" s="463"/>
    </row>
    <row r="586" spans="1:12" s="201" customFormat="1" ht="78.75" x14ac:dyDescent="0.25">
      <c r="A586" s="31" t="s">
        <v>421</v>
      </c>
      <c r="B586" s="452">
        <v>906</v>
      </c>
      <c r="C586" s="454" t="s">
        <v>264</v>
      </c>
      <c r="D586" s="454" t="s">
        <v>118</v>
      </c>
      <c r="E586" s="454" t="s">
        <v>1236</v>
      </c>
      <c r="F586" s="454"/>
      <c r="G586" s="459">
        <f>G587</f>
        <v>89819.37</v>
      </c>
      <c r="H586" s="459">
        <f t="shared" ref="H586:H587" si="287">H587</f>
        <v>63715.673000000003</v>
      </c>
      <c r="I586" s="459">
        <f t="shared" si="260"/>
        <v>70.937563912995614</v>
      </c>
      <c r="J586" s="478"/>
      <c r="K586" s="463"/>
    </row>
    <row r="587" spans="1:12" s="201" customFormat="1" ht="31.5" x14ac:dyDescent="0.25">
      <c r="A587" s="458" t="s">
        <v>272</v>
      </c>
      <c r="B587" s="452">
        <v>906</v>
      </c>
      <c r="C587" s="454" t="s">
        <v>264</v>
      </c>
      <c r="D587" s="454" t="s">
        <v>118</v>
      </c>
      <c r="E587" s="454" t="s">
        <v>1236</v>
      </c>
      <c r="F587" s="454" t="s">
        <v>273</v>
      </c>
      <c r="G587" s="459">
        <f>G588</f>
        <v>89819.37</v>
      </c>
      <c r="H587" s="459">
        <f t="shared" si="287"/>
        <v>63715.673000000003</v>
      </c>
      <c r="I587" s="459">
        <f t="shared" si="260"/>
        <v>70.937563912995614</v>
      </c>
      <c r="J587" s="478"/>
      <c r="K587" s="463"/>
    </row>
    <row r="588" spans="1:12" s="201" customFormat="1" ht="15.75" x14ac:dyDescent="0.25">
      <c r="A588" s="458" t="s">
        <v>274</v>
      </c>
      <c r="B588" s="452">
        <v>906</v>
      </c>
      <c r="C588" s="454" t="s">
        <v>264</v>
      </c>
      <c r="D588" s="454" t="s">
        <v>118</v>
      </c>
      <c r="E588" s="454" t="s">
        <v>1236</v>
      </c>
      <c r="F588" s="454" t="s">
        <v>275</v>
      </c>
      <c r="G588" s="27">
        <f>90957.3-1137.97+0.04</f>
        <v>89819.37</v>
      </c>
      <c r="H588" s="27">
        <v>63715.673000000003</v>
      </c>
      <c r="I588" s="459">
        <f t="shared" ref="I588:I651" si="288">H588/G588*100</f>
        <v>70.937563912995614</v>
      </c>
      <c r="J588" s="478"/>
      <c r="K588" s="463"/>
    </row>
    <row r="589" spans="1:12" s="201" customFormat="1" ht="30.2" customHeight="1" x14ac:dyDescent="0.25">
      <c r="A589" s="456" t="s">
        <v>1253</v>
      </c>
      <c r="B589" s="453">
        <v>906</v>
      </c>
      <c r="C589" s="457" t="s">
        <v>264</v>
      </c>
      <c r="D589" s="457" t="s">
        <v>118</v>
      </c>
      <c r="E589" s="457" t="s">
        <v>1238</v>
      </c>
      <c r="F589" s="457"/>
      <c r="G589" s="455">
        <f>G590+G593+G596</f>
        <v>4557</v>
      </c>
      <c r="H589" s="455">
        <f t="shared" ref="H589" si="289">H590+H593+H596</f>
        <v>3943.4429999999998</v>
      </c>
      <c r="I589" s="455">
        <f t="shared" si="288"/>
        <v>86.535944700460817</v>
      </c>
      <c r="J589" s="478"/>
      <c r="K589" s="463"/>
    </row>
    <row r="590" spans="1:12" ht="35.450000000000003" customHeight="1" x14ac:dyDescent="0.25">
      <c r="A590" s="458" t="s">
        <v>278</v>
      </c>
      <c r="B590" s="452">
        <v>906</v>
      </c>
      <c r="C590" s="454" t="s">
        <v>264</v>
      </c>
      <c r="D590" s="454" t="s">
        <v>118</v>
      </c>
      <c r="E590" s="454" t="s">
        <v>1319</v>
      </c>
      <c r="F590" s="454"/>
      <c r="G590" s="459">
        <f>G591</f>
        <v>200</v>
      </c>
      <c r="H590" s="459">
        <f t="shared" ref="H590:H591" si="290">H591</f>
        <v>61.357999999999997</v>
      </c>
      <c r="I590" s="459">
        <f t="shared" si="288"/>
        <v>30.679000000000002</v>
      </c>
      <c r="J590" s="478"/>
      <c r="K590" s="463"/>
      <c r="L590" s="201"/>
    </row>
    <row r="591" spans="1:12" ht="35.450000000000003" customHeight="1" x14ac:dyDescent="0.25">
      <c r="A591" s="458" t="s">
        <v>272</v>
      </c>
      <c r="B591" s="452">
        <v>906</v>
      </c>
      <c r="C591" s="454" t="s">
        <v>264</v>
      </c>
      <c r="D591" s="454" t="s">
        <v>118</v>
      </c>
      <c r="E591" s="454" t="s">
        <v>1319</v>
      </c>
      <c r="F591" s="454" t="s">
        <v>273</v>
      </c>
      <c r="G591" s="459">
        <f>G592</f>
        <v>200</v>
      </c>
      <c r="H591" s="459">
        <f t="shared" si="290"/>
        <v>61.357999999999997</v>
      </c>
      <c r="I591" s="459">
        <f t="shared" si="288"/>
        <v>30.679000000000002</v>
      </c>
      <c r="J591" s="478"/>
      <c r="K591" s="463"/>
      <c r="L591" s="201"/>
    </row>
    <row r="592" spans="1:12" ht="15.75" customHeight="1" x14ac:dyDescent="0.25">
      <c r="A592" s="458" t="s">
        <v>274</v>
      </c>
      <c r="B592" s="452">
        <v>906</v>
      </c>
      <c r="C592" s="454" t="s">
        <v>264</v>
      </c>
      <c r="D592" s="454" t="s">
        <v>118</v>
      </c>
      <c r="E592" s="454" t="s">
        <v>1319</v>
      </c>
      <c r="F592" s="454" t="s">
        <v>275</v>
      </c>
      <c r="G592" s="459">
        <v>200</v>
      </c>
      <c r="H592" s="459">
        <v>61.357999999999997</v>
      </c>
      <c r="I592" s="459">
        <f t="shared" si="288"/>
        <v>30.679000000000002</v>
      </c>
      <c r="J592" s="478"/>
      <c r="K592" s="463"/>
      <c r="L592" s="201"/>
    </row>
    <row r="593" spans="1:12" ht="37.5" customHeight="1" x14ac:dyDescent="0.25">
      <c r="A593" s="458" t="s">
        <v>280</v>
      </c>
      <c r="B593" s="452">
        <v>906</v>
      </c>
      <c r="C593" s="454" t="s">
        <v>264</v>
      </c>
      <c r="D593" s="454" t="s">
        <v>118</v>
      </c>
      <c r="E593" s="454" t="s">
        <v>1320</v>
      </c>
      <c r="F593" s="454"/>
      <c r="G593" s="459">
        <f>G594</f>
        <v>357</v>
      </c>
      <c r="H593" s="459">
        <f t="shared" ref="H593:H594" si="291">H594</f>
        <v>356.19099999999997</v>
      </c>
      <c r="I593" s="459">
        <f t="shared" si="288"/>
        <v>99.773389355742296</v>
      </c>
      <c r="J593" s="478"/>
      <c r="K593" s="463"/>
      <c r="L593" s="201"/>
    </row>
    <row r="594" spans="1:12" ht="31.5" x14ac:dyDescent="0.25">
      <c r="A594" s="458" t="s">
        <v>272</v>
      </c>
      <c r="B594" s="452">
        <v>906</v>
      </c>
      <c r="C594" s="454" t="s">
        <v>264</v>
      </c>
      <c r="D594" s="454" t="s">
        <v>118</v>
      </c>
      <c r="E594" s="454" t="s">
        <v>1320</v>
      </c>
      <c r="F594" s="454" t="s">
        <v>273</v>
      </c>
      <c r="G594" s="459">
        <f>G595</f>
        <v>357</v>
      </c>
      <c r="H594" s="459">
        <f t="shared" si="291"/>
        <v>356.19099999999997</v>
      </c>
      <c r="I594" s="459">
        <f t="shared" si="288"/>
        <v>99.773389355742296</v>
      </c>
      <c r="J594" s="478"/>
      <c r="K594" s="463"/>
      <c r="L594" s="201"/>
    </row>
    <row r="595" spans="1:12" ht="15.75" x14ac:dyDescent="0.25">
      <c r="A595" s="458" t="s">
        <v>274</v>
      </c>
      <c r="B595" s="452">
        <v>906</v>
      </c>
      <c r="C595" s="454" t="s">
        <v>264</v>
      </c>
      <c r="D595" s="454" t="s">
        <v>118</v>
      </c>
      <c r="E595" s="454" t="s">
        <v>1320</v>
      </c>
      <c r="F595" s="454" t="s">
        <v>275</v>
      </c>
      <c r="G595" s="459">
        <v>357</v>
      </c>
      <c r="H595" s="459">
        <v>356.19099999999997</v>
      </c>
      <c r="I595" s="459">
        <f t="shared" si="288"/>
        <v>99.773389355742296</v>
      </c>
      <c r="J595" s="478"/>
      <c r="K595" s="463"/>
      <c r="L595" s="201"/>
    </row>
    <row r="596" spans="1:12" ht="31.5" x14ac:dyDescent="0.25">
      <c r="A596" s="29" t="s">
        <v>415</v>
      </c>
      <c r="B596" s="452">
        <v>906</v>
      </c>
      <c r="C596" s="454" t="s">
        <v>264</v>
      </c>
      <c r="D596" s="454" t="s">
        <v>118</v>
      </c>
      <c r="E596" s="454" t="s">
        <v>1239</v>
      </c>
      <c r="F596" s="454"/>
      <c r="G596" s="459">
        <f>G597</f>
        <v>4000</v>
      </c>
      <c r="H596" s="459">
        <f t="shared" ref="H596:H597" si="292">H597</f>
        <v>3525.8939999999998</v>
      </c>
      <c r="I596" s="459">
        <f t="shared" si="288"/>
        <v>88.147349999999989</v>
      </c>
      <c r="J596" s="478"/>
      <c r="K596" s="463"/>
      <c r="L596" s="201"/>
    </row>
    <row r="597" spans="1:12" ht="31.5" x14ac:dyDescent="0.25">
      <c r="A597" s="458" t="s">
        <v>272</v>
      </c>
      <c r="B597" s="452">
        <v>906</v>
      </c>
      <c r="C597" s="454" t="s">
        <v>264</v>
      </c>
      <c r="D597" s="454" t="s">
        <v>118</v>
      </c>
      <c r="E597" s="454" t="s">
        <v>1239</v>
      </c>
      <c r="F597" s="454" t="s">
        <v>273</v>
      </c>
      <c r="G597" s="459">
        <f>G598</f>
        <v>4000</v>
      </c>
      <c r="H597" s="459">
        <f t="shared" si="292"/>
        <v>3525.8939999999998</v>
      </c>
      <c r="I597" s="459">
        <f t="shared" si="288"/>
        <v>88.147349999999989</v>
      </c>
      <c r="J597" s="478"/>
      <c r="K597" s="463"/>
      <c r="L597" s="201"/>
    </row>
    <row r="598" spans="1:12" ht="15.75" x14ac:dyDescent="0.25">
      <c r="A598" s="458" t="s">
        <v>274</v>
      </c>
      <c r="B598" s="452">
        <v>906</v>
      </c>
      <c r="C598" s="454" t="s">
        <v>264</v>
      </c>
      <c r="D598" s="454" t="s">
        <v>118</v>
      </c>
      <c r="E598" s="454" t="s">
        <v>1239</v>
      </c>
      <c r="F598" s="454" t="s">
        <v>275</v>
      </c>
      <c r="G598" s="442">
        <f>4430-430-357+357</f>
        <v>4000</v>
      </c>
      <c r="H598" s="442">
        <v>3525.8939999999998</v>
      </c>
      <c r="I598" s="459">
        <f t="shared" si="288"/>
        <v>88.147349999999989</v>
      </c>
      <c r="J598" s="478"/>
      <c r="K598" s="463"/>
      <c r="L598" s="201"/>
    </row>
    <row r="599" spans="1:12" s="201" customFormat="1" ht="31.5" x14ac:dyDescent="0.25">
      <c r="A599" s="214" t="s">
        <v>948</v>
      </c>
      <c r="B599" s="453">
        <v>906</v>
      </c>
      <c r="C599" s="457" t="s">
        <v>264</v>
      </c>
      <c r="D599" s="457" t="s">
        <v>118</v>
      </c>
      <c r="E599" s="457" t="s">
        <v>1241</v>
      </c>
      <c r="F599" s="457"/>
      <c r="G599" s="44">
        <f>G600+G603+G606</f>
        <v>4348</v>
      </c>
      <c r="H599" s="44">
        <f t="shared" ref="H599" si="293">H600+H603+H606</f>
        <v>3958</v>
      </c>
      <c r="I599" s="455">
        <f t="shared" si="288"/>
        <v>91.030358785648573</v>
      </c>
      <c r="J599" s="478"/>
      <c r="K599" s="463"/>
    </row>
    <row r="600" spans="1:12" ht="31.7" hidden="1" customHeight="1" x14ac:dyDescent="0.25">
      <c r="A600" s="458" t="s">
        <v>284</v>
      </c>
      <c r="B600" s="452">
        <v>906</v>
      </c>
      <c r="C600" s="454" t="s">
        <v>264</v>
      </c>
      <c r="D600" s="454" t="s">
        <v>118</v>
      </c>
      <c r="E600" s="454" t="s">
        <v>1259</v>
      </c>
      <c r="F600" s="454"/>
      <c r="G600" s="459">
        <f>G601</f>
        <v>0</v>
      </c>
      <c r="H600" s="459">
        <f t="shared" ref="H600:H601" si="294">H601</f>
        <v>0</v>
      </c>
      <c r="I600" s="455" t="e">
        <f t="shared" si="288"/>
        <v>#DIV/0!</v>
      </c>
      <c r="J600" s="478"/>
      <c r="K600" s="463"/>
      <c r="L600" s="201"/>
    </row>
    <row r="601" spans="1:12" ht="38.25" hidden="1" customHeight="1" x14ac:dyDescent="0.25">
      <c r="A601" s="458" t="s">
        <v>272</v>
      </c>
      <c r="B601" s="452">
        <v>906</v>
      </c>
      <c r="C601" s="454" t="s">
        <v>264</v>
      </c>
      <c r="D601" s="454" t="s">
        <v>118</v>
      </c>
      <c r="E601" s="454" t="s">
        <v>1259</v>
      </c>
      <c r="F601" s="454" t="s">
        <v>273</v>
      </c>
      <c r="G601" s="459">
        <f>G602</f>
        <v>0</v>
      </c>
      <c r="H601" s="459">
        <f t="shared" si="294"/>
        <v>0</v>
      </c>
      <c r="I601" s="455" t="e">
        <f t="shared" si="288"/>
        <v>#DIV/0!</v>
      </c>
      <c r="J601" s="478"/>
      <c r="K601" s="463"/>
      <c r="L601" s="201"/>
    </row>
    <row r="602" spans="1:12" ht="15.75" hidden="1" customHeight="1" x14ac:dyDescent="0.25">
      <c r="A602" s="458" t="s">
        <v>274</v>
      </c>
      <c r="B602" s="452">
        <v>906</v>
      </c>
      <c r="C602" s="454" t="s">
        <v>264</v>
      </c>
      <c r="D602" s="454" t="s">
        <v>118</v>
      </c>
      <c r="E602" s="454" t="s">
        <v>1259</v>
      </c>
      <c r="F602" s="454" t="s">
        <v>275</v>
      </c>
      <c r="G602" s="459">
        <v>0</v>
      </c>
      <c r="H602" s="459">
        <v>0</v>
      </c>
      <c r="I602" s="455" t="e">
        <f t="shared" si="288"/>
        <v>#DIV/0!</v>
      </c>
      <c r="J602" s="478"/>
      <c r="K602" s="463"/>
      <c r="L602" s="201"/>
    </row>
    <row r="603" spans="1:12" ht="34.5" customHeight="1" x14ac:dyDescent="0.25">
      <c r="A603" s="60" t="s">
        <v>764</v>
      </c>
      <c r="B603" s="452">
        <v>906</v>
      </c>
      <c r="C603" s="454" t="s">
        <v>264</v>
      </c>
      <c r="D603" s="454" t="s">
        <v>118</v>
      </c>
      <c r="E603" s="454" t="s">
        <v>1242</v>
      </c>
      <c r="F603" s="454"/>
      <c r="G603" s="459">
        <f>G604</f>
        <v>3088</v>
      </c>
      <c r="H603" s="459">
        <f t="shared" ref="H603:H604" si="295">H604</f>
        <v>3088</v>
      </c>
      <c r="I603" s="459">
        <f t="shared" si="288"/>
        <v>100</v>
      </c>
      <c r="J603" s="478"/>
      <c r="K603" s="463"/>
      <c r="L603" s="201"/>
    </row>
    <row r="604" spans="1:12" ht="32.25" customHeight="1" x14ac:dyDescent="0.25">
      <c r="A604" s="29" t="s">
        <v>272</v>
      </c>
      <c r="B604" s="452">
        <v>906</v>
      </c>
      <c r="C604" s="454" t="s">
        <v>264</v>
      </c>
      <c r="D604" s="454" t="s">
        <v>118</v>
      </c>
      <c r="E604" s="454" t="s">
        <v>1242</v>
      </c>
      <c r="F604" s="454" t="s">
        <v>273</v>
      </c>
      <c r="G604" s="459">
        <f>G605</f>
        <v>3088</v>
      </c>
      <c r="H604" s="459">
        <f t="shared" si="295"/>
        <v>3088</v>
      </c>
      <c r="I604" s="459">
        <f t="shared" si="288"/>
        <v>100</v>
      </c>
      <c r="J604" s="478"/>
      <c r="K604" s="463"/>
      <c r="L604" s="201"/>
    </row>
    <row r="605" spans="1:12" ht="15.75" customHeight="1" x14ac:dyDescent="0.25">
      <c r="A605" s="182" t="s">
        <v>274</v>
      </c>
      <c r="B605" s="452">
        <v>906</v>
      </c>
      <c r="C605" s="454" t="s">
        <v>264</v>
      </c>
      <c r="D605" s="454" t="s">
        <v>118</v>
      </c>
      <c r="E605" s="454" t="s">
        <v>1242</v>
      </c>
      <c r="F605" s="454" t="s">
        <v>275</v>
      </c>
      <c r="G605" s="459">
        <v>3088</v>
      </c>
      <c r="H605" s="459">
        <v>3088</v>
      </c>
      <c r="I605" s="459">
        <f t="shared" si="288"/>
        <v>100</v>
      </c>
      <c r="J605" s="478"/>
      <c r="K605" s="463"/>
      <c r="L605" s="201"/>
    </row>
    <row r="606" spans="1:12" ht="50.25" customHeight="1" x14ac:dyDescent="0.25">
      <c r="A606" s="60" t="s">
        <v>765</v>
      </c>
      <c r="B606" s="452">
        <v>906</v>
      </c>
      <c r="C606" s="454" t="s">
        <v>264</v>
      </c>
      <c r="D606" s="454" t="s">
        <v>118</v>
      </c>
      <c r="E606" s="454" t="s">
        <v>1243</v>
      </c>
      <c r="F606" s="454"/>
      <c r="G606" s="459">
        <f>G607</f>
        <v>1260</v>
      </c>
      <c r="H606" s="459">
        <f t="shared" ref="H606:H607" si="296">H607</f>
        <v>870</v>
      </c>
      <c r="I606" s="459">
        <f t="shared" si="288"/>
        <v>69.047619047619051</v>
      </c>
      <c r="J606" s="478"/>
      <c r="K606" s="463"/>
      <c r="L606" s="201"/>
    </row>
    <row r="607" spans="1:12" ht="31.5" x14ac:dyDescent="0.25">
      <c r="A607" s="29" t="s">
        <v>272</v>
      </c>
      <c r="B607" s="452">
        <v>906</v>
      </c>
      <c r="C607" s="454" t="s">
        <v>264</v>
      </c>
      <c r="D607" s="454" t="s">
        <v>118</v>
      </c>
      <c r="E607" s="454" t="s">
        <v>1243</v>
      </c>
      <c r="F607" s="454" t="s">
        <v>273</v>
      </c>
      <c r="G607" s="459">
        <f>G608</f>
        <v>1260</v>
      </c>
      <c r="H607" s="459">
        <f t="shared" si="296"/>
        <v>870</v>
      </c>
      <c r="I607" s="459">
        <f t="shared" si="288"/>
        <v>69.047619047619051</v>
      </c>
      <c r="J607" s="478"/>
      <c r="K607" s="463"/>
      <c r="L607" s="201"/>
    </row>
    <row r="608" spans="1:12" ht="15.75" x14ac:dyDescent="0.25">
      <c r="A608" s="182" t="s">
        <v>274</v>
      </c>
      <c r="B608" s="452">
        <v>906</v>
      </c>
      <c r="C608" s="454" t="s">
        <v>264</v>
      </c>
      <c r="D608" s="454" t="s">
        <v>118</v>
      </c>
      <c r="E608" s="454" t="s">
        <v>1243</v>
      </c>
      <c r="F608" s="454" t="s">
        <v>275</v>
      </c>
      <c r="G608" s="459">
        <f>1760-500</f>
        <v>1260</v>
      </c>
      <c r="H608" s="459">
        <v>870</v>
      </c>
      <c r="I608" s="459">
        <f t="shared" si="288"/>
        <v>69.047619047619051</v>
      </c>
      <c r="J608" s="478"/>
      <c r="K608" s="463"/>
      <c r="L608" s="201"/>
    </row>
    <row r="609" spans="1:12" s="201" customFormat="1" ht="63" x14ac:dyDescent="0.25">
      <c r="A609" s="456" t="s">
        <v>933</v>
      </c>
      <c r="B609" s="453">
        <v>906</v>
      </c>
      <c r="C609" s="457" t="s">
        <v>264</v>
      </c>
      <c r="D609" s="457" t="s">
        <v>118</v>
      </c>
      <c r="E609" s="457" t="s">
        <v>1244</v>
      </c>
      <c r="F609" s="457"/>
      <c r="G609" s="455">
        <f>G610</f>
        <v>291.10000000000002</v>
      </c>
      <c r="H609" s="455">
        <f t="shared" ref="H609:H611" si="297">H610</f>
        <v>0</v>
      </c>
      <c r="I609" s="455">
        <f t="shared" si="288"/>
        <v>0</v>
      </c>
      <c r="J609" s="478"/>
      <c r="K609" s="463"/>
    </row>
    <row r="610" spans="1:12" ht="96.4" customHeight="1" x14ac:dyDescent="0.25">
      <c r="A610" s="458" t="s">
        <v>1515</v>
      </c>
      <c r="B610" s="452">
        <v>906</v>
      </c>
      <c r="C610" s="454" t="s">
        <v>264</v>
      </c>
      <c r="D610" s="454" t="s">
        <v>118</v>
      </c>
      <c r="E610" s="454" t="s">
        <v>1245</v>
      </c>
      <c r="F610" s="454"/>
      <c r="G610" s="459">
        <f>G611</f>
        <v>291.10000000000002</v>
      </c>
      <c r="H610" s="459">
        <f t="shared" si="297"/>
        <v>0</v>
      </c>
      <c r="I610" s="459">
        <f t="shared" si="288"/>
        <v>0</v>
      </c>
      <c r="J610" s="478"/>
      <c r="K610" s="463"/>
      <c r="L610" s="201"/>
    </row>
    <row r="611" spans="1:12" ht="31.5" x14ac:dyDescent="0.25">
      <c r="A611" s="29" t="s">
        <v>272</v>
      </c>
      <c r="B611" s="452">
        <v>906</v>
      </c>
      <c r="C611" s="454" t="s">
        <v>264</v>
      </c>
      <c r="D611" s="454" t="s">
        <v>118</v>
      </c>
      <c r="E611" s="454" t="s">
        <v>1245</v>
      </c>
      <c r="F611" s="454" t="s">
        <v>273</v>
      </c>
      <c r="G611" s="459">
        <f>G612</f>
        <v>291.10000000000002</v>
      </c>
      <c r="H611" s="459">
        <f t="shared" si="297"/>
        <v>0</v>
      </c>
      <c r="I611" s="459">
        <f t="shared" si="288"/>
        <v>0</v>
      </c>
      <c r="J611" s="478"/>
      <c r="K611" s="463"/>
      <c r="L611" s="201"/>
    </row>
    <row r="612" spans="1:12" ht="18.75" customHeight="1" x14ac:dyDescent="0.25">
      <c r="A612" s="182" t="s">
        <v>274</v>
      </c>
      <c r="B612" s="452">
        <v>906</v>
      </c>
      <c r="C612" s="454" t="s">
        <v>264</v>
      </c>
      <c r="D612" s="454" t="s">
        <v>118</v>
      </c>
      <c r="E612" s="454" t="s">
        <v>1245</v>
      </c>
      <c r="F612" s="454" t="s">
        <v>275</v>
      </c>
      <c r="G612" s="459">
        <f>124.4+166.7</f>
        <v>291.10000000000002</v>
      </c>
      <c r="H612" s="459">
        <v>0</v>
      </c>
      <c r="I612" s="459">
        <f t="shared" si="288"/>
        <v>0</v>
      </c>
      <c r="J612" s="478"/>
      <c r="K612" s="463"/>
      <c r="L612" s="201"/>
    </row>
    <row r="613" spans="1:12" s="201" customFormat="1" ht="84.2" customHeight="1" x14ac:dyDescent="0.25">
      <c r="A613" s="456" t="s">
        <v>1167</v>
      </c>
      <c r="B613" s="453">
        <v>906</v>
      </c>
      <c r="C613" s="457" t="s">
        <v>264</v>
      </c>
      <c r="D613" s="457" t="s">
        <v>118</v>
      </c>
      <c r="E613" s="457" t="s">
        <v>1247</v>
      </c>
      <c r="F613" s="457"/>
      <c r="G613" s="455">
        <f>G614+G617</f>
        <v>1738</v>
      </c>
      <c r="H613" s="455">
        <f t="shared" ref="H613" si="298">H614+H617</f>
        <v>593.89490000000001</v>
      </c>
      <c r="I613" s="455">
        <f t="shared" si="288"/>
        <v>34.171168009205985</v>
      </c>
      <c r="J613" s="478"/>
      <c r="K613" s="463"/>
    </row>
    <row r="614" spans="1:12" s="201" customFormat="1" ht="79.5" customHeight="1" x14ac:dyDescent="0.25">
      <c r="A614" s="149" t="s">
        <v>1516</v>
      </c>
      <c r="B614" s="452">
        <v>906</v>
      </c>
      <c r="C614" s="454" t="s">
        <v>264</v>
      </c>
      <c r="D614" s="454" t="s">
        <v>118</v>
      </c>
      <c r="E614" s="454" t="s">
        <v>1248</v>
      </c>
      <c r="F614" s="454"/>
      <c r="G614" s="459">
        <f>G615</f>
        <v>1738</v>
      </c>
      <c r="H614" s="459">
        <f t="shared" ref="H614:H615" si="299">H615</f>
        <v>593.89490000000001</v>
      </c>
      <c r="I614" s="459">
        <f t="shared" si="288"/>
        <v>34.171168009205985</v>
      </c>
      <c r="J614" s="478"/>
      <c r="K614" s="463"/>
    </row>
    <row r="615" spans="1:12" s="201" customFormat="1" ht="33.75" customHeight="1" x14ac:dyDescent="0.25">
      <c r="A615" s="458" t="s">
        <v>272</v>
      </c>
      <c r="B615" s="452">
        <v>906</v>
      </c>
      <c r="C615" s="454" t="s">
        <v>264</v>
      </c>
      <c r="D615" s="454" t="s">
        <v>118</v>
      </c>
      <c r="E615" s="454" t="s">
        <v>1248</v>
      </c>
      <c r="F615" s="454" t="s">
        <v>273</v>
      </c>
      <c r="G615" s="459">
        <f>G616</f>
        <v>1738</v>
      </c>
      <c r="H615" s="459">
        <f t="shared" si="299"/>
        <v>593.89490000000001</v>
      </c>
      <c r="I615" s="459">
        <f t="shared" si="288"/>
        <v>34.171168009205985</v>
      </c>
      <c r="J615" s="478"/>
      <c r="K615" s="463"/>
    </row>
    <row r="616" spans="1:12" s="201" customFormat="1" ht="18.75" customHeight="1" x14ac:dyDescent="0.25">
      <c r="A616" s="458" t="s">
        <v>274</v>
      </c>
      <c r="B616" s="452">
        <v>906</v>
      </c>
      <c r="C616" s="454" t="s">
        <v>264</v>
      </c>
      <c r="D616" s="454" t="s">
        <v>118</v>
      </c>
      <c r="E616" s="454" t="s">
        <v>1248</v>
      </c>
      <c r="F616" s="454" t="s">
        <v>275</v>
      </c>
      <c r="G616" s="459">
        <f>1666.6+71.4</f>
        <v>1738</v>
      </c>
      <c r="H616" s="459">
        <v>593.89490000000001</v>
      </c>
      <c r="I616" s="459">
        <f t="shared" si="288"/>
        <v>34.171168009205985</v>
      </c>
      <c r="J616" s="478"/>
      <c r="K616" s="463"/>
    </row>
    <row r="617" spans="1:12" s="201" customFormat="1" ht="82.5" hidden="1" customHeight="1" x14ac:dyDescent="0.25">
      <c r="A617" s="149" t="s">
        <v>1182</v>
      </c>
      <c r="B617" s="452">
        <v>906</v>
      </c>
      <c r="C617" s="454" t="s">
        <v>264</v>
      </c>
      <c r="D617" s="454" t="s">
        <v>118</v>
      </c>
      <c r="E617" s="454" t="s">
        <v>1249</v>
      </c>
      <c r="F617" s="454"/>
      <c r="G617" s="459">
        <f>G618</f>
        <v>0</v>
      </c>
      <c r="H617" s="459">
        <f t="shared" ref="H617:H618" si="300">H618</f>
        <v>0</v>
      </c>
      <c r="I617" s="459" t="e">
        <f t="shared" si="288"/>
        <v>#DIV/0!</v>
      </c>
      <c r="J617" s="478"/>
      <c r="K617" s="463"/>
    </row>
    <row r="618" spans="1:12" s="201" customFormat="1" ht="36.75" hidden="1" customHeight="1" x14ac:dyDescent="0.25">
      <c r="A618" s="458" t="s">
        <v>272</v>
      </c>
      <c r="B618" s="452">
        <v>906</v>
      </c>
      <c r="C618" s="454" t="s">
        <v>264</v>
      </c>
      <c r="D618" s="454" t="s">
        <v>118</v>
      </c>
      <c r="E618" s="454" t="s">
        <v>1249</v>
      </c>
      <c r="F618" s="454" t="s">
        <v>273</v>
      </c>
      <c r="G618" s="459">
        <f>G619</f>
        <v>0</v>
      </c>
      <c r="H618" s="459">
        <f t="shared" si="300"/>
        <v>0</v>
      </c>
      <c r="I618" s="459" t="e">
        <f t="shared" si="288"/>
        <v>#DIV/0!</v>
      </c>
      <c r="J618" s="478"/>
      <c r="K618" s="463"/>
    </row>
    <row r="619" spans="1:12" s="201" customFormat="1" ht="18.75" hidden="1" customHeight="1" x14ac:dyDescent="0.25">
      <c r="A619" s="458" t="s">
        <v>274</v>
      </c>
      <c r="B619" s="452">
        <v>906</v>
      </c>
      <c r="C619" s="454" t="s">
        <v>264</v>
      </c>
      <c r="D619" s="454" t="s">
        <v>118</v>
      </c>
      <c r="E619" s="454" t="s">
        <v>1249</v>
      </c>
      <c r="F619" s="454" t="s">
        <v>275</v>
      </c>
      <c r="G619" s="459"/>
      <c r="H619" s="459"/>
      <c r="I619" s="459" t="e">
        <f t="shared" si="288"/>
        <v>#DIV/0!</v>
      </c>
      <c r="J619" s="478"/>
      <c r="K619" s="463"/>
    </row>
    <row r="620" spans="1:12" s="201" customFormat="1" ht="31.5" x14ac:dyDescent="0.25">
      <c r="A620" s="288" t="s">
        <v>1661</v>
      </c>
      <c r="B620" s="453">
        <v>906</v>
      </c>
      <c r="C620" s="457" t="s">
        <v>264</v>
      </c>
      <c r="D620" s="457" t="s">
        <v>118</v>
      </c>
      <c r="E620" s="457" t="s">
        <v>1663</v>
      </c>
      <c r="F620" s="457"/>
      <c r="G620" s="459">
        <f>G621</f>
        <v>238.61500000000001</v>
      </c>
      <c r="H620" s="459">
        <f t="shared" ref="H620:H622" si="301">H621</f>
        <v>0</v>
      </c>
      <c r="I620" s="459">
        <f t="shared" si="288"/>
        <v>0</v>
      </c>
      <c r="J620" s="478"/>
      <c r="K620" s="463"/>
    </row>
    <row r="621" spans="1:12" s="201" customFormat="1" ht="31.5" x14ac:dyDescent="0.25">
      <c r="A621" s="287" t="s">
        <v>1662</v>
      </c>
      <c r="B621" s="452">
        <v>906</v>
      </c>
      <c r="C621" s="454" t="s">
        <v>264</v>
      </c>
      <c r="D621" s="454" t="s">
        <v>118</v>
      </c>
      <c r="E621" s="454" t="s">
        <v>1664</v>
      </c>
      <c r="F621" s="454"/>
      <c r="G621" s="459">
        <f>G622</f>
        <v>238.61500000000001</v>
      </c>
      <c r="H621" s="459">
        <f t="shared" si="301"/>
        <v>0</v>
      </c>
      <c r="I621" s="459">
        <f t="shared" si="288"/>
        <v>0</v>
      </c>
      <c r="J621" s="478"/>
      <c r="K621" s="463"/>
    </row>
    <row r="622" spans="1:12" s="201" customFormat="1" ht="31.5" x14ac:dyDescent="0.25">
      <c r="A622" s="31" t="s">
        <v>272</v>
      </c>
      <c r="B622" s="452">
        <v>906</v>
      </c>
      <c r="C622" s="454" t="s">
        <v>264</v>
      </c>
      <c r="D622" s="454" t="s">
        <v>118</v>
      </c>
      <c r="E622" s="454" t="s">
        <v>1664</v>
      </c>
      <c r="F622" s="454" t="s">
        <v>273</v>
      </c>
      <c r="G622" s="459">
        <f>G623</f>
        <v>238.61500000000001</v>
      </c>
      <c r="H622" s="459">
        <f t="shared" si="301"/>
        <v>0</v>
      </c>
      <c r="I622" s="459">
        <f t="shared" si="288"/>
        <v>0</v>
      </c>
      <c r="J622" s="478"/>
      <c r="K622" s="463"/>
    </row>
    <row r="623" spans="1:12" s="201" customFormat="1" ht="18.75" customHeight="1" x14ac:dyDescent="0.25">
      <c r="A623" s="31" t="s">
        <v>274</v>
      </c>
      <c r="B623" s="452">
        <v>906</v>
      </c>
      <c r="C623" s="454" t="s">
        <v>264</v>
      </c>
      <c r="D623" s="454" t="s">
        <v>118</v>
      </c>
      <c r="E623" s="454" t="s">
        <v>1664</v>
      </c>
      <c r="F623" s="454" t="s">
        <v>275</v>
      </c>
      <c r="G623" s="459">
        <f>228.8+9.815</f>
        <v>238.61500000000001</v>
      </c>
      <c r="H623" s="459">
        <v>0</v>
      </c>
      <c r="I623" s="459">
        <f t="shared" si="288"/>
        <v>0</v>
      </c>
      <c r="J623" s="478"/>
      <c r="K623" s="463"/>
    </row>
    <row r="624" spans="1:12" s="201" customFormat="1" ht="33" customHeight="1" x14ac:dyDescent="0.25">
      <c r="A624" s="288" t="s">
        <v>1669</v>
      </c>
      <c r="B624" s="453">
        <v>906</v>
      </c>
      <c r="C624" s="457" t="s">
        <v>264</v>
      </c>
      <c r="D624" s="457" t="s">
        <v>118</v>
      </c>
      <c r="E624" s="457" t="s">
        <v>1672</v>
      </c>
      <c r="F624" s="457"/>
      <c r="G624" s="455">
        <f>G625</f>
        <v>2606.89</v>
      </c>
      <c r="H624" s="455">
        <f t="shared" ref="H624:H626" si="302">H625</f>
        <v>1649.3989999999999</v>
      </c>
      <c r="I624" s="455">
        <f t="shared" si="288"/>
        <v>63.270755574650252</v>
      </c>
      <c r="J624" s="478"/>
      <c r="K624" s="463"/>
    </row>
    <row r="625" spans="1:14" s="201" customFormat="1" ht="33" customHeight="1" x14ac:dyDescent="0.25">
      <c r="A625" s="287" t="s">
        <v>1670</v>
      </c>
      <c r="B625" s="452">
        <v>906</v>
      </c>
      <c r="C625" s="454" t="s">
        <v>264</v>
      </c>
      <c r="D625" s="454" t="s">
        <v>118</v>
      </c>
      <c r="E625" s="454" t="s">
        <v>1671</v>
      </c>
      <c r="F625" s="454"/>
      <c r="G625" s="459">
        <f>G626</f>
        <v>2606.89</v>
      </c>
      <c r="H625" s="459">
        <f t="shared" si="302"/>
        <v>1649.3989999999999</v>
      </c>
      <c r="I625" s="459">
        <f t="shared" si="288"/>
        <v>63.270755574650252</v>
      </c>
      <c r="J625" s="478"/>
      <c r="K625" s="463"/>
    </row>
    <row r="626" spans="1:14" s="201" customFormat="1" ht="31.5" x14ac:dyDescent="0.25">
      <c r="A626" s="31" t="s">
        <v>272</v>
      </c>
      <c r="B626" s="452">
        <v>906</v>
      </c>
      <c r="C626" s="454" t="s">
        <v>264</v>
      </c>
      <c r="D626" s="454" t="s">
        <v>118</v>
      </c>
      <c r="E626" s="454" t="s">
        <v>1671</v>
      </c>
      <c r="F626" s="454" t="s">
        <v>273</v>
      </c>
      <c r="G626" s="459">
        <f>G627</f>
        <v>2606.89</v>
      </c>
      <c r="H626" s="459">
        <f t="shared" si="302"/>
        <v>1649.3989999999999</v>
      </c>
      <c r="I626" s="459">
        <f t="shared" si="288"/>
        <v>63.270755574650252</v>
      </c>
      <c r="J626" s="478"/>
      <c r="K626" s="463"/>
    </row>
    <row r="627" spans="1:14" s="201" customFormat="1" ht="18.75" customHeight="1" x14ac:dyDescent="0.25">
      <c r="A627" s="31" t="s">
        <v>274</v>
      </c>
      <c r="B627" s="452">
        <v>906</v>
      </c>
      <c r="C627" s="454" t="s">
        <v>264</v>
      </c>
      <c r="D627" s="454" t="s">
        <v>118</v>
      </c>
      <c r="E627" s="454" t="s">
        <v>1671</v>
      </c>
      <c r="F627" s="454" t="s">
        <v>275</v>
      </c>
      <c r="G627" s="459">
        <f>2500+106.89</f>
        <v>2606.89</v>
      </c>
      <c r="H627" s="459">
        <v>1649.3989999999999</v>
      </c>
      <c r="I627" s="459">
        <f t="shared" si="288"/>
        <v>63.270755574650252</v>
      </c>
      <c r="J627" s="478"/>
      <c r="K627" s="463"/>
      <c r="M627" s="469"/>
      <c r="N627" s="201" t="s">
        <v>1674</v>
      </c>
    </row>
    <row r="628" spans="1:14" ht="46.9" customHeight="1" x14ac:dyDescent="0.25">
      <c r="A628" s="34" t="s">
        <v>1360</v>
      </c>
      <c r="B628" s="453">
        <v>906</v>
      </c>
      <c r="C628" s="457" t="s">
        <v>264</v>
      </c>
      <c r="D628" s="457" t="s">
        <v>118</v>
      </c>
      <c r="E628" s="457" t="s">
        <v>324</v>
      </c>
      <c r="F628" s="457"/>
      <c r="G628" s="455">
        <f>G629</f>
        <v>95</v>
      </c>
      <c r="H628" s="455">
        <f t="shared" ref="H628:H631" si="303">H629</f>
        <v>94.78</v>
      </c>
      <c r="I628" s="455">
        <f t="shared" si="288"/>
        <v>99.768421052631581</v>
      </c>
      <c r="J628" s="478"/>
      <c r="K628" s="463"/>
      <c r="L628" s="201"/>
    </row>
    <row r="629" spans="1:14" s="201" customFormat="1" ht="49.7" customHeight="1" x14ac:dyDescent="0.25">
      <c r="A629" s="34" t="s">
        <v>1009</v>
      </c>
      <c r="B629" s="453">
        <v>906</v>
      </c>
      <c r="C629" s="457" t="s">
        <v>264</v>
      </c>
      <c r="D629" s="457" t="s">
        <v>118</v>
      </c>
      <c r="E629" s="457" t="s">
        <v>934</v>
      </c>
      <c r="F629" s="457"/>
      <c r="G629" s="455">
        <f>G630</f>
        <v>95</v>
      </c>
      <c r="H629" s="455">
        <f t="shared" si="303"/>
        <v>94.78</v>
      </c>
      <c r="I629" s="455">
        <f t="shared" si="288"/>
        <v>99.768421052631581</v>
      </c>
      <c r="J629" s="478"/>
      <c r="K629" s="463"/>
    </row>
    <row r="630" spans="1:14" ht="48.95" customHeight="1" x14ac:dyDescent="0.25">
      <c r="A630" s="31" t="s">
        <v>1082</v>
      </c>
      <c r="B630" s="452">
        <v>906</v>
      </c>
      <c r="C630" s="454" t="s">
        <v>264</v>
      </c>
      <c r="D630" s="454" t="s">
        <v>118</v>
      </c>
      <c r="E630" s="454" t="s">
        <v>935</v>
      </c>
      <c r="F630" s="454"/>
      <c r="G630" s="459">
        <f>G631</f>
        <v>95</v>
      </c>
      <c r="H630" s="459">
        <f t="shared" si="303"/>
        <v>94.78</v>
      </c>
      <c r="I630" s="459">
        <f t="shared" si="288"/>
        <v>99.768421052631581</v>
      </c>
      <c r="J630" s="478"/>
      <c r="K630" s="463"/>
      <c r="L630" s="201"/>
    </row>
    <row r="631" spans="1:14" ht="42" customHeight="1" x14ac:dyDescent="0.25">
      <c r="A631" s="31" t="s">
        <v>272</v>
      </c>
      <c r="B631" s="452">
        <v>906</v>
      </c>
      <c r="C631" s="454" t="s">
        <v>264</v>
      </c>
      <c r="D631" s="454" t="s">
        <v>118</v>
      </c>
      <c r="E631" s="454" t="s">
        <v>935</v>
      </c>
      <c r="F631" s="454" t="s">
        <v>273</v>
      </c>
      <c r="G631" s="459">
        <f>G632</f>
        <v>95</v>
      </c>
      <c r="H631" s="459">
        <f t="shared" si="303"/>
        <v>94.78</v>
      </c>
      <c r="I631" s="459">
        <f t="shared" si="288"/>
        <v>99.768421052631581</v>
      </c>
      <c r="J631" s="478"/>
      <c r="K631" s="463"/>
      <c r="L631" s="201"/>
    </row>
    <row r="632" spans="1:14" ht="16.5" customHeight="1" x14ac:dyDescent="0.25">
      <c r="A632" s="31" t="s">
        <v>274</v>
      </c>
      <c r="B632" s="452">
        <v>906</v>
      </c>
      <c r="C632" s="454" t="s">
        <v>264</v>
      </c>
      <c r="D632" s="454" t="s">
        <v>118</v>
      </c>
      <c r="E632" s="454" t="s">
        <v>935</v>
      </c>
      <c r="F632" s="454" t="s">
        <v>275</v>
      </c>
      <c r="G632" s="459">
        <f>95-70+70</f>
        <v>95</v>
      </c>
      <c r="H632" s="459">
        <v>94.78</v>
      </c>
      <c r="I632" s="459">
        <f t="shared" si="288"/>
        <v>99.768421052631581</v>
      </c>
      <c r="J632" s="478"/>
      <c r="K632" s="463"/>
      <c r="L632" s="201"/>
    </row>
    <row r="633" spans="1:14" ht="46.5" customHeight="1" x14ac:dyDescent="0.25">
      <c r="A633" s="462" t="s">
        <v>1344</v>
      </c>
      <c r="B633" s="453">
        <v>906</v>
      </c>
      <c r="C633" s="457" t="s">
        <v>264</v>
      </c>
      <c r="D633" s="457" t="s">
        <v>118</v>
      </c>
      <c r="E633" s="457" t="s">
        <v>705</v>
      </c>
      <c r="F633" s="465"/>
      <c r="G633" s="455">
        <f>G635</f>
        <v>576.20000000000005</v>
      </c>
      <c r="H633" s="455">
        <f t="shared" ref="H633" si="304">H635</f>
        <v>392.23480000000001</v>
      </c>
      <c r="I633" s="455">
        <f t="shared" si="288"/>
        <v>68.072683096147173</v>
      </c>
      <c r="J633" s="478"/>
      <c r="K633" s="463"/>
      <c r="L633" s="201"/>
    </row>
    <row r="634" spans="1:14" s="201" customFormat="1" ht="46.5" customHeight="1" x14ac:dyDescent="0.25">
      <c r="A634" s="462" t="s">
        <v>890</v>
      </c>
      <c r="B634" s="453">
        <v>906</v>
      </c>
      <c r="C634" s="457" t="s">
        <v>264</v>
      </c>
      <c r="D634" s="457" t="s">
        <v>118</v>
      </c>
      <c r="E634" s="457" t="s">
        <v>888</v>
      </c>
      <c r="F634" s="465"/>
      <c r="G634" s="455">
        <f>G635</f>
        <v>576.20000000000005</v>
      </c>
      <c r="H634" s="455">
        <f t="shared" ref="H634:H636" si="305">H635</f>
        <v>392.23480000000001</v>
      </c>
      <c r="I634" s="455">
        <f t="shared" si="288"/>
        <v>68.072683096147173</v>
      </c>
      <c r="J634" s="478"/>
      <c r="K634" s="463"/>
    </row>
    <row r="635" spans="1:14" ht="36" customHeight="1" x14ac:dyDescent="0.25">
      <c r="A635" s="98" t="s">
        <v>780</v>
      </c>
      <c r="B635" s="452">
        <v>906</v>
      </c>
      <c r="C635" s="454" t="s">
        <v>264</v>
      </c>
      <c r="D635" s="454" t="s">
        <v>118</v>
      </c>
      <c r="E635" s="454" t="s">
        <v>936</v>
      </c>
      <c r="F635" s="460"/>
      <c r="G635" s="459">
        <f>G636</f>
        <v>576.20000000000005</v>
      </c>
      <c r="H635" s="459">
        <f t="shared" si="305"/>
        <v>392.23480000000001</v>
      </c>
      <c r="I635" s="459">
        <f t="shared" si="288"/>
        <v>68.072683096147173</v>
      </c>
      <c r="J635" s="478"/>
      <c r="K635" s="463"/>
      <c r="L635" s="201"/>
    </row>
    <row r="636" spans="1:14" ht="35.450000000000003" customHeight="1" x14ac:dyDescent="0.25">
      <c r="A636" s="29" t="s">
        <v>272</v>
      </c>
      <c r="B636" s="452">
        <v>906</v>
      </c>
      <c r="C636" s="454" t="s">
        <v>264</v>
      </c>
      <c r="D636" s="454" t="s">
        <v>118</v>
      </c>
      <c r="E636" s="454" t="s">
        <v>936</v>
      </c>
      <c r="F636" s="460" t="s">
        <v>273</v>
      </c>
      <c r="G636" s="459">
        <f>G637</f>
        <v>576.20000000000005</v>
      </c>
      <c r="H636" s="459">
        <f t="shared" si="305"/>
        <v>392.23480000000001</v>
      </c>
      <c r="I636" s="459">
        <f t="shared" si="288"/>
        <v>68.072683096147173</v>
      </c>
      <c r="J636" s="478"/>
      <c r="K636" s="463"/>
      <c r="L636" s="201"/>
    </row>
    <row r="637" spans="1:14" ht="15.75" customHeight="1" x14ac:dyDescent="0.25">
      <c r="A637" s="182" t="s">
        <v>274</v>
      </c>
      <c r="B637" s="452">
        <v>906</v>
      </c>
      <c r="C637" s="454" t="s">
        <v>264</v>
      </c>
      <c r="D637" s="454" t="s">
        <v>118</v>
      </c>
      <c r="E637" s="454" t="s">
        <v>936</v>
      </c>
      <c r="F637" s="460" t="s">
        <v>275</v>
      </c>
      <c r="G637" s="459">
        <f>549+27.2</f>
        <v>576.20000000000005</v>
      </c>
      <c r="H637" s="459">
        <v>392.23480000000001</v>
      </c>
      <c r="I637" s="459">
        <f t="shared" si="288"/>
        <v>68.072683096147173</v>
      </c>
      <c r="J637" s="478"/>
      <c r="K637" s="463"/>
      <c r="L637" s="201"/>
    </row>
    <row r="638" spans="1:14" ht="15.75" x14ac:dyDescent="0.25">
      <c r="A638" s="456" t="s">
        <v>425</v>
      </c>
      <c r="B638" s="453">
        <v>906</v>
      </c>
      <c r="C638" s="457" t="s">
        <v>264</v>
      </c>
      <c r="D638" s="457" t="s">
        <v>213</v>
      </c>
      <c r="E638" s="457"/>
      <c r="F638" s="457"/>
      <c r="G638" s="455">
        <f>G639+G719+G724</f>
        <v>198479.35500000001</v>
      </c>
      <c r="H638" s="455">
        <f t="shared" ref="H638" si="306">H639+H719+H724</f>
        <v>145652.90815</v>
      </c>
      <c r="I638" s="455">
        <f t="shared" si="288"/>
        <v>73.384412273004401</v>
      </c>
      <c r="J638" s="478"/>
      <c r="K638" s="463"/>
      <c r="L638" s="201"/>
    </row>
    <row r="639" spans="1:14" ht="36.75" customHeight="1" x14ac:dyDescent="0.25">
      <c r="A639" s="456" t="s">
        <v>1361</v>
      </c>
      <c r="B639" s="453">
        <v>906</v>
      </c>
      <c r="C639" s="457" t="s">
        <v>264</v>
      </c>
      <c r="D639" s="457" t="s">
        <v>213</v>
      </c>
      <c r="E639" s="457" t="s">
        <v>406</v>
      </c>
      <c r="F639" s="457"/>
      <c r="G639" s="455">
        <f>G640+G644+G663+G676+G683+G687+G691+G711+G695+G699+G715+G703+G707</f>
        <v>197642.35500000001</v>
      </c>
      <c r="H639" s="455">
        <f t="shared" ref="H639" si="307">H640+H644+H663+H676+H683+H687+H691+H711+H695+H699+H715+H703+H707</f>
        <v>145130.74015</v>
      </c>
      <c r="I639" s="455">
        <f t="shared" si="288"/>
        <v>73.430991120299083</v>
      </c>
      <c r="J639" s="478"/>
      <c r="K639" s="463"/>
      <c r="L639" s="201"/>
    </row>
    <row r="640" spans="1:14" s="201" customFormat="1" ht="37.5" customHeight="1" x14ac:dyDescent="0.25">
      <c r="A640" s="456" t="s">
        <v>937</v>
      </c>
      <c r="B640" s="453">
        <v>906</v>
      </c>
      <c r="C640" s="457" t="s">
        <v>264</v>
      </c>
      <c r="D640" s="457" t="s">
        <v>213</v>
      </c>
      <c r="E640" s="457" t="s">
        <v>1231</v>
      </c>
      <c r="F640" s="457"/>
      <c r="G640" s="455">
        <f>G641</f>
        <v>31571.8</v>
      </c>
      <c r="H640" s="455">
        <f t="shared" ref="H640:H642" si="308">H641</f>
        <v>18895.798999999999</v>
      </c>
      <c r="I640" s="455">
        <f t="shared" si="288"/>
        <v>59.850242938318374</v>
      </c>
      <c r="J640" s="478"/>
      <c r="K640" s="463"/>
    </row>
    <row r="641" spans="1:12" ht="31.5" x14ac:dyDescent="0.25">
      <c r="A641" s="458" t="s">
        <v>1237</v>
      </c>
      <c r="B641" s="452">
        <v>906</v>
      </c>
      <c r="C641" s="454" t="s">
        <v>264</v>
      </c>
      <c r="D641" s="454" t="s">
        <v>213</v>
      </c>
      <c r="E641" s="454" t="s">
        <v>1250</v>
      </c>
      <c r="F641" s="454"/>
      <c r="G641" s="459">
        <f>G642</f>
        <v>31571.8</v>
      </c>
      <c r="H641" s="459">
        <f t="shared" si="308"/>
        <v>18895.798999999999</v>
      </c>
      <c r="I641" s="459">
        <f t="shared" si="288"/>
        <v>59.850242938318374</v>
      </c>
      <c r="J641" s="478"/>
      <c r="K641" s="463"/>
      <c r="L641" s="201"/>
    </row>
    <row r="642" spans="1:12" ht="32.25" customHeight="1" x14ac:dyDescent="0.25">
      <c r="A642" s="458" t="s">
        <v>272</v>
      </c>
      <c r="B642" s="452">
        <v>906</v>
      </c>
      <c r="C642" s="454" t="s">
        <v>264</v>
      </c>
      <c r="D642" s="454" t="s">
        <v>213</v>
      </c>
      <c r="E642" s="454" t="s">
        <v>1250</v>
      </c>
      <c r="F642" s="454" t="s">
        <v>273</v>
      </c>
      <c r="G642" s="459">
        <f>G643</f>
        <v>31571.8</v>
      </c>
      <c r="H642" s="459">
        <f t="shared" si="308"/>
        <v>18895.798999999999</v>
      </c>
      <c r="I642" s="459">
        <f t="shared" si="288"/>
        <v>59.850242938318374</v>
      </c>
      <c r="J642" s="478"/>
      <c r="K642" s="463"/>
      <c r="L642" s="201"/>
    </row>
    <row r="643" spans="1:12" ht="15.75" x14ac:dyDescent="0.25">
      <c r="A643" s="458" t="s">
        <v>274</v>
      </c>
      <c r="B643" s="452">
        <v>906</v>
      </c>
      <c r="C643" s="454" t="s">
        <v>264</v>
      </c>
      <c r="D643" s="454" t="s">
        <v>213</v>
      </c>
      <c r="E643" s="454" t="s">
        <v>1250</v>
      </c>
      <c r="F643" s="454" t="s">
        <v>275</v>
      </c>
      <c r="G643" s="27">
        <f>30805-2114.2+2925-44</f>
        <v>31571.8</v>
      </c>
      <c r="H643" s="27">
        <v>18895.798999999999</v>
      </c>
      <c r="I643" s="459">
        <f t="shared" si="288"/>
        <v>59.850242938318374</v>
      </c>
      <c r="J643" s="482"/>
      <c r="K643" s="463"/>
      <c r="L643" s="201"/>
    </row>
    <row r="644" spans="1:12" s="201" customFormat="1" ht="36.75" customHeight="1" x14ac:dyDescent="0.25">
      <c r="A644" s="456" t="s">
        <v>900</v>
      </c>
      <c r="B644" s="453">
        <v>906</v>
      </c>
      <c r="C644" s="457" t="s">
        <v>264</v>
      </c>
      <c r="D644" s="457" t="s">
        <v>213</v>
      </c>
      <c r="E644" s="457" t="s">
        <v>1233</v>
      </c>
      <c r="F644" s="457"/>
      <c r="G644" s="44">
        <f>G651+G654+G657+G660+G648+G645</f>
        <v>142613.37000000002</v>
      </c>
      <c r="H644" s="44">
        <f t="shared" ref="H644" si="309">H651+H654+H657+H660+H648+H645</f>
        <v>110855.711</v>
      </c>
      <c r="I644" s="455">
        <f t="shared" si="288"/>
        <v>77.731639747381308</v>
      </c>
      <c r="J644" s="478"/>
      <c r="K644" s="463"/>
    </row>
    <row r="645" spans="1:12" s="201" customFormat="1" ht="50.25" customHeight="1" x14ac:dyDescent="0.25">
      <c r="A645" s="458" t="s">
        <v>1395</v>
      </c>
      <c r="B645" s="452">
        <v>906</v>
      </c>
      <c r="C645" s="454" t="s">
        <v>264</v>
      </c>
      <c r="D645" s="454" t="s">
        <v>213</v>
      </c>
      <c r="E645" s="454" t="s">
        <v>1396</v>
      </c>
      <c r="F645" s="454"/>
      <c r="G645" s="27">
        <f>G646</f>
        <v>7226.1</v>
      </c>
      <c r="H645" s="27">
        <f t="shared" ref="H645:H646" si="310">H646</f>
        <v>4980.875</v>
      </c>
      <c r="I645" s="459">
        <f t="shared" si="288"/>
        <v>68.928951993468118</v>
      </c>
      <c r="J645" s="478"/>
      <c r="K645" s="463"/>
    </row>
    <row r="646" spans="1:12" s="201" customFormat="1" ht="36.75" customHeight="1" x14ac:dyDescent="0.25">
      <c r="A646" s="458" t="s">
        <v>272</v>
      </c>
      <c r="B646" s="452">
        <v>906</v>
      </c>
      <c r="C646" s="454" t="s">
        <v>264</v>
      </c>
      <c r="D646" s="454" t="s">
        <v>213</v>
      </c>
      <c r="E646" s="454" t="s">
        <v>1396</v>
      </c>
      <c r="F646" s="454" t="s">
        <v>273</v>
      </c>
      <c r="G646" s="27">
        <f>G647</f>
        <v>7226.1</v>
      </c>
      <c r="H646" s="27">
        <f t="shared" si="310"/>
        <v>4980.875</v>
      </c>
      <c r="I646" s="459">
        <f t="shared" si="288"/>
        <v>68.928951993468118</v>
      </c>
      <c r="J646" s="478"/>
      <c r="K646" s="463"/>
    </row>
    <row r="647" spans="1:12" s="201" customFormat="1" ht="19.7" customHeight="1" x14ac:dyDescent="0.25">
      <c r="A647" s="458" t="s">
        <v>274</v>
      </c>
      <c r="B647" s="452">
        <v>906</v>
      </c>
      <c r="C647" s="454" t="s">
        <v>264</v>
      </c>
      <c r="D647" s="454" t="s">
        <v>213</v>
      </c>
      <c r="E647" s="454" t="s">
        <v>1396</v>
      </c>
      <c r="F647" s="454" t="s">
        <v>275</v>
      </c>
      <c r="G647" s="27">
        <v>7226.1</v>
      </c>
      <c r="H647" s="27">
        <v>4980.875</v>
      </c>
      <c r="I647" s="459">
        <f t="shared" si="288"/>
        <v>68.928951993468118</v>
      </c>
      <c r="J647" s="478"/>
      <c r="K647" s="463"/>
    </row>
    <row r="648" spans="1:12" s="201" customFormat="1" ht="88.35" customHeight="1" x14ac:dyDescent="0.25">
      <c r="A648" s="31" t="s">
        <v>293</v>
      </c>
      <c r="B648" s="452">
        <v>906</v>
      </c>
      <c r="C648" s="454" t="s">
        <v>264</v>
      </c>
      <c r="D648" s="454" t="s">
        <v>213</v>
      </c>
      <c r="E648" s="454" t="s">
        <v>1393</v>
      </c>
      <c r="F648" s="454"/>
      <c r="G648" s="459">
        <f>G649</f>
        <v>4610</v>
      </c>
      <c r="H648" s="459">
        <f t="shared" ref="H648:H649" si="311">H649</f>
        <v>3479.2</v>
      </c>
      <c r="I648" s="459">
        <f t="shared" si="288"/>
        <v>75.470715835140993</v>
      </c>
      <c r="J648" s="478"/>
      <c r="K648" s="463"/>
    </row>
    <row r="649" spans="1:12" s="201" customFormat="1" ht="36.75" customHeight="1" x14ac:dyDescent="0.25">
      <c r="A649" s="458" t="s">
        <v>272</v>
      </c>
      <c r="B649" s="452">
        <v>906</v>
      </c>
      <c r="C649" s="454" t="s">
        <v>264</v>
      </c>
      <c r="D649" s="454" t="s">
        <v>213</v>
      </c>
      <c r="E649" s="454" t="s">
        <v>1393</v>
      </c>
      <c r="F649" s="454" t="s">
        <v>273</v>
      </c>
      <c r="G649" s="459">
        <f>G650</f>
        <v>4610</v>
      </c>
      <c r="H649" s="459">
        <f t="shared" si="311"/>
        <v>3479.2</v>
      </c>
      <c r="I649" s="459">
        <f t="shared" si="288"/>
        <v>75.470715835140993</v>
      </c>
      <c r="J649" s="478"/>
      <c r="K649" s="463"/>
    </row>
    <row r="650" spans="1:12" s="201" customFormat="1" ht="14.25" customHeight="1" x14ac:dyDescent="0.25">
      <c r="A650" s="458" t="s">
        <v>274</v>
      </c>
      <c r="B650" s="452">
        <v>906</v>
      </c>
      <c r="C650" s="454" t="s">
        <v>264</v>
      </c>
      <c r="D650" s="454" t="s">
        <v>213</v>
      </c>
      <c r="E650" s="454" t="s">
        <v>1393</v>
      </c>
      <c r="F650" s="454" t="s">
        <v>275</v>
      </c>
      <c r="G650" s="27">
        <v>4610</v>
      </c>
      <c r="H650" s="27">
        <v>3479.2</v>
      </c>
      <c r="I650" s="459">
        <f t="shared" si="288"/>
        <v>75.470715835140993</v>
      </c>
      <c r="J650" s="478"/>
      <c r="K650" s="463"/>
    </row>
    <row r="651" spans="1:12" s="201" customFormat="1" ht="63" x14ac:dyDescent="0.25">
      <c r="A651" s="31" t="s">
        <v>460</v>
      </c>
      <c r="B651" s="452">
        <v>906</v>
      </c>
      <c r="C651" s="454" t="s">
        <v>264</v>
      </c>
      <c r="D651" s="454" t="s">
        <v>213</v>
      </c>
      <c r="E651" s="454" t="s">
        <v>1251</v>
      </c>
      <c r="F651" s="454"/>
      <c r="G651" s="459">
        <f>G652</f>
        <v>126248.67000000001</v>
      </c>
      <c r="H651" s="459">
        <f t="shared" ref="H651:H652" si="312">H652</f>
        <v>99197.035999999993</v>
      </c>
      <c r="I651" s="459">
        <f t="shared" si="288"/>
        <v>78.572737439531039</v>
      </c>
      <c r="J651" s="478"/>
      <c r="K651" s="463"/>
    </row>
    <row r="652" spans="1:12" s="201" customFormat="1" ht="31.5" x14ac:dyDescent="0.25">
      <c r="A652" s="458" t="s">
        <v>272</v>
      </c>
      <c r="B652" s="452">
        <v>906</v>
      </c>
      <c r="C652" s="454" t="s">
        <v>264</v>
      </c>
      <c r="D652" s="454" t="s">
        <v>213</v>
      </c>
      <c r="E652" s="454" t="s">
        <v>1251</v>
      </c>
      <c r="F652" s="454" t="s">
        <v>273</v>
      </c>
      <c r="G652" s="459">
        <f>G653</f>
        <v>126248.67000000001</v>
      </c>
      <c r="H652" s="459">
        <f t="shared" si="312"/>
        <v>99197.035999999993</v>
      </c>
      <c r="I652" s="459">
        <f t="shared" ref="I652:I715" si="313">H652/G652*100</f>
        <v>78.572737439531039</v>
      </c>
      <c r="J652" s="478"/>
      <c r="K652" s="463"/>
    </row>
    <row r="653" spans="1:12" s="201" customFormat="1" ht="15.75" x14ac:dyDescent="0.25">
      <c r="A653" s="458" t="s">
        <v>274</v>
      </c>
      <c r="B653" s="452">
        <v>906</v>
      </c>
      <c r="C653" s="454" t="s">
        <v>264</v>
      </c>
      <c r="D653" s="454" t="s">
        <v>213</v>
      </c>
      <c r="E653" s="454" t="s">
        <v>1251</v>
      </c>
      <c r="F653" s="454" t="s">
        <v>275</v>
      </c>
      <c r="G653" s="27">
        <f>131567.2-5318.53</f>
        <v>126248.67000000001</v>
      </c>
      <c r="H653" s="27">
        <v>99197.035999999993</v>
      </c>
      <c r="I653" s="459">
        <f t="shared" si="313"/>
        <v>78.572737439531039</v>
      </c>
      <c r="J653" s="478"/>
      <c r="K653" s="463"/>
    </row>
    <row r="654" spans="1:12" s="201" customFormat="1" ht="63" x14ac:dyDescent="0.25">
      <c r="A654" s="31" t="s">
        <v>289</v>
      </c>
      <c r="B654" s="452">
        <v>906</v>
      </c>
      <c r="C654" s="454" t="s">
        <v>264</v>
      </c>
      <c r="D654" s="454" t="s">
        <v>213</v>
      </c>
      <c r="E654" s="454" t="s">
        <v>1234</v>
      </c>
      <c r="F654" s="454"/>
      <c r="G654" s="459">
        <f>G655</f>
        <v>1311</v>
      </c>
      <c r="H654" s="459">
        <f t="shared" ref="H654:H655" si="314">H655</f>
        <v>831.8</v>
      </c>
      <c r="I654" s="459">
        <f t="shared" si="313"/>
        <v>63.447749809305861</v>
      </c>
      <c r="J654" s="478"/>
      <c r="K654" s="463"/>
    </row>
    <row r="655" spans="1:12" s="201" customFormat="1" ht="31.5" x14ac:dyDescent="0.25">
      <c r="A655" s="458" t="s">
        <v>272</v>
      </c>
      <c r="B655" s="452">
        <v>906</v>
      </c>
      <c r="C655" s="454" t="s">
        <v>264</v>
      </c>
      <c r="D655" s="454" t="s">
        <v>213</v>
      </c>
      <c r="E655" s="454" t="s">
        <v>1234</v>
      </c>
      <c r="F655" s="454" t="s">
        <v>273</v>
      </c>
      <c r="G655" s="459">
        <f>G656</f>
        <v>1311</v>
      </c>
      <c r="H655" s="459">
        <f t="shared" si="314"/>
        <v>831.8</v>
      </c>
      <c r="I655" s="459">
        <f t="shared" si="313"/>
        <v>63.447749809305861</v>
      </c>
      <c r="J655" s="478"/>
      <c r="K655" s="463"/>
    </row>
    <row r="656" spans="1:12" s="201" customFormat="1" ht="15.75" x14ac:dyDescent="0.25">
      <c r="A656" s="458" t="s">
        <v>274</v>
      </c>
      <c r="B656" s="452">
        <v>906</v>
      </c>
      <c r="C656" s="454" t="s">
        <v>264</v>
      </c>
      <c r="D656" s="454" t="s">
        <v>213</v>
      </c>
      <c r="E656" s="454" t="s">
        <v>1234</v>
      </c>
      <c r="F656" s="454" t="s">
        <v>275</v>
      </c>
      <c r="G656" s="27">
        <v>1311</v>
      </c>
      <c r="H656" s="27">
        <v>831.8</v>
      </c>
      <c r="I656" s="459">
        <f t="shared" si="313"/>
        <v>63.447749809305861</v>
      </c>
      <c r="J656" s="478"/>
      <c r="K656" s="463"/>
    </row>
    <row r="657" spans="1:13" s="201" customFormat="1" ht="63" x14ac:dyDescent="0.25">
      <c r="A657" s="31" t="s">
        <v>291</v>
      </c>
      <c r="B657" s="452">
        <v>906</v>
      </c>
      <c r="C657" s="454" t="s">
        <v>264</v>
      </c>
      <c r="D657" s="454" t="s">
        <v>213</v>
      </c>
      <c r="E657" s="454" t="s">
        <v>1235</v>
      </c>
      <c r="F657" s="454"/>
      <c r="G657" s="459">
        <f>G658</f>
        <v>2317.6</v>
      </c>
      <c r="H657" s="459">
        <f t="shared" ref="H657:H658" si="315">H658</f>
        <v>1702</v>
      </c>
      <c r="I657" s="459">
        <f t="shared" si="313"/>
        <v>73.438039351052822</v>
      </c>
      <c r="J657" s="478"/>
      <c r="K657" s="117"/>
      <c r="L657" s="225"/>
      <c r="M657" s="225"/>
    </row>
    <row r="658" spans="1:13" s="201" customFormat="1" ht="31.5" x14ac:dyDescent="0.25">
      <c r="A658" s="458" t="s">
        <v>272</v>
      </c>
      <c r="B658" s="452">
        <v>906</v>
      </c>
      <c r="C658" s="454" t="s">
        <v>264</v>
      </c>
      <c r="D658" s="454" t="s">
        <v>213</v>
      </c>
      <c r="E658" s="454" t="s">
        <v>1235</v>
      </c>
      <c r="F658" s="454" t="s">
        <v>273</v>
      </c>
      <c r="G658" s="459">
        <f>G659</f>
        <v>2317.6</v>
      </c>
      <c r="H658" s="459">
        <f t="shared" si="315"/>
        <v>1702</v>
      </c>
      <c r="I658" s="459">
        <f t="shared" si="313"/>
        <v>73.438039351052822</v>
      </c>
      <c r="J658" s="478"/>
      <c r="K658" s="463"/>
    </row>
    <row r="659" spans="1:13" s="201" customFormat="1" ht="15.75" x14ac:dyDescent="0.25">
      <c r="A659" s="458" t="s">
        <v>274</v>
      </c>
      <c r="B659" s="452">
        <v>906</v>
      </c>
      <c r="C659" s="454" t="s">
        <v>264</v>
      </c>
      <c r="D659" s="454" t="s">
        <v>213</v>
      </c>
      <c r="E659" s="454" t="s">
        <v>1235</v>
      </c>
      <c r="F659" s="454" t="s">
        <v>275</v>
      </c>
      <c r="G659" s="27">
        <f>2266.72-0.02+33.6+17.3</f>
        <v>2317.6</v>
      </c>
      <c r="H659" s="27">
        <v>1702</v>
      </c>
      <c r="I659" s="459">
        <f t="shared" si="313"/>
        <v>73.438039351052822</v>
      </c>
      <c r="J659" s="478"/>
      <c r="K659" s="463"/>
    </row>
    <row r="660" spans="1:13" s="201" customFormat="1" ht="47.25" x14ac:dyDescent="0.25">
      <c r="A660" s="31" t="s">
        <v>462</v>
      </c>
      <c r="B660" s="452">
        <v>906</v>
      </c>
      <c r="C660" s="454" t="s">
        <v>264</v>
      </c>
      <c r="D660" s="454" t="s">
        <v>213</v>
      </c>
      <c r="E660" s="454" t="s">
        <v>1252</v>
      </c>
      <c r="F660" s="454"/>
      <c r="G660" s="459">
        <f>G661</f>
        <v>900</v>
      </c>
      <c r="H660" s="459">
        <f t="shared" ref="H660:H661" si="316">H661</f>
        <v>664.8</v>
      </c>
      <c r="I660" s="459">
        <f t="shared" si="313"/>
        <v>73.86666666666666</v>
      </c>
      <c r="J660" s="478"/>
      <c r="K660" s="463"/>
    </row>
    <row r="661" spans="1:13" s="201" customFormat="1" ht="31.5" x14ac:dyDescent="0.25">
      <c r="A661" s="458" t="s">
        <v>272</v>
      </c>
      <c r="B661" s="452">
        <v>906</v>
      </c>
      <c r="C661" s="454" t="s">
        <v>264</v>
      </c>
      <c r="D661" s="454" t="s">
        <v>213</v>
      </c>
      <c r="E661" s="454" t="s">
        <v>1252</v>
      </c>
      <c r="F661" s="454" t="s">
        <v>273</v>
      </c>
      <c r="G661" s="459">
        <f>G662</f>
        <v>900</v>
      </c>
      <c r="H661" s="459">
        <f t="shared" si="316"/>
        <v>664.8</v>
      </c>
      <c r="I661" s="459">
        <f t="shared" si="313"/>
        <v>73.86666666666666</v>
      </c>
      <c r="J661" s="478"/>
      <c r="K661" s="463"/>
    </row>
    <row r="662" spans="1:13" s="201" customFormat="1" ht="15.75" x14ac:dyDescent="0.25">
      <c r="A662" s="458" t="s">
        <v>274</v>
      </c>
      <c r="B662" s="452">
        <v>906</v>
      </c>
      <c r="C662" s="454" t="s">
        <v>264</v>
      </c>
      <c r="D662" s="454" t="s">
        <v>213</v>
      </c>
      <c r="E662" s="454" t="s">
        <v>1252</v>
      </c>
      <c r="F662" s="454" t="s">
        <v>275</v>
      </c>
      <c r="G662" s="27">
        <v>900</v>
      </c>
      <c r="H662" s="27">
        <v>664.8</v>
      </c>
      <c r="I662" s="459">
        <f t="shared" si="313"/>
        <v>73.86666666666666</v>
      </c>
      <c r="J662" s="478"/>
      <c r="K662" s="463"/>
    </row>
    <row r="663" spans="1:13" s="201" customFormat="1" ht="35.450000000000003" customHeight="1" x14ac:dyDescent="0.25">
      <c r="A663" s="456" t="s">
        <v>1253</v>
      </c>
      <c r="B663" s="250">
        <v>906</v>
      </c>
      <c r="C663" s="457" t="s">
        <v>264</v>
      </c>
      <c r="D663" s="457" t="s">
        <v>213</v>
      </c>
      <c r="E663" s="457" t="s">
        <v>1238</v>
      </c>
      <c r="F663" s="457"/>
      <c r="G663" s="455">
        <f>G664+G667+G670+G673</f>
        <v>699</v>
      </c>
      <c r="H663" s="455">
        <f t="shared" ref="H663" si="317">H664+H667+H670+H673</f>
        <v>406.3</v>
      </c>
      <c r="I663" s="455">
        <f t="shared" si="313"/>
        <v>58.125894134477832</v>
      </c>
      <c r="J663" s="478"/>
      <c r="K663" s="463"/>
    </row>
    <row r="664" spans="1:13" s="201" customFormat="1" ht="35.450000000000003" hidden="1" customHeight="1" x14ac:dyDescent="0.25">
      <c r="A664" s="458" t="s">
        <v>440</v>
      </c>
      <c r="B664" s="37">
        <v>906</v>
      </c>
      <c r="C664" s="454" t="s">
        <v>264</v>
      </c>
      <c r="D664" s="454" t="s">
        <v>213</v>
      </c>
      <c r="E664" s="454" t="s">
        <v>1318</v>
      </c>
      <c r="F664" s="454"/>
      <c r="G664" s="459">
        <f>G665</f>
        <v>0</v>
      </c>
      <c r="H664" s="459">
        <f t="shared" ref="H664:H665" si="318">H665</f>
        <v>0</v>
      </c>
      <c r="I664" s="455" t="e">
        <f t="shared" si="313"/>
        <v>#DIV/0!</v>
      </c>
      <c r="J664" s="478"/>
      <c r="K664" s="463"/>
    </row>
    <row r="665" spans="1:13" s="201" customFormat="1" ht="39.75" hidden="1" customHeight="1" x14ac:dyDescent="0.25">
      <c r="A665" s="458" t="s">
        <v>272</v>
      </c>
      <c r="B665" s="37">
        <v>906</v>
      </c>
      <c r="C665" s="454" t="s">
        <v>264</v>
      </c>
      <c r="D665" s="454" t="s">
        <v>213</v>
      </c>
      <c r="E665" s="454" t="s">
        <v>1318</v>
      </c>
      <c r="F665" s="454" t="s">
        <v>273</v>
      </c>
      <c r="G665" s="459">
        <f>G666</f>
        <v>0</v>
      </c>
      <c r="H665" s="459">
        <f t="shared" si="318"/>
        <v>0</v>
      </c>
      <c r="I665" s="455" t="e">
        <f t="shared" si="313"/>
        <v>#DIV/0!</v>
      </c>
      <c r="J665" s="478"/>
      <c r="K665" s="463"/>
    </row>
    <row r="666" spans="1:13" s="201" customFormat="1" ht="18.75" hidden="1" customHeight="1" x14ac:dyDescent="0.25">
      <c r="A666" s="458" t="s">
        <v>274</v>
      </c>
      <c r="B666" s="37">
        <v>906</v>
      </c>
      <c r="C666" s="454" t="s">
        <v>264</v>
      </c>
      <c r="D666" s="454" t="s">
        <v>213</v>
      </c>
      <c r="E666" s="454" t="s">
        <v>1318</v>
      </c>
      <c r="F666" s="454" t="s">
        <v>275</v>
      </c>
      <c r="G666" s="459">
        <v>0</v>
      </c>
      <c r="H666" s="459">
        <v>0</v>
      </c>
      <c r="I666" s="455" t="e">
        <f t="shared" si="313"/>
        <v>#DIV/0!</v>
      </c>
      <c r="J666" s="478"/>
      <c r="K666" s="463"/>
    </row>
    <row r="667" spans="1:13" s="201" customFormat="1" ht="41.25" customHeight="1" x14ac:dyDescent="0.25">
      <c r="A667" s="458" t="s">
        <v>278</v>
      </c>
      <c r="B667" s="37">
        <v>906</v>
      </c>
      <c r="C667" s="454" t="s">
        <v>264</v>
      </c>
      <c r="D667" s="454" t="s">
        <v>213</v>
      </c>
      <c r="E667" s="454" t="s">
        <v>1319</v>
      </c>
      <c r="F667" s="454"/>
      <c r="G667" s="459">
        <f>G668</f>
        <v>355</v>
      </c>
      <c r="H667" s="459">
        <f t="shared" ref="H667:H668" si="319">H668</f>
        <v>200</v>
      </c>
      <c r="I667" s="459">
        <f t="shared" si="313"/>
        <v>56.338028169014088</v>
      </c>
      <c r="J667" s="478"/>
      <c r="K667" s="463"/>
    </row>
    <row r="668" spans="1:13" s="201" customFormat="1" ht="33" customHeight="1" x14ac:dyDescent="0.25">
      <c r="A668" s="458" t="s">
        <v>272</v>
      </c>
      <c r="B668" s="37">
        <v>906</v>
      </c>
      <c r="C668" s="454" t="s">
        <v>264</v>
      </c>
      <c r="D668" s="454" t="s">
        <v>213</v>
      </c>
      <c r="E668" s="454" t="s">
        <v>1319</v>
      </c>
      <c r="F668" s="454" t="s">
        <v>273</v>
      </c>
      <c r="G668" s="459">
        <f>G669</f>
        <v>355</v>
      </c>
      <c r="H668" s="459">
        <f t="shared" si="319"/>
        <v>200</v>
      </c>
      <c r="I668" s="459">
        <f t="shared" si="313"/>
        <v>56.338028169014088</v>
      </c>
      <c r="J668" s="478"/>
      <c r="K668" s="463"/>
    </row>
    <row r="669" spans="1:13" s="201" customFormat="1" ht="18.75" customHeight="1" x14ac:dyDescent="0.25">
      <c r="A669" s="458" t="s">
        <v>274</v>
      </c>
      <c r="B669" s="37">
        <v>906</v>
      </c>
      <c r="C669" s="454" t="s">
        <v>264</v>
      </c>
      <c r="D669" s="454" t="s">
        <v>213</v>
      </c>
      <c r="E669" s="454" t="s">
        <v>1319</v>
      </c>
      <c r="F669" s="454" t="s">
        <v>275</v>
      </c>
      <c r="G669" s="459">
        <f>300+55</f>
        <v>355</v>
      </c>
      <c r="H669" s="459">
        <v>200</v>
      </c>
      <c r="I669" s="459">
        <f t="shared" si="313"/>
        <v>56.338028169014088</v>
      </c>
      <c r="J669" s="478"/>
      <c r="K669" s="463"/>
    </row>
    <row r="670" spans="1:13" s="201" customFormat="1" ht="31.7" customHeight="1" x14ac:dyDescent="0.25">
      <c r="A670" s="458" t="s">
        <v>280</v>
      </c>
      <c r="B670" s="37">
        <v>906</v>
      </c>
      <c r="C670" s="454" t="s">
        <v>264</v>
      </c>
      <c r="D670" s="454" t="s">
        <v>213</v>
      </c>
      <c r="E670" s="454" t="s">
        <v>1320</v>
      </c>
      <c r="F670" s="454"/>
      <c r="G670" s="459">
        <f>G671</f>
        <v>120</v>
      </c>
      <c r="H670" s="459">
        <f t="shared" ref="H670:H671" si="320">H671</f>
        <v>105</v>
      </c>
      <c r="I670" s="459">
        <f t="shared" si="313"/>
        <v>87.5</v>
      </c>
      <c r="J670" s="478"/>
      <c r="K670" s="463"/>
    </row>
    <row r="671" spans="1:13" s="201" customFormat="1" ht="29.25" customHeight="1" x14ac:dyDescent="0.25">
      <c r="A671" s="458" t="s">
        <v>272</v>
      </c>
      <c r="B671" s="37">
        <v>906</v>
      </c>
      <c r="C671" s="454" t="s">
        <v>264</v>
      </c>
      <c r="D671" s="454" t="s">
        <v>213</v>
      </c>
      <c r="E671" s="454" t="s">
        <v>1320</v>
      </c>
      <c r="F671" s="454" t="s">
        <v>273</v>
      </c>
      <c r="G671" s="459">
        <f>G672</f>
        <v>120</v>
      </c>
      <c r="H671" s="459">
        <f t="shared" si="320"/>
        <v>105</v>
      </c>
      <c r="I671" s="459">
        <f t="shared" si="313"/>
        <v>87.5</v>
      </c>
      <c r="J671" s="478"/>
      <c r="K671" s="463"/>
    </row>
    <row r="672" spans="1:13" s="201" customFormat="1" ht="18.75" customHeight="1" x14ac:dyDescent="0.25">
      <c r="A672" s="458" t="s">
        <v>274</v>
      </c>
      <c r="B672" s="37">
        <v>906</v>
      </c>
      <c r="C672" s="454" t="s">
        <v>264</v>
      </c>
      <c r="D672" s="454" t="s">
        <v>213</v>
      </c>
      <c r="E672" s="454" t="s">
        <v>1320</v>
      </c>
      <c r="F672" s="454" t="s">
        <v>275</v>
      </c>
      <c r="G672" s="459">
        <v>120</v>
      </c>
      <c r="H672" s="459">
        <v>105</v>
      </c>
      <c r="I672" s="459">
        <f t="shared" si="313"/>
        <v>87.5</v>
      </c>
      <c r="J672" s="478"/>
      <c r="K672" s="463"/>
    </row>
    <row r="673" spans="1:12" s="201" customFormat="1" ht="36" customHeight="1" x14ac:dyDescent="0.25">
      <c r="A673" s="458" t="s">
        <v>282</v>
      </c>
      <c r="B673" s="37">
        <v>906</v>
      </c>
      <c r="C673" s="454" t="s">
        <v>264</v>
      </c>
      <c r="D673" s="454" t="s">
        <v>213</v>
      </c>
      <c r="E673" s="454" t="s">
        <v>1254</v>
      </c>
      <c r="F673" s="454"/>
      <c r="G673" s="459">
        <f>G674</f>
        <v>224</v>
      </c>
      <c r="H673" s="459">
        <f t="shared" ref="H673:H674" si="321">H674</f>
        <v>101.3</v>
      </c>
      <c r="I673" s="459">
        <f t="shared" si="313"/>
        <v>45.223214285714285</v>
      </c>
      <c r="J673" s="478"/>
      <c r="K673" s="463"/>
    </row>
    <row r="674" spans="1:12" s="201" customFormat="1" ht="39.75" customHeight="1" x14ac:dyDescent="0.25">
      <c r="A674" s="458" t="s">
        <v>272</v>
      </c>
      <c r="B674" s="37">
        <v>906</v>
      </c>
      <c r="C674" s="454" t="s">
        <v>264</v>
      </c>
      <c r="D674" s="454" t="s">
        <v>213</v>
      </c>
      <c r="E674" s="454" t="s">
        <v>1254</v>
      </c>
      <c r="F674" s="454" t="s">
        <v>273</v>
      </c>
      <c r="G674" s="459">
        <f>G675</f>
        <v>224</v>
      </c>
      <c r="H674" s="459">
        <f t="shared" si="321"/>
        <v>101.3</v>
      </c>
      <c r="I674" s="459">
        <f t="shared" si="313"/>
        <v>45.223214285714285</v>
      </c>
      <c r="J674" s="478"/>
      <c r="K674" s="463"/>
    </row>
    <row r="675" spans="1:12" s="201" customFormat="1" ht="18.75" customHeight="1" x14ac:dyDescent="0.25">
      <c r="A675" s="458" t="s">
        <v>274</v>
      </c>
      <c r="B675" s="37">
        <v>906</v>
      </c>
      <c r="C675" s="454" t="s">
        <v>264</v>
      </c>
      <c r="D675" s="454" t="s">
        <v>213</v>
      </c>
      <c r="E675" s="454" t="s">
        <v>1254</v>
      </c>
      <c r="F675" s="454" t="s">
        <v>275</v>
      </c>
      <c r="G675" s="459">
        <f>127-72+72+97.2-0.2</f>
        <v>224</v>
      </c>
      <c r="H675" s="459">
        <v>101.3</v>
      </c>
      <c r="I675" s="459">
        <f t="shared" si="313"/>
        <v>45.223214285714285</v>
      </c>
      <c r="J675" s="478"/>
      <c r="K675" s="463"/>
    </row>
    <row r="676" spans="1:12" s="201" customFormat="1" ht="34.5" customHeight="1" x14ac:dyDescent="0.25">
      <c r="A676" s="214" t="s">
        <v>948</v>
      </c>
      <c r="B676" s="453">
        <v>906</v>
      </c>
      <c r="C676" s="457" t="s">
        <v>264</v>
      </c>
      <c r="D676" s="457" t="s">
        <v>213</v>
      </c>
      <c r="E676" s="457" t="s">
        <v>1241</v>
      </c>
      <c r="F676" s="457"/>
      <c r="G676" s="44">
        <f>G677+G680</f>
        <v>2744</v>
      </c>
      <c r="H676" s="44">
        <f t="shared" ref="H676" si="322">H677+H680</f>
        <v>2744</v>
      </c>
      <c r="I676" s="455">
        <f t="shared" si="313"/>
        <v>100</v>
      </c>
      <c r="J676" s="478"/>
      <c r="K676" s="463"/>
    </row>
    <row r="677" spans="1:12" s="201" customFormat="1" ht="36.75" customHeight="1" x14ac:dyDescent="0.25">
      <c r="A677" s="458" t="s">
        <v>791</v>
      </c>
      <c r="B677" s="452">
        <v>906</v>
      </c>
      <c r="C677" s="454" t="s">
        <v>264</v>
      </c>
      <c r="D677" s="454" t="s">
        <v>213</v>
      </c>
      <c r="E677" s="454" t="s">
        <v>1259</v>
      </c>
      <c r="F677" s="454"/>
      <c r="G677" s="459">
        <f>G678</f>
        <v>44</v>
      </c>
      <c r="H677" s="459">
        <f t="shared" ref="H677:H678" si="323">H678</f>
        <v>44</v>
      </c>
      <c r="I677" s="459">
        <f t="shared" si="313"/>
        <v>100</v>
      </c>
      <c r="J677" s="478"/>
      <c r="K677" s="463"/>
    </row>
    <row r="678" spans="1:12" s="201" customFormat="1" ht="44.45" customHeight="1" x14ac:dyDescent="0.25">
      <c r="A678" s="458" t="s">
        <v>272</v>
      </c>
      <c r="B678" s="452">
        <v>906</v>
      </c>
      <c r="C678" s="454" t="s">
        <v>264</v>
      </c>
      <c r="D678" s="454" t="s">
        <v>213</v>
      </c>
      <c r="E678" s="454" t="s">
        <v>1259</v>
      </c>
      <c r="F678" s="454" t="s">
        <v>273</v>
      </c>
      <c r="G678" s="459">
        <f>G679</f>
        <v>44</v>
      </c>
      <c r="H678" s="459">
        <f t="shared" si="323"/>
        <v>44</v>
      </c>
      <c r="I678" s="459">
        <f t="shared" si="313"/>
        <v>100</v>
      </c>
      <c r="J678" s="478"/>
      <c r="K678" s="463"/>
    </row>
    <row r="679" spans="1:12" s="201" customFormat="1" ht="18.75" customHeight="1" x14ac:dyDescent="0.25">
      <c r="A679" s="458" t="s">
        <v>274</v>
      </c>
      <c r="B679" s="452">
        <v>906</v>
      </c>
      <c r="C679" s="454" t="s">
        <v>264</v>
      </c>
      <c r="D679" s="454" t="s">
        <v>213</v>
      </c>
      <c r="E679" s="454" t="s">
        <v>1259</v>
      </c>
      <c r="F679" s="454" t="s">
        <v>275</v>
      </c>
      <c r="G679" s="459">
        <v>44</v>
      </c>
      <c r="H679" s="459">
        <v>44</v>
      </c>
      <c r="I679" s="459">
        <f t="shared" si="313"/>
        <v>100</v>
      </c>
      <c r="J679" s="478"/>
      <c r="K679" s="463"/>
    </row>
    <row r="680" spans="1:12" s="201" customFormat="1" ht="38.25" customHeight="1" x14ac:dyDescent="0.25">
      <c r="A680" s="60" t="s">
        <v>764</v>
      </c>
      <c r="B680" s="452">
        <v>906</v>
      </c>
      <c r="C680" s="454" t="s">
        <v>264</v>
      </c>
      <c r="D680" s="454" t="s">
        <v>213</v>
      </c>
      <c r="E680" s="454" t="s">
        <v>1242</v>
      </c>
      <c r="F680" s="454"/>
      <c r="G680" s="459">
        <f>G681</f>
        <v>2700</v>
      </c>
      <c r="H680" s="459">
        <f t="shared" ref="H680:H681" si="324">H681</f>
        <v>2700</v>
      </c>
      <c r="I680" s="459">
        <f t="shared" si="313"/>
        <v>100</v>
      </c>
      <c r="J680" s="478"/>
      <c r="K680" s="463"/>
    </row>
    <row r="681" spans="1:12" s="201" customFormat="1" ht="39.200000000000003" customHeight="1" x14ac:dyDescent="0.25">
      <c r="A681" s="29" t="s">
        <v>272</v>
      </c>
      <c r="B681" s="452">
        <v>906</v>
      </c>
      <c r="C681" s="454" t="s">
        <v>264</v>
      </c>
      <c r="D681" s="454" t="s">
        <v>213</v>
      </c>
      <c r="E681" s="454" t="s">
        <v>1242</v>
      </c>
      <c r="F681" s="454" t="s">
        <v>273</v>
      </c>
      <c r="G681" s="459">
        <f>G682</f>
        <v>2700</v>
      </c>
      <c r="H681" s="459">
        <f t="shared" si="324"/>
        <v>2700</v>
      </c>
      <c r="I681" s="459">
        <f t="shared" si="313"/>
        <v>100</v>
      </c>
      <c r="J681" s="478"/>
      <c r="K681" s="463"/>
    </row>
    <row r="682" spans="1:12" s="201" customFormat="1" ht="18.75" customHeight="1" x14ac:dyDescent="0.25">
      <c r="A682" s="182" t="s">
        <v>274</v>
      </c>
      <c r="B682" s="452">
        <v>906</v>
      </c>
      <c r="C682" s="454" t="s">
        <v>264</v>
      </c>
      <c r="D682" s="454" t="s">
        <v>213</v>
      </c>
      <c r="E682" s="454" t="s">
        <v>1242</v>
      </c>
      <c r="F682" s="454" t="s">
        <v>275</v>
      </c>
      <c r="G682" s="459">
        <f>2888-188</f>
        <v>2700</v>
      </c>
      <c r="H682" s="459">
        <v>2700</v>
      </c>
      <c r="I682" s="459">
        <f t="shared" si="313"/>
        <v>100</v>
      </c>
      <c r="J682" s="478"/>
      <c r="K682" s="463"/>
    </row>
    <row r="683" spans="1:12" s="201" customFormat="1" ht="33" customHeight="1" x14ac:dyDescent="0.25">
      <c r="A683" s="456" t="s">
        <v>938</v>
      </c>
      <c r="B683" s="250">
        <v>906</v>
      </c>
      <c r="C683" s="457" t="s">
        <v>264</v>
      </c>
      <c r="D683" s="457" t="s">
        <v>213</v>
      </c>
      <c r="E683" s="457" t="s">
        <v>1255</v>
      </c>
      <c r="F683" s="457"/>
      <c r="G683" s="455">
        <f>G684</f>
        <v>3001.8</v>
      </c>
      <c r="H683" s="455">
        <f t="shared" ref="H683:H685" si="325">H684</f>
        <v>1422.086</v>
      </c>
      <c r="I683" s="455">
        <f t="shared" si="313"/>
        <v>47.374442001465781</v>
      </c>
      <c r="J683" s="478"/>
      <c r="K683" s="463"/>
    </row>
    <row r="684" spans="1:12" ht="49.7" customHeight="1" x14ac:dyDescent="0.25">
      <c r="A684" s="29" t="s">
        <v>602</v>
      </c>
      <c r="B684" s="37">
        <v>906</v>
      </c>
      <c r="C684" s="454" t="s">
        <v>264</v>
      </c>
      <c r="D684" s="454" t="s">
        <v>213</v>
      </c>
      <c r="E684" s="454" t="s">
        <v>1256</v>
      </c>
      <c r="F684" s="454"/>
      <c r="G684" s="459">
        <f>G685</f>
        <v>3001.8</v>
      </c>
      <c r="H684" s="459">
        <f t="shared" si="325"/>
        <v>1422.086</v>
      </c>
      <c r="I684" s="459">
        <f t="shared" si="313"/>
        <v>47.374442001465781</v>
      </c>
      <c r="J684" s="478"/>
      <c r="K684" s="463"/>
      <c r="L684" s="201"/>
    </row>
    <row r="685" spans="1:12" ht="31.5" x14ac:dyDescent="0.25">
      <c r="A685" s="458" t="s">
        <v>272</v>
      </c>
      <c r="B685" s="37">
        <v>906</v>
      </c>
      <c r="C685" s="454" t="s">
        <v>264</v>
      </c>
      <c r="D685" s="454" t="s">
        <v>213</v>
      </c>
      <c r="E685" s="454" t="s">
        <v>1256</v>
      </c>
      <c r="F685" s="454" t="s">
        <v>273</v>
      </c>
      <c r="G685" s="459">
        <f>G686</f>
        <v>3001.8</v>
      </c>
      <c r="H685" s="459">
        <f t="shared" si="325"/>
        <v>1422.086</v>
      </c>
      <c r="I685" s="459">
        <f t="shared" si="313"/>
        <v>47.374442001465781</v>
      </c>
      <c r="J685" s="478"/>
      <c r="K685" s="463"/>
      <c r="L685" s="201"/>
    </row>
    <row r="686" spans="1:12" ht="15.75" x14ac:dyDescent="0.25">
      <c r="A686" s="458" t="s">
        <v>274</v>
      </c>
      <c r="B686" s="37">
        <v>906</v>
      </c>
      <c r="C686" s="454" t="s">
        <v>264</v>
      </c>
      <c r="D686" s="454" t="s">
        <v>213</v>
      </c>
      <c r="E686" s="454" t="s">
        <v>1256</v>
      </c>
      <c r="F686" s="454" t="s">
        <v>275</v>
      </c>
      <c r="G686" s="27">
        <f>2200-200+1731.8-730</f>
        <v>3001.8</v>
      </c>
      <c r="H686" s="27">
        <v>1422.086</v>
      </c>
      <c r="I686" s="459">
        <f t="shared" si="313"/>
        <v>47.374442001465781</v>
      </c>
      <c r="J686" s="478"/>
      <c r="K686" s="463"/>
      <c r="L686" s="201"/>
    </row>
    <row r="687" spans="1:12" s="201" customFormat="1" ht="34.5" customHeight="1" x14ac:dyDescent="0.25">
      <c r="A687" s="456" t="s">
        <v>939</v>
      </c>
      <c r="B687" s="250">
        <v>906</v>
      </c>
      <c r="C687" s="457" t="s">
        <v>264</v>
      </c>
      <c r="D687" s="457" t="s">
        <v>213</v>
      </c>
      <c r="E687" s="457" t="s">
        <v>1257</v>
      </c>
      <c r="F687" s="457"/>
      <c r="G687" s="44">
        <f>G688</f>
        <v>1384.6</v>
      </c>
      <c r="H687" s="44">
        <f t="shared" ref="H687:H689" si="326">H688</f>
        <v>500</v>
      </c>
      <c r="I687" s="455">
        <f t="shared" si="313"/>
        <v>36.111512350137225</v>
      </c>
      <c r="J687" s="478"/>
      <c r="K687" s="463"/>
    </row>
    <row r="688" spans="1:12" ht="47.25" x14ac:dyDescent="0.25">
      <c r="A688" s="458" t="s">
        <v>438</v>
      </c>
      <c r="B688" s="37">
        <v>906</v>
      </c>
      <c r="C688" s="454" t="s">
        <v>264</v>
      </c>
      <c r="D688" s="454" t="s">
        <v>213</v>
      </c>
      <c r="E688" s="454" t="s">
        <v>1258</v>
      </c>
      <c r="F688" s="454"/>
      <c r="G688" s="459">
        <f>G689</f>
        <v>1384.6</v>
      </c>
      <c r="H688" s="459">
        <f t="shared" si="326"/>
        <v>500</v>
      </c>
      <c r="I688" s="459">
        <f t="shared" si="313"/>
        <v>36.111512350137225</v>
      </c>
      <c r="J688" s="478"/>
      <c r="K688" s="463"/>
      <c r="L688" s="201"/>
    </row>
    <row r="689" spans="1:12" ht="31.5" x14ac:dyDescent="0.25">
      <c r="A689" s="458" t="s">
        <v>272</v>
      </c>
      <c r="B689" s="37">
        <v>906</v>
      </c>
      <c r="C689" s="454" t="s">
        <v>264</v>
      </c>
      <c r="D689" s="454" t="s">
        <v>213</v>
      </c>
      <c r="E689" s="454" t="s">
        <v>1258</v>
      </c>
      <c r="F689" s="454" t="s">
        <v>273</v>
      </c>
      <c r="G689" s="459">
        <f>G690</f>
        <v>1384.6</v>
      </c>
      <c r="H689" s="459">
        <f t="shared" si="326"/>
        <v>500</v>
      </c>
      <c r="I689" s="459">
        <f t="shared" si="313"/>
        <v>36.111512350137225</v>
      </c>
      <c r="J689" s="478"/>
      <c r="K689" s="463"/>
      <c r="L689" s="201"/>
    </row>
    <row r="690" spans="1:12" ht="15.75" x14ac:dyDescent="0.25">
      <c r="A690" s="458" t="s">
        <v>274</v>
      </c>
      <c r="B690" s="37">
        <v>906</v>
      </c>
      <c r="C690" s="454" t="s">
        <v>264</v>
      </c>
      <c r="D690" s="454" t="s">
        <v>213</v>
      </c>
      <c r="E690" s="454" t="s">
        <v>1258</v>
      </c>
      <c r="F690" s="454" t="s">
        <v>275</v>
      </c>
      <c r="G690" s="459">
        <f>868+516.6</f>
        <v>1384.6</v>
      </c>
      <c r="H690" s="459">
        <v>500</v>
      </c>
      <c r="I690" s="459">
        <f t="shared" si="313"/>
        <v>36.111512350137225</v>
      </c>
      <c r="J690" s="478"/>
      <c r="K690" s="463"/>
      <c r="L690" s="201"/>
    </row>
    <row r="691" spans="1:12" s="201" customFormat="1" ht="31.5" x14ac:dyDescent="0.25">
      <c r="A691" s="212" t="s">
        <v>940</v>
      </c>
      <c r="B691" s="453">
        <v>906</v>
      </c>
      <c r="C691" s="457" t="s">
        <v>264</v>
      </c>
      <c r="D691" s="457" t="s">
        <v>213</v>
      </c>
      <c r="E691" s="457" t="s">
        <v>1260</v>
      </c>
      <c r="F691" s="457"/>
      <c r="G691" s="455">
        <f>G692</f>
        <v>752.9</v>
      </c>
      <c r="H691" s="455">
        <f t="shared" ref="H691:H693" si="327">H692</f>
        <v>268.57029999999997</v>
      </c>
      <c r="I691" s="455">
        <f t="shared" si="313"/>
        <v>35.671443750830122</v>
      </c>
      <c r="J691" s="478"/>
      <c r="K691" s="463"/>
    </row>
    <row r="692" spans="1:12" s="201" customFormat="1" ht="47.25" x14ac:dyDescent="0.25">
      <c r="A692" s="182" t="s">
        <v>828</v>
      </c>
      <c r="B692" s="452">
        <v>906</v>
      </c>
      <c r="C692" s="454" t="s">
        <v>264</v>
      </c>
      <c r="D692" s="454" t="s">
        <v>213</v>
      </c>
      <c r="E692" s="454" t="s">
        <v>1429</v>
      </c>
      <c r="F692" s="454"/>
      <c r="G692" s="459">
        <f>G693</f>
        <v>752.9</v>
      </c>
      <c r="H692" s="459">
        <f t="shared" si="327"/>
        <v>268.57029999999997</v>
      </c>
      <c r="I692" s="459">
        <f t="shared" si="313"/>
        <v>35.671443750830122</v>
      </c>
      <c r="J692" s="478"/>
      <c r="K692" s="463"/>
    </row>
    <row r="693" spans="1:12" s="201" customFormat="1" ht="31.5" x14ac:dyDescent="0.25">
      <c r="A693" s="31" t="s">
        <v>272</v>
      </c>
      <c r="B693" s="452">
        <v>906</v>
      </c>
      <c r="C693" s="454" t="s">
        <v>264</v>
      </c>
      <c r="D693" s="454" t="s">
        <v>213</v>
      </c>
      <c r="E693" s="454" t="s">
        <v>1429</v>
      </c>
      <c r="F693" s="454" t="s">
        <v>273</v>
      </c>
      <c r="G693" s="459">
        <f>G694</f>
        <v>752.9</v>
      </c>
      <c r="H693" s="459">
        <f t="shared" si="327"/>
        <v>268.57029999999997</v>
      </c>
      <c r="I693" s="459">
        <f t="shared" si="313"/>
        <v>35.671443750830122</v>
      </c>
      <c r="J693" s="478"/>
      <c r="K693" s="463"/>
    </row>
    <row r="694" spans="1:12" s="201" customFormat="1" ht="15.75" x14ac:dyDescent="0.25">
      <c r="A694" s="31" t="s">
        <v>274</v>
      </c>
      <c r="B694" s="452">
        <v>906</v>
      </c>
      <c r="C694" s="454" t="s">
        <v>264</v>
      </c>
      <c r="D694" s="454" t="s">
        <v>213</v>
      </c>
      <c r="E694" s="454" t="s">
        <v>1429</v>
      </c>
      <c r="F694" s="454" t="s">
        <v>275</v>
      </c>
      <c r="G694" s="459">
        <f>678+74.9</f>
        <v>752.9</v>
      </c>
      <c r="H694" s="459">
        <v>268.57029999999997</v>
      </c>
      <c r="I694" s="459">
        <f t="shared" si="313"/>
        <v>35.671443750830122</v>
      </c>
      <c r="J694" s="478"/>
      <c r="K694" s="463"/>
    </row>
    <row r="695" spans="1:12" s="201" customFormat="1" ht="31.5" x14ac:dyDescent="0.25">
      <c r="A695" s="288" t="s">
        <v>1408</v>
      </c>
      <c r="B695" s="453">
        <v>906</v>
      </c>
      <c r="C695" s="457" t="s">
        <v>264</v>
      </c>
      <c r="D695" s="457" t="s">
        <v>213</v>
      </c>
      <c r="E695" s="457" t="s">
        <v>1407</v>
      </c>
      <c r="F695" s="457"/>
      <c r="G695" s="455">
        <f>G696</f>
        <v>5296.5999999999995</v>
      </c>
      <c r="H695" s="455">
        <f t="shared" ref="H695:H697" si="328">H696</f>
        <v>2647.9048499999999</v>
      </c>
      <c r="I695" s="455">
        <f t="shared" si="313"/>
        <v>49.992539553675947</v>
      </c>
      <c r="J695" s="478"/>
      <c r="K695" s="463"/>
    </row>
    <row r="696" spans="1:12" s="201" customFormat="1" ht="51" customHeight="1" x14ac:dyDescent="0.25">
      <c r="A696" s="287" t="s">
        <v>1394</v>
      </c>
      <c r="B696" s="452">
        <v>906</v>
      </c>
      <c r="C696" s="454" t="s">
        <v>264</v>
      </c>
      <c r="D696" s="454" t="s">
        <v>213</v>
      </c>
      <c r="E696" s="454" t="s">
        <v>1454</v>
      </c>
      <c r="F696" s="454"/>
      <c r="G696" s="459">
        <f>G697</f>
        <v>5296.5999999999995</v>
      </c>
      <c r="H696" s="459">
        <f t="shared" si="328"/>
        <v>2647.9048499999999</v>
      </c>
      <c r="I696" s="459">
        <f t="shared" si="313"/>
        <v>49.992539553675947</v>
      </c>
      <c r="J696" s="478"/>
      <c r="K696" s="463"/>
    </row>
    <row r="697" spans="1:12" s="201" customFormat="1" ht="31.5" x14ac:dyDescent="0.25">
      <c r="A697" s="31" t="s">
        <v>272</v>
      </c>
      <c r="B697" s="452">
        <v>906</v>
      </c>
      <c r="C697" s="454" t="s">
        <v>264</v>
      </c>
      <c r="D697" s="454" t="s">
        <v>213</v>
      </c>
      <c r="E697" s="454" t="s">
        <v>1454</v>
      </c>
      <c r="F697" s="454" t="s">
        <v>273</v>
      </c>
      <c r="G697" s="459">
        <f>G698</f>
        <v>5296.5999999999995</v>
      </c>
      <c r="H697" s="459">
        <f t="shared" si="328"/>
        <v>2647.9048499999999</v>
      </c>
      <c r="I697" s="459">
        <f t="shared" si="313"/>
        <v>49.992539553675947</v>
      </c>
      <c r="J697" s="478"/>
      <c r="K697" s="463"/>
    </row>
    <row r="698" spans="1:12" s="201" customFormat="1" ht="15.75" x14ac:dyDescent="0.25">
      <c r="A698" s="31" t="s">
        <v>274</v>
      </c>
      <c r="B698" s="452">
        <v>906</v>
      </c>
      <c r="C698" s="454" t="s">
        <v>264</v>
      </c>
      <c r="D698" s="454" t="s">
        <v>213</v>
      </c>
      <c r="E698" s="454" t="s">
        <v>1454</v>
      </c>
      <c r="F698" s="454" t="s">
        <v>275</v>
      </c>
      <c r="G698" s="459">
        <f>5079.4+217.2</f>
        <v>5296.5999999999995</v>
      </c>
      <c r="H698" s="459">
        <v>2647.9048499999999</v>
      </c>
      <c r="I698" s="459">
        <f t="shared" si="313"/>
        <v>49.992539553675947</v>
      </c>
      <c r="J698" s="478"/>
      <c r="K698" s="463"/>
    </row>
    <row r="699" spans="1:12" s="201" customFormat="1" ht="31.5" x14ac:dyDescent="0.25">
      <c r="A699" s="288" t="s">
        <v>1433</v>
      </c>
      <c r="B699" s="453">
        <v>906</v>
      </c>
      <c r="C699" s="457" t="s">
        <v>264</v>
      </c>
      <c r="D699" s="457" t="s">
        <v>213</v>
      </c>
      <c r="E699" s="457" t="s">
        <v>1418</v>
      </c>
      <c r="F699" s="457"/>
      <c r="G699" s="455">
        <f>G700</f>
        <v>1714</v>
      </c>
      <c r="H699" s="455">
        <f t="shared" ref="H699:H701" si="329">H700</f>
        <v>0</v>
      </c>
      <c r="I699" s="455">
        <f t="shared" si="313"/>
        <v>0</v>
      </c>
      <c r="J699" s="478"/>
      <c r="K699" s="463"/>
    </row>
    <row r="700" spans="1:12" s="201" customFormat="1" ht="15.75" x14ac:dyDescent="0.25">
      <c r="A700" s="287" t="s">
        <v>1419</v>
      </c>
      <c r="B700" s="452">
        <v>906</v>
      </c>
      <c r="C700" s="454" t="s">
        <v>264</v>
      </c>
      <c r="D700" s="454" t="s">
        <v>213</v>
      </c>
      <c r="E700" s="454" t="s">
        <v>1421</v>
      </c>
      <c r="F700" s="454"/>
      <c r="G700" s="459">
        <f>G701</f>
        <v>1714</v>
      </c>
      <c r="H700" s="459">
        <f t="shared" si="329"/>
        <v>0</v>
      </c>
      <c r="I700" s="459">
        <f t="shared" si="313"/>
        <v>0</v>
      </c>
      <c r="J700" s="478"/>
      <c r="K700" s="463"/>
    </row>
    <row r="701" spans="1:12" s="201" customFormat="1" ht="31.5" x14ac:dyDescent="0.25">
      <c r="A701" s="31" t="s">
        <v>272</v>
      </c>
      <c r="B701" s="452">
        <v>906</v>
      </c>
      <c r="C701" s="454" t="s">
        <v>264</v>
      </c>
      <c r="D701" s="454" t="s">
        <v>213</v>
      </c>
      <c r="E701" s="454" t="s">
        <v>1421</v>
      </c>
      <c r="F701" s="454" t="s">
        <v>273</v>
      </c>
      <c r="G701" s="459">
        <f>G702</f>
        <v>1714</v>
      </c>
      <c r="H701" s="459">
        <f t="shared" si="329"/>
        <v>0</v>
      </c>
      <c r="I701" s="459">
        <f t="shared" si="313"/>
        <v>0</v>
      </c>
      <c r="J701" s="478"/>
      <c r="K701" s="463"/>
    </row>
    <row r="702" spans="1:12" s="201" customFormat="1" ht="15.75" x14ac:dyDescent="0.25">
      <c r="A702" s="31" t="s">
        <v>274</v>
      </c>
      <c r="B702" s="452">
        <v>906</v>
      </c>
      <c r="C702" s="454" t="s">
        <v>264</v>
      </c>
      <c r="D702" s="454" t="s">
        <v>213</v>
      </c>
      <c r="E702" s="454" t="s">
        <v>1421</v>
      </c>
      <c r="F702" s="454" t="s">
        <v>275</v>
      </c>
      <c r="G702" s="459">
        <f>84+1630</f>
        <v>1714</v>
      </c>
      <c r="H702" s="459">
        <v>0</v>
      </c>
      <c r="I702" s="459">
        <f t="shared" si="313"/>
        <v>0</v>
      </c>
      <c r="J702" s="478"/>
      <c r="K702" s="463"/>
    </row>
    <row r="703" spans="1:12" s="201" customFormat="1" ht="31.5" x14ac:dyDescent="0.25">
      <c r="A703" s="288" t="s">
        <v>1645</v>
      </c>
      <c r="B703" s="453">
        <v>906</v>
      </c>
      <c r="C703" s="457" t="s">
        <v>264</v>
      </c>
      <c r="D703" s="457" t="s">
        <v>213</v>
      </c>
      <c r="E703" s="457" t="s">
        <v>1646</v>
      </c>
      <c r="F703" s="457"/>
      <c r="G703" s="455">
        <f>G704</f>
        <v>3304.3</v>
      </c>
      <c r="H703" s="455">
        <f t="shared" ref="H703:H705" si="330">H704</f>
        <v>2864.7559999999999</v>
      </c>
      <c r="I703" s="455">
        <f t="shared" si="313"/>
        <v>86.697817994734123</v>
      </c>
      <c r="J703" s="478"/>
      <c r="K703" s="463"/>
    </row>
    <row r="704" spans="1:12" s="202" customFormat="1" ht="31.5" x14ac:dyDescent="0.25">
      <c r="A704" s="287" t="s">
        <v>450</v>
      </c>
      <c r="B704" s="452">
        <v>906</v>
      </c>
      <c r="C704" s="454" t="s">
        <v>264</v>
      </c>
      <c r="D704" s="454" t="s">
        <v>213</v>
      </c>
      <c r="E704" s="454" t="s">
        <v>1647</v>
      </c>
      <c r="F704" s="454"/>
      <c r="G704" s="459">
        <f>G705</f>
        <v>3304.3</v>
      </c>
      <c r="H704" s="459">
        <f t="shared" si="330"/>
        <v>2864.7559999999999</v>
      </c>
      <c r="I704" s="459">
        <f t="shared" si="313"/>
        <v>86.697817994734123</v>
      </c>
      <c r="J704" s="481"/>
      <c r="K704" s="127"/>
    </row>
    <row r="705" spans="1:15" s="201" customFormat="1" ht="31.5" x14ac:dyDescent="0.25">
      <c r="A705" s="31" t="s">
        <v>272</v>
      </c>
      <c r="B705" s="452">
        <v>906</v>
      </c>
      <c r="C705" s="454" t="s">
        <v>264</v>
      </c>
      <c r="D705" s="454" t="s">
        <v>213</v>
      </c>
      <c r="E705" s="454" t="s">
        <v>1647</v>
      </c>
      <c r="F705" s="454" t="s">
        <v>273</v>
      </c>
      <c r="G705" s="459">
        <f>G706</f>
        <v>3304.3</v>
      </c>
      <c r="H705" s="459">
        <f t="shared" si="330"/>
        <v>2864.7559999999999</v>
      </c>
      <c r="I705" s="459">
        <f t="shared" si="313"/>
        <v>86.697817994734123</v>
      </c>
      <c r="J705" s="478"/>
      <c r="K705" s="463"/>
    </row>
    <row r="706" spans="1:15" s="201" customFormat="1" ht="15.75" x14ac:dyDescent="0.25">
      <c r="A706" s="31" t="s">
        <v>274</v>
      </c>
      <c r="B706" s="452">
        <v>906</v>
      </c>
      <c r="C706" s="454" t="s">
        <v>264</v>
      </c>
      <c r="D706" s="454" t="s">
        <v>213</v>
      </c>
      <c r="E706" s="454" t="s">
        <v>1647</v>
      </c>
      <c r="F706" s="454" t="s">
        <v>275</v>
      </c>
      <c r="G706" s="459">
        <v>3304.3</v>
      </c>
      <c r="H706" s="459">
        <v>2864.7559999999999</v>
      </c>
      <c r="I706" s="459">
        <f t="shared" si="313"/>
        <v>86.697817994734123</v>
      </c>
      <c r="J706" s="483"/>
      <c r="K706" s="463"/>
    </row>
    <row r="707" spans="1:15" s="201" customFormat="1" ht="34.5" customHeight="1" x14ac:dyDescent="0.25">
      <c r="A707" s="288" t="s">
        <v>1661</v>
      </c>
      <c r="B707" s="453">
        <v>906</v>
      </c>
      <c r="C707" s="457" t="s">
        <v>264</v>
      </c>
      <c r="D707" s="457" t="s">
        <v>213</v>
      </c>
      <c r="E707" s="457" t="s">
        <v>1663</v>
      </c>
      <c r="F707" s="457"/>
      <c r="G707" s="455">
        <f>G708</f>
        <v>297.185</v>
      </c>
      <c r="H707" s="455">
        <f t="shared" ref="H707:H709" si="331">H708</f>
        <v>263.74900000000002</v>
      </c>
      <c r="I707" s="455">
        <f t="shared" si="313"/>
        <v>88.749095681141384</v>
      </c>
      <c r="J707" s="484"/>
      <c r="K707" s="463"/>
    </row>
    <row r="708" spans="1:15" s="201" customFormat="1" ht="31.5" x14ac:dyDescent="0.25">
      <c r="A708" s="287" t="s">
        <v>1662</v>
      </c>
      <c r="B708" s="452">
        <v>906</v>
      </c>
      <c r="C708" s="454" t="s">
        <v>264</v>
      </c>
      <c r="D708" s="454" t="s">
        <v>213</v>
      </c>
      <c r="E708" s="454" t="s">
        <v>1664</v>
      </c>
      <c r="F708" s="454"/>
      <c r="G708" s="459">
        <f>G709</f>
        <v>297.185</v>
      </c>
      <c r="H708" s="459">
        <f t="shared" si="331"/>
        <v>263.74900000000002</v>
      </c>
      <c r="I708" s="459">
        <f t="shared" si="313"/>
        <v>88.749095681141384</v>
      </c>
      <c r="J708" s="478"/>
      <c r="K708" s="463"/>
    </row>
    <row r="709" spans="1:15" s="201" customFormat="1" ht="31.5" x14ac:dyDescent="0.25">
      <c r="A709" s="31" t="s">
        <v>272</v>
      </c>
      <c r="B709" s="452">
        <v>906</v>
      </c>
      <c r="C709" s="454" t="s">
        <v>264</v>
      </c>
      <c r="D709" s="454" t="s">
        <v>213</v>
      </c>
      <c r="E709" s="454" t="s">
        <v>1664</v>
      </c>
      <c r="F709" s="454" t="s">
        <v>273</v>
      </c>
      <c r="G709" s="459">
        <f>G710</f>
        <v>297.185</v>
      </c>
      <c r="H709" s="459">
        <f t="shared" si="331"/>
        <v>263.74900000000002</v>
      </c>
      <c r="I709" s="459">
        <f t="shared" si="313"/>
        <v>88.749095681141384</v>
      </c>
      <c r="J709" s="485"/>
      <c r="K709" s="463"/>
    </row>
    <row r="710" spans="1:15" s="201" customFormat="1" ht="15.75" x14ac:dyDescent="0.25">
      <c r="A710" s="31" t="s">
        <v>274</v>
      </c>
      <c r="B710" s="452">
        <v>906</v>
      </c>
      <c r="C710" s="454" t="s">
        <v>264</v>
      </c>
      <c r="D710" s="454" t="s">
        <v>213</v>
      </c>
      <c r="E710" s="454" t="s">
        <v>1664</v>
      </c>
      <c r="F710" s="454" t="s">
        <v>275</v>
      </c>
      <c r="G710" s="459">
        <f>285+12.185</f>
        <v>297.185</v>
      </c>
      <c r="H710" s="459">
        <v>263.74900000000002</v>
      </c>
      <c r="I710" s="459">
        <f t="shared" si="313"/>
        <v>88.749095681141384</v>
      </c>
      <c r="J710" s="478"/>
      <c r="K710" s="472"/>
      <c r="L710" s="472"/>
      <c r="M710" s="466" t="s">
        <v>1666</v>
      </c>
      <c r="N710" s="467"/>
      <c r="O710" s="201" t="s">
        <v>1668</v>
      </c>
    </row>
    <row r="711" spans="1:15" s="201" customFormat="1" ht="36" customHeight="1" x14ac:dyDescent="0.25">
      <c r="A711" s="212" t="s">
        <v>1173</v>
      </c>
      <c r="B711" s="453">
        <v>906</v>
      </c>
      <c r="C711" s="457" t="s">
        <v>264</v>
      </c>
      <c r="D711" s="457" t="s">
        <v>213</v>
      </c>
      <c r="E711" s="457" t="s">
        <v>1321</v>
      </c>
      <c r="F711" s="457"/>
      <c r="G711" s="455">
        <f>G712</f>
        <v>1570.7</v>
      </c>
      <c r="H711" s="455">
        <f t="shared" ref="H711:H713" si="332">H712</f>
        <v>1570.7</v>
      </c>
      <c r="I711" s="455">
        <f t="shared" si="313"/>
        <v>100</v>
      </c>
      <c r="J711" s="485"/>
      <c r="K711" s="447"/>
      <c r="L711" s="447"/>
      <c r="M711" s="447" t="s">
        <v>1667</v>
      </c>
      <c r="N711" s="448"/>
    </row>
    <row r="712" spans="1:15" s="201" customFormat="1" ht="63" x14ac:dyDescent="0.25">
      <c r="A712" s="182" t="s">
        <v>1530</v>
      </c>
      <c r="B712" s="452">
        <v>906</v>
      </c>
      <c r="C712" s="454" t="s">
        <v>264</v>
      </c>
      <c r="D712" s="454" t="s">
        <v>213</v>
      </c>
      <c r="E712" s="454" t="s">
        <v>1322</v>
      </c>
      <c r="F712" s="454"/>
      <c r="G712" s="459">
        <f>G713</f>
        <v>1570.7</v>
      </c>
      <c r="H712" s="459">
        <f t="shared" si="332"/>
        <v>1570.7</v>
      </c>
      <c r="I712" s="459">
        <f t="shared" si="313"/>
        <v>100</v>
      </c>
      <c r="J712" s="478"/>
      <c r="K712" s="443"/>
    </row>
    <row r="713" spans="1:15" s="201" customFormat="1" ht="31.5" x14ac:dyDescent="0.25">
      <c r="A713" s="31" t="s">
        <v>272</v>
      </c>
      <c r="B713" s="452">
        <v>906</v>
      </c>
      <c r="C713" s="454" t="s">
        <v>264</v>
      </c>
      <c r="D713" s="454" t="s">
        <v>213</v>
      </c>
      <c r="E713" s="454" t="s">
        <v>1322</v>
      </c>
      <c r="F713" s="454" t="s">
        <v>273</v>
      </c>
      <c r="G713" s="459">
        <f>G714</f>
        <v>1570.7</v>
      </c>
      <c r="H713" s="459">
        <f t="shared" si="332"/>
        <v>1570.7</v>
      </c>
      <c r="I713" s="459">
        <f t="shared" si="313"/>
        <v>100</v>
      </c>
      <c r="J713" s="478"/>
      <c r="K713" s="463"/>
    </row>
    <row r="714" spans="1:15" s="201" customFormat="1" ht="15.75" x14ac:dyDescent="0.25">
      <c r="A714" s="31" t="s">
        <v>274</v>
      </c>
      <c r="B714" s="452">
        <v>906</v>
      </c>
      <c r="C714" s="454" t="s">
        <v>264</v>
      </c>
      <c r="D714" s="454" t="s">
        <v>213</v>
      </c>
      <c r="E714" s="454" t="s">
        <v>1322</v>
      </c>
      <c r="F714" s="454" t="s">
        <v>275</v>
      </c>
      <c r="G714" s="459">
        <f>1506.3+64.4</f>
        <v>1570.7</v>
      </c>
      <c r="H714" s="459">
        <v>1570.7</v>
      </c>
      <c r="I714" s="459">
        <f t="shared" si="313"/>
        <v>100</v>
      </c>
      <c r="J714" s="478"/>
      <c r="K714" s="463"/>
    </row>
    <row r="715" spans="1:15" s="201" customFormat="1" ht="31.5" x14ac:dyDescent="0.25">
      <c r="A715" s="34" t="s">
        <v>1468</v>
      </c>
      <c r="B715" s="453">
        <v>906</v>
      </c>
      <c r="C715" s="457" t="s">
        <v>264</v>
      </c>
      <c r="D715" s="457" t="s">
        <v>213</v>
      </c>
      <c r="E715" s="457" t="s">
        <v>1469</v>
      </c>
      <c r="F715" s="454"/>
      <c r="G715" s="455">
        <f>G716</f>
        <v>2692.1</v>
      </c>
      <c r="H715" s="455">
        <f t="shared" ref="H715:H717" si="333">H716</f>
        <v>2691.1640000000002</v>
      </c>
      <c r="I715" s="455">
        <f t="shared" si="313"/>
        <v>99.965231603580861</v>
      </c>
      <c r="J715" s="478"/>
      <c r="K715" s="463"/>
    </row>
    <row r="716" spans="1:15" s="201" customFormat="1" ht="56.25" customHeight="1" x14ac:dyDescent="0.25">
      <c r="A716" s="31" t="s">
        <v>1531</v>
      </c>
      <c r="B716" s="452">
        <v>906</v>
      </c>
      <c r="C716" s="454" t="s">
        <v>264</v>
      </c>
      <c r="D716" s="454" t="s">
        <v>213</v>
      </c>
      <c r="E716" s="454" t="s">
        <v>1470</v>
      </c>
      <c r="F716" s="454"/>
      <c r="G716" s="459">
        <f>G717</f>
        <v>2692.1</v>
      </c>
      <c r="H716" s="459">
        <f t="shared" si="333"/>
        <v>2691.1640000000002</v>
      </c>
      <c r="I716" s="459">
        <f t="shared" ref="I716:I779" si="334">H716/G716*100</f>
        <v>99.965231603580861</v>
      </c>
      <c r="J716" s="478"/>
      <c r="K716" s="463"/>
      <c r="M716" s="381"/>
    </row>
    <row r="717" spans="1:15" s="201" customFormat="1" ht="31.5" x14ac:dyDescent="0.25">
      <c r="A717" s="31" t="s">
        <v>272</v>
      </c>
      <c r="B717" s="452">
        <v>906</v>
      </c>
      <c r="C717" s="454" t="s">
        <v>264</v>
      </c>
      <c r="D717" s="454" t="s">
        <v>213</v>
      </c>
      <c r="E717" s="454" t="s">
        <v>1470</v>
      </c>
      <c r="F717" s="454" t="s">
        <v>273</v>
      </c>
      <c r="G717" s="459">
        <f>G718</f>
        <v>2692.1</v>
      </c>
      <c r="H717" s="459">
        <f t="shared" si="333"/>
        <v>2691.1640000000002</v>
      </c>
      <c r="I717" s="459">
        <f t="shared" si="334"/>
        <v>99.965231603580861</v>
      </c>
      <c r="J717" s="478"/>
      <c r="K717" s="463"/>
    </row>
    <row r="718" spans="1:15" s="201" customFormat="1" ht="15.75" x14ac:dyDescent="0.25">
      <c r="A718" s="31" t="s">
        <v>274</v>
      </c>
      <c r="B718" s="452">
        <v>906</v>
      </c>
      <c r="C718" s="454" t="s">
        <v>264</v>
      </c>
      <c r="D718" s="454" t="s">
        <v>213</v>
      </c>
      <c r="E718" s="454" t="s">
        <v>1470</v>
      </c>
      <c r="F718" s="454" t="s">
        <v>275</v>
      </c>
      <c r="G718" s="459">
        <f>2581.7+110.4</f>
        <v>2692.1</v>
      </c>
      <c r="H718" s="459">
        <v>2691.1640000000002</v>
      </c>
      <c r="I718" s="459">
        <f t="shared" si="334"/>
        <v>99.965231603580861</v>
      </c>
      <c r="J718" s="481"/>
      <c r="K718" s="127"/>
      <c r="L718" s="202"/>
    </row>
    <row r="719" spans="1:15" ht="47.25" hidden="1" x14ac:dyDescent="0.25">
      <c r="A719" s="34" t="s">
        <v>1360</v>
      </c>
      <c r="B719" s="453">
        <v>906</v>
      </c>
      <c r="C719" s="457" t="s">
        <v>264</v>
      </c>
      <c r="D719" s="457" t="s">
        <v>213</v>
      </c>
      <c r="E719" s="457" t="s">
        <v>324</v>
      </c>
      <c r="F719" s="457"/>
      <c r="G719" s="455">
        <f>G720</f>
        <v>0</v>
      </c>
      <c r="H719" s="455">
        <f t="shared" ref="H719:H722" si="335">H720</f>
        <v>0</v>
      </c>
      <c r="I719" s="455" t="e">
        <f t="shared" si="334"/>
        <v>#DIV/0!</v>
      </c>
      <c r="J719" s="478"/>
      <c r="K719" s="463"/>
      <c r="L719" s="201"/>
    </row>
    <row r="720" spans="1:15" s="201" customFormat="1" ht="47.25" hidden="1" x14ac:dyDescent="0.25">
      <c r="A720" s="34" t="s">
        <v>1024</v>
      </c>
      <c r="B720" s="453">
        <v>906</v>
      </c>
      <c r="C720" s="457" t="s">
        <v>264</v>
      </c>
      <c r="D720" s="457" t="s">
        <v>213</v>
      </c>
      <c r="E720" s="457" t="s">
        <v>934</v>
      </c>
      <c r="F720" s="457"/>
      <c r="G720" s="455">
        <f>G721</f>
        <v>0</v>
      </c>
      <c r="H720" s="455">
        <f t="shared" si="335"/>
        <v>0</v>
      </c>
      <c r="I720" s="455" t="e">
        <f t="shared" si="334"/>
        <v>#DIV/0!</v>
      </c>
      <c r="J720" s="478"/>
      <c r="K720" s="463"/>
    </row>
    <row r="721" spans="1:12" ht="47.25" hidden="1" x14ac:dyDescent="0.25">
      <c r="A721" s="31" t="s">
        <v>1082</v>
      </c>
      <c r="B721" s="452">
        <v>906</v>
      </c>
      <c r="C721" s="454" t="s">
        <v>264</v>
      </c>
      <c r="D721" s="454" t="s">
        <v>213</v>
      </c>
      <c r="E721" s="454" t="s">
        <v>935</v>
      </c>
      <c r="F721" s="454"/>
      <c r="G721" s="459">
        <f>G722</f>
        <v>0</v>
      </c>
      <c r="H721" s="459">
        <f t="shared" si="335"/>
        <v>0</v>
      </c>
      <c r="I721" s="455" t="e">
        <f t="shared" si="334"/>
        <v>#DIV/0!</v>
      </c>
      <c r="J721" s="478"/>
      <c r="K721" s="463"/>
      <c r="L721" s="201"/>
    </row>
    <row r="722" spans="1:12" ht="31.5" hidden="1" x14ac:dyDescent="0.25">
      <c r="A722" s="31" t="s">
        <v>272</v>
      </c>
      <c r="B722" s="452">
        <v>906</v>
      </c>
      <c r="C722" s="454" t="s">
        <v>264</v>
      </c>
      <c r="D722" s="454" t="s">
        <v>213</v>
      </c>
      <c r="E722" s="454" t="s">
        <v>935</v>
      </c>
      <c r="F722" s="454" t="s">
        <v>273</v>
      </c>
      <c r="G722" s="459">
        <f>G723</f>
        <v>0</v>
      </c>
      <c r="H722" s="459">
        <f t="shared" si="335"/>
        <v>0</v>
      </c>
      <c r="I722" s="455" t="e">
        <f t="shared" si="334"/>
        <v>#DIV/0!</v>
      </c>
      <c r="J722" s="478"/>
      <c r="K722" s="463"/>
      <c r="L722" s="201"/>
    </row>
    <row r="723" spans="1:12" ht="15.75" hidden="1" x14ac:dyDescent="0.25">
      <c r="A723" s="31" t="s">
        <v>274</v>
      </c>
      <c r="B723" s="452">
        <v>906</v>
      </c>
      <c r="C723" s="454" t="s">
        <v>264</v>
      </c>
      <c r="D723" s="454" t="s">
        <v>213</v>
      </c>
      <c r="E723" s="454" t="s">
        <v>935</v>
      </c>
      <c r="F723" s="454" t="s">
        <v>275</v>
      </c>
      <c r="G723" s="459">
        <v>0</v>
      </c>
      <c r="H723" s="459">
        <v>0</v>
      </c>
      <c r="I723" s="455" t="e">
        <f t="shared" si="334"/>
        <v>#DIV/0!</v>
      </c>
      <c r="J723" s="478"/>
      <c r="K723" s="463"/>
      <c r="L723" s="201"/>
    </row>
    <row r="724" spans="1:12" ht="47.25" x14ac:dyDescent="0.25">
      <c r="A724" s="462" t="s">
        <v>1344</v>
      </c>
      <c r="B724" s="453">
        <v>906</v>
      </c>
      <c r="C724" s="457" t="s">
        <v>264</v>
      </c>
      <c r="D724" s="457" t="s">
        <v>213</v>
      </c>
      <c r="E724" s="457" t="s">
        <v>705</v>
      </c>
      <c r="F724" s="465"/>
      <c r="G724" s="455">
        <f>G725</f>
        <v>837</v>
      </c>
      <c r="H724" s="455">
        <f t="shared" ref="H724:H727" si="336">H725</f>
        <v>522.16800000000001</v>
      </c>
      <c r="I724" s="455">
        <f t="shared" si="334"/>
        <v>62.385663082437283</v>
      </c>
      <c r="J724" s="478"/>
      <c r="K724" s="463"/>
      <c r="L724" s="201"/>
    </row>
    <row r="725" spans="1:12" s="201" customFormat="1" ht="47.25" x14ac:dyDescent="0.25">
      <c r="A725" s="462" t="s">
        <v>890</v>
      </c>
      <c r="B725" s="453">
        <v>906</v>
      </c>
      <c r="C725" s="457" t="s">
        <v>264</v>
      </c>
      <c r="D725" s="457" t="s">
        <v>213</v>
      </c>
      <c r="E725" s="457" t="s">
        <v>888</v>
      </c>
      <c r="F725" s="465"/>
      <c r="G725" s="455">
        <f>G726</f>
        <v>837</v>
      </c>
      <c r="H725" s="455">
        <f t="shared" si="336"/>
        <v>522.16800000000001</v>
      </c>
      <c r="I725" s="455">
        <f t="shared" si="334"/>
        <v>62.385663082437283</v>
      </c>
      <c r="J725" s="478"/>
      <c r="K725" s="463"/>
    </row>
    <row r="726" spans="1:12" ht="35.450000000000003" customHeight="1" x14ac:dyDescent="0.25">
      <c r="A726" s="98" t="s">
        <v>780</v>
      </c>
      <c r="B726" s="452">
        <v>906</v>
      </c>
      <c r="C726" s="454" t="s">
        <v>264</v>
      </c>
      <c r="D726" s="454" t="s">
        <v>213</v>
      </c>
      <c r="E726" s="454" t="s">
        <v>936</v>
      </c>
      <c r="F726" s="460"/>
      <c r="G726" s="459">
        <f>G727</f>
        <v>837</v>
      </c>
      <c r="H726" s="459">
        <f t="shared" si="336"/>
        <v>522.16800000000001</v>
      </c>
      <c r="I726" s="459">
        <f t="shared" si="334"/>
        <v>62.385663082437283</v>
      </c>
      <c r="J726" s="478"/>
      <c r="K726" s="463"/>
      <c r="L726" s="201"/>
    </row>
    <row r="727" spans="1:12" ht="39.75" customHeight="1" x14ac:dyDescent="0.25">
      <c r="A727" s="29" t="s">
        <v>272</v>
      </c>
      <c r="B727" s="452">
        <v>906</v>
      </c>
      <c r="C727" s="454" t="s">
        <v>264</v>
      </c>
      <c r="D727" s="454" t="s">
        <v>213</v>
      </c>
      <c r="E727" s="454" t="s">
        <v>936</v>
      </c>
      <c r="F727" s="460" t="s">
        <v>273</v>
      </c>
      <c r="G727" s="459">
        <f>G728</f>
        <v>837</v>
      </c>
      <c r="H727" s="459">
        <f t="shared" si="336"/>
        <v>522.16800000000001</v>
      </c>
      <c r="I727" s="459">
        <f t="shared" si="334"/>
        <v>62.385663082437283</v>
      </c>
      <c r="J727" s="478"/>
      <c r="K727" s="463"/>
      <c r="L727" s="201"/>
    </row>
    <row r="728" spans="1:12" ht="15.75" x14ac:dyDescent="0.25">
      <c r="A728" s="182" t="s">
        <v>274</v>
      </c>
      <c r="B728" s="452">
        <v>906</v>
      </c>
      <c r="C728" s="454" t="s">
        <v>264</v>
      </c>
      <c r="D728" s="454" t="s">
        <v>213</v>
      </c>
      <c r="E728" s="454" t="s">
        <v>936</v>
      </c>
      <c r="F728" s="460" t="s">
        <v>275</v>
      </c>
      <c r="G728" s="459">
        <v>837</v>
      </c>
      <c r="H728" s="459">
        <v>522.16800000000001</v>
      </c>
      <c r="I728" s="459">
        <f t="shared" si="334"/>
        <v>62.385663082437283</v>
      </c>
      <c r="J728" s="478"/>
      <c r="K728" s="463"/>
      <c r="L728" s="201"/>
    </row>
    <row r="729" spans="1:12" ht="15.75" x14ac:dyDescent="0.25">
      <c r="A729" s="456" t="s">
        <v>265</v>
      </c>
      <c r="B729" s="453">
        <v>906</v>
      </c>
      <c r="C729" s="457" t="s">
        <v>264</v>
      </c>
      <c r="D729" s="457" t="s">
        <v>215</v>
      </c>
      <c r="E729" s="457"/>
      <c r="F729" s="457"/>
      <c r="G729" s="44">
        <f>G730+G756</f>
        <v>42586.650000000009</v>
      </c>
      <c r="H729" s="44">
        <f t="shared" ref="H729" si="337">H730+H756</f>
        <v>26619.925579999999</v>
      </c>
      <c r="I729" s="455">
        <f t="shared" si="334"/>
        <v>62.507676889353817</v>
      </c>
      <c r="J729" s="478"/>
      <c r="K729" s="463"/>
      <c r="L729" s="201"/>
    </row>
    <row r="730" spans="1:12" ht="36.75" customHeight="1" x14ac:dyDescent="0.25">
      <c r="A730" s="456" t="s">
        <v>1359</v>
      </c>
      <c r="B730" s="453">
        <v>906</v>
      </c>
      <c r="C730" s="457" t="s">
        <v>264</v>
      </c>
      <c r="D730" s="457" t="s">
        <v>215</v>
      </c>
      <c r="E730" s="457" t="s">
        <v>406</v>
      </c>
      <c r="F730" s="457"/>
      <c r="G730" s="44">
        <f>G731+G738+G752</f>
        <v>42290.350000000006</v>
      </c>
      <c r="H730" s="44">
        <f t="shared" ref="H730" si="338">H731+H738+H752</f>
        <v>26448.364460000001</v>
      </c>
      <c r="I730" s="455">
        <f t="shared" si="334"/>
        <v>62.539951691106829</v>
      </c>
      <c r="J730" s="478"/>
      <c r="K730" s="463"/>
      <c r="L730" s="201"/>
    </row>
    <row r="731" spans="1:12" s="201" customFormat="1" ht="36.75" customHeight="1" x14ac:dyDescent="0.25">
      <c r="A731" s="456" t="s">
        <v>937</v>
      </c>
      <c r="B731" s="453">
        <v>906</v>
      </c>
      <c r="C731" s="457" t="s">
        <v>264</v>
      </c>
      <c r="D731" s="457" t="s">
        <v>215</v>
      </c>
      <c r="E731" s="457" t="s">
        <v>1231</v>
      </c>
      <c r="F731" s="457"/>
      <c r="G731" s="44">
        <f>G732+G735</f>
        <v>38647.350000000006</v>
      </c>
      <c r="H731" s="44">
        <f t="shared" ref="H731" si="339">H732+H735</f>
        <v>23664.16446</v>
      </c>
      <c r="I731" s="455">
        <f t="shared" si="334"/>
        <v>61.231014442128625</v>
      </c>
      <c r="J731" s="478"/>
      <c r="K731" s="463"/>
    </row>
    <row r="732" spans="1:12" ht="31.5" x14ac:dyDescent="0.25">
      <c r="A732" s="458" t="s">
        <v>270</v>
      </c>
      <c r="B732" s="452">
        <v>906</v>
      </c>
      <c r="C732" s="454" t="s">
        <v>264</v>
      </c>
      <c r="D732" s="454" t="s">
        <v>215</v>
      </c>
      <c r="E732" s="454" t="s">
        <v>1261</v>
      </c>
      <c r="F732" s="454"/>
      <c r="G732" s="27">
        <f>G733</f>
        <v>14829.75</v>
      </c>
      <c r="H732" s="27">
        <f t="shared" ref="H732:H733" si="340">H733</f>
        <v>9474.5774600000004</v>
      </c>
      <c r="I732" s="459">
        <f t="shared" si="334"/>
        <v>63.888989767190949</v>
      </c>
      <c r="J732" s="478"/>
      <c r="K732" s="463"/>
      <c r="L732" s="201"/>
    </row>
    <row r="733" spans="1:12" ht="36.75" customHeight="1" x14ac:dyDescent="0.25">
      <c r="A733" s="458" t="s">
        <v>272</v>
      </c>
      <c r="B733" s="452">
        <v>906</v>
      </c>
      <c r="C733" s="454" t="s">
        <v>264</v>
      </c>
      <c r="D733" s="454" t="s">
        <v>215</v>
      </c>
      <c r="E733" s="454" t="s">
        <v>1261</v>
      </c>
      <c r="F733" s="454" t="s">
        <v>273</v>
      </c>
      <c r="G733" s="27">
        <f>G734</f>
        <v>14829.75</v>
      </c>
      <c r="H733" s="27">
        <f t="shared" si="340"/>
        <v>9474.5774600000004</v>
      </c>
      <c r="I733" s="459">
        <f t="shared" si="334"/>
        <v>63.888989767190949</v>
      </c>
      <c r="J733" s="478"/>
      <c r="K733" s="463"/>
      <c r="L733" s="201"/>
    </row>
    <row r="734" spans="1:12" ht="15.75" x14ac:dyDescent="0.25">
      <c r="A734" s="458" t="s">
        <v>274</v>
      </c>
      <c r="B734" s="452">
        <v>906</v>
      </c>
      <c r="C734" s="454" t="s">
        <v>264</v>
      </c>
      <c r="D734" s="454" t="s">
        <v>215</v>
      </c>
      <c r="E734" s="454" t="s">
        <v>1261</v>
      </c>
      <c r="F734" s="454" t="s">
        <v>275</v>
      </c>
      <c r="G734" s="27">
        <f>14834.95-5.2</f>
        <v>14829.75</v>
      </c>
      <c r="H734" s="27">
        <v>9474.5774600000004</v>
      </c>
      <c r="I734" s="459">
        <f t="shared" si="334"/>
        <v>63.888989767190949</v>
      </c>
      <c r="J734" s="478"/>
      <c r="K734" s="463"/>
      <c r="L734" s="201"/>
    </row>
    <row r="735" spans="1:12" s="201" customFormat="1" ht="31.5" x14ac:dyDescent="0.25">
      <c r="A735" s="31" t="s">
        <v>1514</v>
      </c>
      <c r="B735" s="452">
        <v>906</v>
      </c>
      <c r="C735" s="454" t="s">
        <v>264</v>
      </c>
      <c r="D735" s="454" t="s">
        <v>215</v>
      </c>
      <c r="E735" s="454" t="s">
        <v>1513</v>
      </c>
      <c r="F735" s="454"/>
      <c r="G735" s="27">
        <f>G736</f>
        <v>23817.600000000002</v>
      </c>
      <c r="H735" s="27">
        <f t="shared" ref="H735:H736" si="341">H736</f>
        <v>14189.587</v>
      </c>
      <c r="I735" s="459">
        <f t="shared" si="334"/>
        <v>59.576057201397283</v>
      </c>
      <c r="J735" s="478"/>
      <c r="K735" s="463"/>
    </row>
    <row r="736" spans="1:12" s="201" customFormat="1" ht="31.5" x14ac:dyDescent="0.25">
      <c r="A736" s="458" t="s">
        <v>272</v>
      </c>
      <c r="B736" s="452">
        <v>906</v>
      </c>
      <c r="C736" s="454" t="s">
        <v>264</v>
      </c>
      <c r="D736" s="454" t="s">
        <v>215</v>
      </c>
      <c r="E736" s="454" t="s">
        <v>1513</v>
      </c>
      <c r="F736" s="454" t="s">
        <v>273</v>
      </c>
      <c r="G736" s="27">
        <f>G737</f>
        <v>23817.600000000002</v>
      </c>
      <c r="H736" s="27">
        <f t="shared" si="341"/>
        <v>14189.587</v>
      </c>
      <c r="I736" s="459">
        <f t="shared" si="334"/>
        <v>59.576057201397283</v>
      </c>
      <c r="J736" s="478"/>
      <c r="K736" s="463"/>
    </row>
    <row r="737" spans="1:12" s="201" customFormat="1" ht="15.75" x14ac:dyDescent="0.25">
      <c r="A737" s="31" t="s">
        <v>274</v>
      </c>
      <c r="B737" s="452">
        <v>906</v>
      </c>
      <c r="C737" s="454" t="s">
        <v>264</v>
      </c>
      <c r="D737" s="454" t="s">
        <v>215</v>
      </c>
      <c r="E737" s="454" t="s">
        <v>1513</v>
      </c>
      <c r="F737" s="454" t="s">
        <v>275</v>
      </c>
      <c r="G737" s="27">
        <f>17677.27+4071.2+2069.13</f>
        <v>23817.600000000002</v>
      </c>
      <c r="H737" s="27">
        <v>14189.587</v>
      </c>
      <c r="I737" s="459">
        <f t="shared" si="334"/>
        <v>59.576057201397283</v>
      </c>
      <c r="J737" s="478"/>
      <c r="K737" s="463"/>
    </row>
    <row r="738" spans="1:12" s="201" customFormat="1" ht="36" customHeight="1" x14ac:dyDescent="0.25">
      <c r="A738" s="456" t="s">
        <v>900</v>
      </c>
      <c r="B738" s="453">
        <v>906</v>
      </c>
      <c r="C738" s="457" t="s">
        <v>264</v>
      </c>
      <c r="D738" s="457" t="s">
        <v>215</v>
      </c>
      <c r="E738" s="457" t="s">
        <v>1233</v>
      </c>
      <c r="F738" s="457"/>
      <c r="G738" s="44">
        <f>G742+G745+G739</f>
        <v>2243</v>
      </c>
      <c r="H738" s="44">
        <f t="shared" ref="H738" si="342">H742+H745+H739</f>
        <v>1684.2</v>
      </c>
      <c r="I738" s="455">
        <f t="shared" si="334"/>
        <v>75.086937137761936</v>
      </c>
      <c r="J738" s="478"/>
      <c r="K738" s="463"/>
    </row>
    <row r="739" spans="1:12" s="201" customFormat="1" ht="91.15" customHeight="1" x14ac:dyDescent="0.25">
      <c r="A739" s="31" t="s">
        <v>293</v>
      </c>
      <c r="B739" s="452">
        <v>906</v>
      </c>
      <c r="C739" s="454" t="s">
        <v>264</v>
      </c>
      <c r="D739" s="454" t="s">
        <v>215</v>
      </c>
      <c r="E739" s="454" t="s">
        <v>1393</v>
      </c>
      <c r="F739" s="454"/>
      <c r="G739" s="27">
        <f>G740</f>
        <v>1400</v>
      </c>
      <c r="H739" s="27">
        <f t="shared" ref="H739:H740" si="343">H740</f>
        <v>1062</v>
      </c>
      <c r="I739" s="459">
        <f t="shared" si="334"/>
        <v>75.857142857142861</v>
      </c>
      <c r="J739" s="478"/>
      <c r="K739" s="463"/>
    </row>
    <row r="740" spans="1:12" s="201" customFormat="1" ht="36" customHeight="1" x14ac:dyDescent="0.25">
      <c r="A740" s="458" t="s">
        <v>272</v>
      </c>
      <c r="B740" s="452">
        <v>906</v>
      </c>
      <c r="C740" s="454" t="s">
        <v>264</v>
      </c>
      <c r="D740" s="454" t="s">
        <v>215</v>
      </c>
      <c r="E740" s="454" t="s">
        <v>1393</v>
      </c>
      <c r="F740" s="454" t="s">
        <v>273</v>
      </c>
      <c r="G740" s="27">
        <f>G741</f>
        <v>1400</v>
      </c>
      <c r="H740" s="27">
        <f t="shared" si="343"/>
        <v>1062</v>
      </c>
      <c r="I740" s="459">
        <f t="shared" si="334"/>
        <v>75.857142857142861</v>
      </c>
      <c r="J740" s="478"/>
      <c r="K740" s="463"/>
    </row>
    <row r="741" spans="1:12" s="201" customFormat="1" ht="23.1" customHeight="1" x14ac:dyDescent="0.25">
      <c r="A741" s="458" t="s">
        <v>274</v>
      </c>
      <c r="B741" s="452">
        <v>906</v>
      </c>
      <c r="C741" s="454" t="s">
        <v>264</v>
      </c>
      <c r="D741" s="454" t="s">
        <v>215</v>
      </c>
      <c r="E741" s="454" t="s">
        <v>1393</v>
      </c>
      <c r="F741" s="454" t="s">
        <v>275</v>
      </c>
      <c r="G741" s="27">
        <v>1400</v>
      </c>
      <c r="H741" s="27">
        <v>1062</v>
      </c>
      <c r="I741" s="459">
        <f t="shared" si="334"/>
        <v>75.857142857142861</v>
      </c>
      <c r="J741" s="478"/>
      <c r="K741" s="463"/>
    </row>
    <row r="742" spans="1:12" s="201" customFormat="1" ht="60.75" customHeight="1" x14ac:dyDescent="0.25">
      <c r="A742" s="31" t="s">
        <v>289</v>
      </c>
      <c r="B742" s="452">
        <v>906</v>
      </c>
      <c r="C742" s="454" t="s">
        <v>264</v>
      </c>
      <c r="D742" s="454" t="s">
        <v>215</v>
      </c>
      <c r="E742" s="454" t="s">
        <v>1234</v>
      </c>
      <c r="F742" s="454"/>
      <c r="G742" s="27">
        <f>G743</f>
        <v>179</v>
      </c>
      <c r="H742" s="27">
        <f t="shared" ref="H742:H743" si="344">H743</f>
        <v>101.2</v>
      </c>
      <c r="I742" s="459">
        <f t="shared" si="334"/>
        <v>56.536312849162016</v>
      </c>
      <c r="J742" s="478"/>
      <c r="K742" s="463"/>
    </row>
    <row r="743" spans="1:12" s="201" customFormat="1" ht="31.5" x14ac:dyDescent="0.25">
      <c r="A743" s="458" t="s">
        <v>272</v>
      </c>
      <c r="B743" s="452">
        <v>906</v>
      </c>
      <c r="C743" s="454" t="s">
        <v>264</v>
      </c>
      <c r="D743" s="454" t="s">
        <v>215</v>
      </c>
      <c r="E743" s="454" t="s">
        <v>1234</v>
      </c>
      <c r="F743" s="454" t="s">
        <v>273</v>
      </c>
      <c r="G743" s="27">
        <f>G744</f>
        <v>179</v>
      </c>
      <c r="H743" s="27">
        <f t="shared" si="344"/>
        <v>101.2</v>
      </c>
      <c r="I743" s="459">
        <f t="shared" si="334"/>
        <v>56.536312849162016</v>
      </c>
      <c r="J743" s="478"/>
      <c r="K743" s="463"/>
    </row>
    <row r="744" spans="1:12" s="201" customFormat="1" ht="15.75" x14ac:dyDescent="0.25">
      <c r="A744" s="458" t="s">
        <v>274</v>
      </c>
      <c r="B744" s="452">
        <v>906</v>
      </c>
      <c r="C744" s="454" t="s">
        <v>264</v>
      </c>
      <c r="D744" s="454" t="s">
        <v>215</v>
      </c>
      <c r="E744" s="454" t="s">
        <v>1234</v>
      </c>
      <c r="F744" s="454" t="s">
        <v>275</v>
      </c>
      <c r="G744" s="27">
        <v>179</v>
      </c>
      <c r="H744" s="27">
        <v>101.2</v>
      </c>
      <c r="I744" s="459">
        <f t="shared" si="334"/>
        <v>56.536312849162016</v>
      </c>
      <c r="J744" s="478"/>
      <c r="K744" s="463"/>
    </row>
    <row r="745" spans="1:12" s="201" customFormat="1" ht="63" x14ac:dyDescent="0.25">
      <c r="A745" s="31" t="s">
        <v>291</v>
      </c>
      <c r="B745" s="452">
        <v>906</v>
      </c>
      <c r="C745" s="454" t="s">
        <v>264</v>
      </c>
      <c r="D745" s="454" t="s">
        <v>215</v>
      </c>
      <c r="E745" s="454" t="s">
        <v>1235</v>
      </c>
      <c r="F745" s="454"/>
      <c r="G745" s="27">
        <f>G746</f>
        <v>664</v>
      </c>
      <c r="H745" s="27">
        <f t="shared" ref="H745:H746" si="345">H746</f>
        <v>521</v>
      </c>
      <c r="I745" s="459">
        <f t="shared" si="334"/>
        <v>78.463855421686745</v>
      </c>
      <c r="J745" s="478"/>
      <c r="K745" s="463"/>
    </row>
    <row r="746" spans="1:12" s="201" customFormat="1" ht="31.5" x14ac:dyDescent="0.25">
      <c r="A746" s="458" t="s">
        <v>272</v>
      </c>
      <c r="B746" s="452">
        <v>906</v>
      </c>
      <c r="C746" s="454" t="s">
        <v>264</v>
      </c>
      <c r="D746" s="454" t="s">
        <v>215</v>
      </c>
      <c r="E746" s="454" t="s">
        <v>1235</v>
      </c>
      <c r="F746" s="454" t="s">
        <v>273</v>
      </c>
      <c r="G746" s="27">
        <f>G747</f>
        <v>664</v>
      </c>
      <c r="H746" s="27">
        <f t="shared" si="345"/>
        <v>521</v>
      </c>
      <c r="I746" s="459">
        <f t="shared" si="334"/>
        <v>78.463855421686745</v>
      </c>
      <c r="J746" s="478"/>
      <c r="K746" s="463"/>
    </row>
    <row r="747" spans="1:12" s="201" customFormat="1" ht="15.75" x14ac:dyDescent="0.25">
      <c r="A747" s="458" t="s">
        <v>274</v>
      </c>
      <c r="B747" s="452">
        <v>906</v>
      </c>
      <c r="C747" s="454" t="s">
        <v>264</v>
      </c>
      <c r="D747" s="454" t="s">
        <v>215</v>
      </c>
      <c r="E747" s="454" t="s">
        <v>1235</v>
      </c>
      <c r="F747" s="454" t="s">
        <v>275</v>
      </c>
      <c r="G747" s="27">
        <f>549.46+0.04+114.5</f>
        <v>664</v>
      </c>
      <c r="H747" s="27">
        <v>521</v>
      </c>
      <c r="I747" s="459">
        <f t="shared" si="334"/>
        <v>78.463855421686745</v>
      </c>
      <c r="J747" s="478"/>
      <c r="K747" s="463"/>
    </row>
    <row r="748" spans="1:12" s="201" customFormat="1" ht="30.75" hidden="1" customHeight="1" x14ac:dyDescent="0.25">
      <c r="A748" s="456" t="s">
        <v>1293</v>
      </c>
      <c r="B748" s="453">
        <v>906</v>
      </c>
      <c r="C748" s="457" t="s">
        <v>264</v>
      </c>
      <c r="D748" s="457" t="s">
        <v>215</v>
      </c>
      <c r="E748" s="457" t="s">
        <v>1238</v>
      </c>
      <c r="F748" s="457"/>
      <c r="G748" s="44">
        <f>G749</f>
        <v>0</v>
      </c>
      <c r="H748" s="44">
        <f t="shared" ref="H748:H750" si="346">H749</f>
        <v>0</v>
      </c>
      <c r="I748" s="455" t="e">
        <f t="shared" si="334"/>
        <v>#DIV/0!</v>
      </c>
      <c r="J748" s="478"/>
      <c r="K748" s="463"/>
    </row>
    <row r="749" spans="1:12" ht="31.5" hidden="1" x14ac:dyDescent="0.25">
      <c r="A749" s="45" t="s">
        <v>766</v>
      </c>
      <c r="B749" s="452">
        <v>906</v>
      </c>
      <c r="C749" s="454" t="s">
        <v>264</v>
      </c>
      <c r="D749" s="454" t="s">
        <v>215</v>
      </c>
      <c r="E749" s="454" t="s">
        <v>1330</v>
      </c>
      <c r="F749" s="454"/>
      <c r="G749" s="27">
        <f>G750</f>
        <v>0</v>
      </c>
      <c r="H749" s="27">
        <f t="shared" si="346"/>
        <v>0</v>
      </c>
      <c r="I749" s="455" t="e">
        <f t="shared" si="334"/>
        <v>#DIV/0!</v>
      </c>
      <c r="J749" s="478"/>
      <c r="K749" s="463"/>
      <c r="L749" s="201"/>
    </row>
    <row r="750" spans="1:12" ht="31.5" hidden="1" x14ac:dyDescent="0.25">
      <c r="A750" s="31" t="s">
        <v>272</v>
      </c>
      <c r="B750" s="452">
        <v>906</v>
      </c>
      <c r="C750" s="454" t="s">
        <v>264</v>
      </c>
      <c r="D750" s="454" t="s">
        <v>215</v>
      </c>
      <c r="E750" s="454" t="s">
        <v>1330</v>
      </c>
      <c r="F750" s="454" t="s">
        <v>273</v>
      </c>
      <c r="G750" s="27">
        <f>G751</f>
        <v>0</v>
      </c>
      <c r="H750" s="27">
        <f t="shared" si="346"/>
        <v>0</v>
      </c>
      <c r="I750" s="455" t="e">
        <f t="shared" si="334"/>
        <v>#DIV/0!</v>
      </c>
      <c r="J750" s="478"/>
      <c r="K750" s="463"/>
      <c r="L750" s="201"/>
    </row>
    <row r="751" spans="1:12" ht="15.75" hidden="1" x14ac:dyDescent="0.25">
      <c r="A751" s="31" t="s">
        <v>274</v>
      </c>
      <c r="B751" s="452">
        <v>906</v>
      </c>
      <c r="C751" s="454" t="s">
        <v>264</v>
      </c>
      <c r="D751" s="454" t="s">
        <v>215</v>
      </c>
      <c r="E751" s="454" t="s">
        <v>1330</v>
      </c>
      <c r="F751" s="454" t="s">
        <v>275</v>
      </c>
      <c r="G751" s="27">
        <v>0</v>
      </c>
      <c r="H751" s="27">
        <v>0</v>
      </c>
      <c r="I751" s="455" t="e">
        <f t="shared" si="334"/>
        <v>#DIV/0!</v>
      </c>
      <c r="J751" s="478"/>
      <c r="K751" s="463"/>
      <c r="L751" s="201"/>
    </row>
    <row r="752" spans="1:12" s="201" customFormat="1" ht="31.5" x14ac:dyDescent="0.25">
      <c r="A752" s="214" t="s">
        <v>948</v>
      </c>
      <c r="B752" s="453">
        <v>906</v>
      </c>
      <c r="C752" s="457" t="s">
        <v>264</v>
      </c>
      <c r="D752" s="457" t="s">
        <v>215</v>
      </c>
      <c r="E752" s="457" t="s">
        <v>1241</v>
      </c>
      <c r="F752" s="457"/>
      <c r="G752" s="44">
        <f>G753</f>
        <v>1400</v>
      </c>
      <c r="H752" s="44">
        <f t="shared" ref="H752:H754" si="347">H753</f>
        <v>1100</v>
      </c>
      <c r="I752" s="455">
        <f t="shared" si="334"/>
        <v>78.571428571428569</v>
      </c>
      <c r="J752" s="478"/>
      <c r="K752" s="463"/>
    </row>
    <row r="753" spans="1:12" ht="37.5" customHeight="1" x14ac:dyDescent="0.25">
      <c r="A753" s="45" t="s">
        <v>764</v>
      </c>
      <c r="B753" s="452">
        <v>906</v>
      </c>
      <c r="C753" s="454" t="s">
        <v>264</v>
      </c>
      <c r="D753" s="454" t="s">
        <v>215</v>
      </c>
      <c r="E753" s="454" t="s">
        <v>1242</v>
      </c>
      <c r="F753" s="454"/>
      <c r="G753" s="27">
        <f>G754</f>
        <v>1400</v>
      </c>
      <c r="H753" s="27">
        <f t="shared" si="347"/>
        <v>1100</v>
      </c>
      <c r="I753" s="459">
        <f t="shared" si="334"/>
        <v>78.571428571428569</v>
      </c>
      <c r="J753" s="478"/>
      <c r="K753" s="463"/>
      <c r="L753" s="201"/>
    </row>
    <row r="754" spans="1:12" ht="32.25" customHeight="1" x14ac:dyDescent="0.25">
      <c r="A754" s="458" t="s">
        <v>272</v>
      </c>
      <c r="B754" s="452">
        <v>906</v>
      </c>
      <c r="C754" s="454" t="s">
        <v>264</v>
      </c>
      <c r="D754" s="454" t="s">
        <v>215</v>
      </c>
      <c r="E754" s="454" t="s">
        <v>1242</v>
      </c>
      <c r="F754" s="454" t="s">
        <v>273</v>
      </c>
      <c r="G754" s="27">
        <f>G755</f>
        <v>1400</v>
      </c>
      <c r="H754" s="27">
        <f t="shared" si="347"/>
        <v>1100</v>
      </c>
      <c r="I754" s="459">
        <f t="shared" si="334"/>
        <v>78.571428571428569</v>
      </c>
      <c r="J754" s="478"/>
      <c r="K754" s="463"/>
      <c r="L754" s="201"/>
    </row>
    <row r="755" spans="1:12" ht="15.75" x14ac:dyDescent="0.25">
      <c r="A755" s="31" t="s">
        <v>274</v>
      </c>
      <c r="B755" s="452">
        <v>906</v>
      </c>
      <c r="C755" s="454" t="s">
        <v>264</v>
      </c>
      <c r="D755" s="454" t="s">
        <v>215</v>
      </c>
      <c r="E755" s="454" t="s">
        <v>1242</v>
      </c>
      <c r="F755" s="454" t="s">
        <v>275</v>
      </c>
      <c r="G755" s="27">
        <f>1564-164</f>
        <v>1400</v>
      </c>
      <c r="H755" s="27">
        <v>1100</v>
      </c>
      <c r="I755" s="459">
        <f t="shared" si="334"/>
        <v>78.571428571428569</v>
      </c>
      <c r="J755" s="478"/>
      <c r="K755" s="463"/>
      <c r="L755" s="201"/>
    </row>
    <row r="756" spans="1:12" ht="54.75" customHeight="1" x14ac:dyDescent="0.25">
      <c r="A756" s="462" t="s">
        <v>1344</v>
      </c>
      <c r="B756" s="453">
        <v>906</v>
      </c>
      <c r="C756" s="457" t="s">
        <v>264</v>
      </c>
      <c r="D756" s="457" t="s">
        <v>215</v>
      </c>
      <c r="E756" s="457" t="s">
        <v>705</v>
      </c>
      <c r="F756" s="465"/>
      <c r="G756" s="44">
        <f>G758</f>
        <v>296.3</v>
      </c>
      <c r="H756" s="44">
        <f t="shared" ref="H756" si="348">H758</f>
        <v>171.56111999999999</v>
      </c>
      <c r="I756" s="455">
        <f t="shared" si="334"/>
        <v>57.901154235572051</v>
      </c>
      <c r="J756" s="478"/>
      <c r="K756" s="463"/>
      <c r="L756" s="201"/>
    </row>
    <row r="757" spans="1:12" s="201" customFormat="1" ht="54.75" customHeight="1" x14ac:dyDescent="0.25">
      <c r="A757" s="462" t="s">
        <v>890</v>
      </c>
      <c r="B757" s="453">
        <v>906</v>
      </c>
      <c r="C757" s="457" t="s">
        <v>264</v>
      </c>
      <c r="D757" s="457" t="s">
        <v>942</v>
      </c>
      <c r="E757" s="457" t="s">
        <v>888</v>
      </c>
      <c r="F757" s="465"/>
      <c r="G757" s="44">
        <f>G758</f>
        <v>296.3</v>
      </c>
      <c r="H757" s="44">
        <f t="shared" ref="H757:H759" si="349">H758</f>
        <v>171.56111999999999</v>
      </c>
      <c r="I757" s="455">
        <f t="shared" si="334"/>
        <v>57.901154235572051</v>
      </c>
      <c r="J757" s="478"/>
      <c r="K757" s="463"/>
    </row>
    <row r="758" spans="1:12" ht="38.25" customHeight="1" x14ac:dyDescent="0.25">
      <c r="A758" s="98" t="s">
        <v>780</v>
      </c>
      <c r="B758" s="452">
        <v>906</v>
      </c>
      <c r="C758" s="454" t="s">
        <v>264</v>
      </c>
      <c r="D758" s="454" t="s">
        <v>215</v>
      </c>
      <c r="E758" s="454" t="s">
        <v>936</v>
      </c>
      <c r="F758" s="460"/>
      <c r="G758" s="27">
        <f>G759</f>
        <v>296.3</v>
      </c>
      <c r="H758" s="27">
        <f t="shared" si="349"/>
        <v>171.56111999999999</v>
      </c>
      <c r="I758" s="459">
        <f t="shared" si="334"/>
        <v>57.901154235572051</v>
      </c>
      <c r="J758" s="478"/>
      <c r="K758" s="463"/>
      <c r="L758" s="201"/>
    </row>
    <row r="759" spans="1:12" ht="34.5" customHeight="1" x14ac:dyDescent="0.25">
      <c r="A759" s="29" t="s">
        <v>272</v>
      </c>
      <c r="B759" s="452">
        <v>906</v>
      </c>
      <c r="C759" s="454" t="s">
        <v>264</v>
      </c>
      <c r="D759" s="454" t="s">
        <v>215</v>
      </c>
      <c r="E759" s="454" t="s">
        <v>936</v>
      </c>
      <c r="F759" s="460" t="s">
        <v>273</v>
      </c>
      <c r="G759" s="27">
        <f>G760</f>
        <v>296.3</v>
      </c>
      <c r="H759" s="27">
        <f t="shared" si="349"/>
        <v>171.56111999999999</v>
      </c>
      <c r="I759" s="459">
        <f t="shared" si="334"/>
        <v>57.901154235572051</v>
      </c>
      <c r="J759" s="478"/>
      <c r="K759" s="463"/>
      <c r="L759" s="201"/>
    </row>
    <row r="760" spans="1:12" ht="15.75" x14ac:dyDescent="0.25">
      <c r="A760" s="182" t="s">
        <v>274</v>
      </c>
      <c r="B760" s="452">
        <v>906</v>
      </c>
      <c r="C760" s="454" t="s">
        <v>264</v>
      </c>
      <c r="D760" s="454" t="s">
        <v>215</v>
      </c>
      <c r="E760" s="454" t="s">
        <v>936</v>
      </c>
      <c r="F760" s="460" t="s">
        <v>275</v>
      </c>
      <c r="G760" s="27">
        <f>291.1+5.2</f>
        <v>296.3</v>
      </c>
      <c r="H760" s="27">
        <v>171.56111999999999</v>
      </c>
      <c r="I760" s="459">
        <f t="shared" si="334"/>
        <v>57.901154235572051</v>
      </c>
      <c r="J760" s="478"/>
      <c r="K760" s="463"/>
      <c r="L760" s="201"/>
    </row>
    <row r="761" spans="1:12" ht="21.2" customHeight="1" x14ac:dyDescent="0.25">
      <c r="A761" s="456" t="s">
        <v>466</v>
      </c>
      <c r="B761" s="453">
        <v>906</v>
      </c>
      <c r="C761" s="457" t="s">
        <v>264</v>
      </c>
      <c r="D761" s="457" t="s">
        <v>264</v>
      </c>
      <c r="E761" s="457"/>
      <c r="F761" s="457"/>
      <c r="G761" s="455">
        <f>G762</f>
        <v>6060.0000000000009</v>
      </c>
      <c r="H761" s="455">
        <f t="shared" ref="H761:H763" si="350">H762</f>
        <v>5192.8689999999997</v>
      </c>
      <c r="I761" s="455">
        <f t="shared" si="334"/>
        <v>85.690907590759053</v>
      </c>
      <c r="J761" s="478"/>
      <c r="K761" s="463"/>
      <c r="L761" s="201"/>
    </row>
    <row r="762" spans="1:12" ht="31.5" x14ac:dyDescent="0.25">
      <c r="A762" s="456" t="s">
        <v>1361</v>
      </c>
      <c r="B762" s="453">
        <v>906</v>
      </c>
      <c r="C762" s="457" t="s">
        <v>264</v>
      </c>
      <c r="D762" s="457" t="s">
        <v>264</v>
      </c>
      <c r="E762" s="457" t="s">
        <v>406</v>
      </c>
      <c r="F762" s="457"/>
      <c r="G762" s="455">
        <f>G763</f>
        <v>6060.0000000000009</v>
      </c>
      <c r="H762" s="455">
        <f t="shared" si="350"/>
        <v>5192.8689999999997</v>
      </c>
      <c r="I762" s="455">
        <f t="shared" si="334"/>
        <v>85.690907590759053</v>
      </c>
      <c r="J762" s="478"/>
      <c r="K762" s="463"/>
      <c r="L762" s="201"/>
    </row>
    <row r="763" spans="1:12" s="201" customFormat="1" ht="31.5" x14ac:dyDescent="0.25">
      <c r="A763" s="456" t="s">
        <v>943</v>
      </c>
      <c r="B763" s="453">
        <v>906</v>
      </c>
      <c r="C763" s="457" t="s">
        <v>264</v>
      </c>
      <c r="D763" s="457" t="s">
        <v>264</v>
      </c>
      <c r="E763" s="457" t="s">
        <v>1240</v>
      </c>
      <c r="F763" s="457"/>
      <c r="G763" s="455">
        <f>G764</f>
        <v>6060.0000000000009</v>
      </c>
      <c r="H763" s="455">
        <f t="shared" si="350"/>
        <v>5192.8689999999997</v>
      </c>
      <c r="I763" s="455">
        <f t="shared" si="334"/>
        <v>85.690907590759053</v>
      </c>
      <c r="J763" s="478"/>
      <c r="K763" s="463"/>
    </row>
    <row r="764" spans="1:12" ht="31.5" x14ac:dyDescent="0.25">
      <c r="A764" s="31" t="s">
        <v>1060</v>
      </c>
      <c r="B764" s="452">
        <v>906</v>
      </c>
      <c r="C764" s="454" t="s">
        <v>264</v>
      </c>
      <c r="D764" s="454" t="s">
        <v>264</v>
      </c>
      <c r="E764" s="454" t="s">
        <v>1262</v>
      </c>
      <c r="F764" s="454"/>
      <c r="G764" s="459">
        <f t="shared" ref="G764:H765" si="351">G765</f>
        <v>6060.0000000000009</v>
      </c>
      <c r="H764" s="459">
        <f t="shared" si="351"/>
        <v>5192.8689999999997</v>
      </c>
      <c r="I764" s="455">
        <f t="shared" si="334"/>
        <v>85.690907590759053</v>
      </c>
      <c r="J764" s="478"/>
      <c r="K764" s="463"/>
      <c r="L764" s="201"/>
    </row>
    <row r="765" spans="1:12" ht="36" customHeight="1" x14ac:dyDescent="0.25">
      <c r="A765" s="458" t="s">
        <v>272</v>
      </c>
      <c r="B765" s="452">
        <v>906</v>
      </c>
      <c r="C765" s="454" t="s">
        <v>264</v>
      </c>
      <c r="D765" s="454" t="s">
        <v>264</v>
      </c>
      <c r="E765" s="454" t="s">
        <v>1262</v>
      </c>
      <c r="F765" s="454" t="s">
        <v>273</v>
      </c>
      <c r="G765" s="459">
        <f t="shared" si="351"/>
        <v>6060.0000000000009</v>
      </c>
      <c r="H765" s="459">
        <f t="shared" si="351"/>
        <v>5192.8689999999997</v>
      </c>
      <c r="I765" s="455">
        <f t="shared" si="334"/>
        <v>85.690907590759053</v>
      </c>
      <c r="J765" s="490"/>
      <c r="K765" s="463"/>
      <c r="L765" s="201"/>
    </row>
    <row r="766" spans="1:12" ht="15.75" x14ac:dyDescent="0.25">
      <c r="A766" s="458" t="s">
        <v>274</v>
      </c>
      <c r="B766" s="452">
        <v>906</v>
      </c>
      <c r="C766" s="454" t="s">
        <v>264</v>
      </c>
      <c r="D766" s="454" t="s">
        <v>264</v>
      </c>
      <c r="E766" s="454" t="s">
        <v>1262</v>
      </c>
      <c r="F766" s="454" t="s">
        <v>275</v>
      </c>
      <c r="G766" s="27">
        <f>3485+99-184+2161.1+404.7+63.47+8.35+22.38</f>
        <v>6060.0000000000009</v>
      </c>
      <c r="H766" s="27">
        <v>5192.8689999999997</v>
      </c>
      <c r="I766" s="455">
        <f t="shared" si="334"/>
        <v>85.690907590759053</v>
      </c>
      <c r="J766" s="478"/>
      <c r="K766" s="463"/>
      <c r="L766" s="201"/>
    </row>
    <row r="767" spans="1:12" ht="15.75" x14ac:dyDescent="0.25">
      <c r="A767" s="456" t="s">
        <v>295</v>
      </c>
      <c r="B767" s="453">
        <v>906</v>
      </c>
      <c r="C767" s="457" t="s">
        <v>264</v>
      </c>
      <c r="D767" s="457" t="s">
        <v>219</v>
      </c>
      <c r="E767" s="457"/>
      <c r="F767" s="457"/>
      <c r="G767" s="455">
        <f>G768+G778</f>
        <v>20404.8</v>
      </c>
      <c r="H767" s="455">
        <f t="shared" ref="H767" si="352">H768+H778</f>
        <v>15510.124110000001</v>
      </c>
      <c r="I767" s="455">
        <f t="shared" si="334"/>
        <v>76.012134938837931</v>
      </c>
      <c r="J767" s="478"/>
      <c r="K767" s="463"/>
      <c r="L767" s="201"/>
    </row>
    <row r="768" spans="1:12" ht="31.5" x14ac:dyDescent="0.25">
      <c r="A768" s="456" t="s">
        <v>917</v>
      </c>
      <c r="B768" s="453">
        <v>906</v>
      </c>
      <c r="C768" s="457" t="s">
        <v>264</v>
      </c>
      <c r="D768" s="457" t="s">
        <v>219</v>
      </c>
      <c r="E768" s="457" t="s">
        <v>858</v>
      </c>
      <c r="F768" s="457"/>
      <c r="G768" s="455">
        <f>G769</f>
        <v>6048.7</v>
      </c>
      <c r="H768" s="455">
        <f t="shared" ref="H768" si="353">H769</f>
        <v>4595.1291300000003</v>
      </c>
      <c r="I768" s="455">
        <f t="shared" si="334"/>
        <v>75.968871493048098</v>
      </c>
      <c r="J768" s="478"/>
      <c r="K768" s="463"/>
      <c r="L768" s="201"/>
    </row>
    <row r="769" spans="1:12" ht="15.75" x14ac:dyDescent="0.25">
      <c r="A769" s="456" t="s">
        <v>918</v>
      </c>
      <c r="B769" s="453">
        <v>906</v>
      </c>
      <c r="C769" s="457" t="s">
        <v>264</v>
      </c>
      <c r="D769" s="457" t="s">
        <v>219</v>
      </c>
      <c r="E769" s="457" t="s">
        <v>859</v>
      </c>
      <c r="F769" s="457"/>
      <c r="G769" s="455">
        <f>G770+G775</f>
        <v>6048.7</v>
      </c>
      <c r="H769" s="455">
        <f t="shared" ref="H769" si="354">H770+H775</f>
        <v>4595.1291300000003</v>
      </c>
      <c r="I769" s="455">
        <f t="shared" si="334"/>
        <v>75.968871493048098</v>
      </c>
      <c r="J769" s="478"/>
      <c r="K769" s="463"/>
      <c r="L769" s="201"/>
    </row>
    <row r="770" spans="1:12" ht="34.700000000000003" customHeight="1" x14ac:dyDescent="0.25">
      <c r="A770" s="458" t="s">
        <v>897</v>
      </c>
      <c r="B770" s="452">
        <v>906</v>
      </c>
      <c r="C770" s="454" t="s">
        <v>264</v>
      </c>
      <c r="D770" s="454" t="s">
        <v>219</v>
      </c>
      <c r="E770" s="454" t="s">
        <v>860</v>
      </c>
      <c r="F770" s="454"/>
      <c r="G770" s="459">
        <f>G771+G773</f>
        <v>5922.7</v>
      </c>
      <c r="H770" s="459">
        <f t="shared" ref="H770" si="355">H771+H773</f>
        <v>4488.4231300000001</v>
      </c>
      <c r="I770" s="459">
        <f t="shared" si="334"/>
        <v>75.78339490435107</v>
      </c>
      <c r="J770" s="478"/>
      <c r="K770" s="463"/>
      <c r="L770" s="201"/>
    </row>
    <row r="771" spans="1:12" ht="72" customHeight="1" x14ac:dyDescent="0.25">
      <c r="A771" s="458" t="s">
        <v>127</v>
      </c>
      <c r="B771" s="452">
        <v>906</v>
      </c>
      <c r="C771" s="454" t="s">
        <v>264</v>
      </c>
      <c r="D771" s="454" t="s">
        <v>219</v>
      </c>
      <c r="E771" s="454" t="s">
        <v>860</v>
      </c>
      <c r="F771" s="454" t="s">
        <v>128</v>
      </c>
      <c r="G771" s="459">
        <f>G772</f>
        <v>5710.7</v>
      </c>
      <c r="H771" s="459">
        <f t="shared" ref="H771" si="356">H772</f>
        <v>4377.9094800000003</v>
      </c>
      <c r="I771" s="459">
        <f t="shared" si="334"/>
        <v>76.661521004430284</v>
      </c>
      <c r="J771" s="478"/>
      <c r="K771" s="463"/>
      <c r="L771" s="201"/>
    </row>
    <row r="772" spans="1:12" ht="31.5" x14ac:dyDescent="0.25">
      <c r="A772" s="458" t="s">
        <v>129</v>
      </c>
      <c r="B772" s="452">
        <v>906</v>
      </c>
      <c r="C772" s="454" t="s">
        <v>264</v>
      </c>
      <c r="D772" s="454" t="s">
        <v>219</v>
      </c>
      <c r="E772" s="454" t="s">
        <v>860</v>
      </c>
      <c r="F772" s="454" t="s">
        <v>130</v>
      </c>
      <c r="G772" s="27">
        <v>5710.7</v>
      </c>
      <c r="H772" s="27">
        <v>4377.9094800000003</v>
      </c>
      <c r="I772" s="459">
        <f t="shared" si="334"/>
        <v>76.661521004430284</v>
      </c>
      <c r="J772" s="478"/>
      <c r="K772" s="463"/>
      <c r="L772" s="201"/>
    </row>
    <row r="773" spans="1:12" ht="31.5" x14ac:dyDescent="0.25">
      <c r="A773" s="458" t="s">
        <v>131</v>
      </c>
      <c r="B773" s="452">
        <v>906</v>
      </c>
      <c r="C773" s="454" t="s">
        <v>264</v>
      </c>
      <c r="D773" s="454" t="s">
        <v>219</v>
      </c>
      <c r="E773" s="454" t="s">
        <v>860</v>
      </c>
      <c r="F773" s="454" t="s">
        <v>132</v>
      </c>
      <c r="G773" s="459">
        <f>G774</f>
        <v>212</v>
      </c>
      <c r="H773" s="459">
        <f t="shared" ref="H773" si="357">H774</f>
        <v>110.51365</v>
      </c>
      <c r="I773" s="459">
        <f t="shared" si="334"/>
        <v>52.129080188679247</v>
      </c>
      <c r="J773" s="478"/>
      <c r="K773" s="463"/>
      <c r="L773" s="201"/>
    </row>
    <row r="774" spans="1:12" ht="31.5" x14ac:dyDescent="0.25">
      <c r="A774" s="458" t="s">
        <v>133</v>
      </c>
      <c r="B774" s="452">
        <v>906</v>
      </c>
      <c r="C774" s="454" t="s">
        <v>264</v>
      </c>
      <c r="D774" s="454" t="s">
        <v>219</v>
      </c>
      <c r="E774" s="454" t="s">
        <v>860</v>
      </c>
      <c r="F774" s="454" t="s">
        <v>134</v>
      </c>
      <c r="G774" s="459">
        <v>212</v>
      </c>
      <c r="H774" s="459">
        <v>110.51365</v>
      </c>
      <c r="I774" s="459">
        <f t="shared" si="334"/>
        <v>52.129080188679247</v>
      </c>
      <c r="J774" s="478"/>
      <c r="K774" s="463"/>
      <c r="L774" s="201"/>
    </row>
    <row r="775" spans="1:12" s="201" customFormat="1" ht="31.5" x14ac:dyDescent="0.25">
      <c r="A775" s="458" t="s">
        <v>839</v>
      </c>
      <c r="B775" s="452">
        <v>906</v>
      </c>
      <c r="C775" s="454" t="s">
        <v>264</v>
      </c>
      <c r="D775" s="454" t="s">
        <v>219</v>
      </c>
      <c r="E775" s="454" t="s">
        <v>862</v>
      </c>
      <c r="F775" s="454"/>
      <c r="G775" s="459">
        <f>G776</f>
        <v>126</v>
      </c>
      <c r="H775" s="459">
        <f t="shared" ref="H775:H776" si="358">H776</f>
        <v>106.706</v>
      </c>
      <c r="I775" s="459">
        <f t="shared" si="334"/>
        <v>84.68730158730159</v>
      </c>
      <c r="J775" s="478"/>
      <c r="K775" s="463"/>
    </row>
    <row r="776" spans="1:12" s="201" customFormat="1" ht="78.75" x14ac:dyDescent="0.25">
      <c r="A776" s="458" t="s">
        <v>127</v>
      </c>
      <c r="B776" s="452">
        <v>906</v>
      </c>
      <c r="C776" s="454" t="s">
        <v>264</v>
      </c>
      <c r="D776" s="454" t="s">
        <v>219</v>
      </c>
      <c r="E776" s="454" t="s">
        <v>862</v>
      </c>
      <c r="F776" s="454" t="s">
        <v>128</v>
      </c>
      <c r="G776" s="459">
        <f>G777</f>
        <v>126</v>
      </c>
      <c r="H776" s="459">
        <f t="shared" si="358"/>
        <v>106.706</v>
      </c>
      <c r="I776" s="459">
        <f t="shared" si="334"/>
        <v>84.68730158730159</v>
      </c>
      <c r="J776" s="478"/>
      <c r="K776" s="463"/>
    </row>
    <row r="777" spans="1:12" s="201" customFormat="1" ht="31.5" x14ac:dyDescent="0.25">
      <c r="A777" s="458" t="s">
        <v>129</v>
      </c>
      <c r="B777" s="452">
        <v>906</v>
      </c>
      <c r="C777" s="454" t="s">
        <v>264</v>
      </c>
      <c r="D777" s="454" t="s">
        <v>219</v>
      </c>
      <c r="E777" s="454" t="s">
        <v>862</v>
      </c>
      <c r="F777" s="454" t="s">
        <v>130</v>
      </c>
      <c r="G777" s="459">
        <v>126</v>
      </c>
      <c r="H777" s="459">
        <v>106.706</v>
      </c>
      <c r="I777" s="459">
        <f t="shared" si="334"/>
        <v>84.68730158730159</v>
      </c>
      <c r="J777" s="478"/>
      <c r="K777" s="463"/>
    </row>
    <row r="778" spans="1:12" ht="15.75" x14ac:dyDescent="0.25">
      <c r="A778" s="456" t="s">
        <v>141</v>
      </c>
      <c r="B778" s="453">
        <v>906</v>
      </c>
      <c r="C778" s="457" t="s">
        <v>264</v>
      </c>
      <c r="D778" s="457" t="s">
        <v>219</v>
      </c>
      <c r="E778" s="457" t="s">
        <v>866</v>
      </c>
      <c r="F778" s="457"/>
      <c r="G778" s="455">
        <f>G779+G785</f>
        <v>14356.1</v>
      </c>
      <c r="H778" s="455">
        <f t="shared" ref="H778" si="359">H779+H785</f>
        <v>10914.994979999999</v>
      </c>
      <c r="I778" s="455">
        <f t="shared" si="334"/>
        <v>76.030363260216902</v>
      </c>
      <c r="J778" s="478"/>
      <c r="K778" s="463"/>
      <c r="L778" s="201"/>
    </row>
    <row r="779" spans="1:12" s="201" customFormat="1" ht="31.5" x14ac:dyDescent="0.25">
      <c r="A779" s="456" t="s">
        <v>870</v>
      </c>
      <c r="B779" s="453">
        <v>906</v>
      </c>
      <c r="C779" s="457" t="s">
        <v>264</v>
      </c>
      <c r="D779" s="457" t="s">
        <v>219</v>
      </c>
      <c r="E779" s="457" t="s">
        <v>865</v>
      </c>
      <c r="F779" s="457"/>
      <c r="G779" s="455">
        <f>G780</f>
        <v>873</v>
      </c>
      <c r="H779" s="455">
        <f t="shared" ref="H779" si="360">H780</f>
        <v>317.67500000000001</v>
      </c>
      <c r="I779" s="455">
        <f t="shared" si="334"/>
        <v>36.388888888888893</v>
      </c>
      <c r="J779" s="478"/>
      <c r="K779" s="463"/>
    </row>
    <row r="780" spans="1:12" ht="15.75" x14ac:dyDescent="0.25">
      <c r="A780" s="458" t="s">
        <v>478</v>
      </c>
      <c r="B780" s="452">
        <v>906</v>
      </c>
      <c r="C780" s="454" t="s">
        <v>264</v>
      </c>
      <c r="D780" s="454" t="s">
        <v>219</v>
      </c>
      <c r="E780" s="454" t="s">
        <v>944</v>
      </c>
      <c r="F780" s="454"/>
      <c r="G780" s="459">
        <f>G781+G783</f>
        <v>873</v>
      </c>
      <c r="H780" s="459">
        <f t="shared" ref="H780" si="361">H781+H783</f>
        <v>317.67500000000001</v>
      </c>
      <c r="I780" s="459">
        <f t="shared" ref="I780:I843" si="362">H780/G780*100</f>
        <v>36.388888888888893</v>
      </c>
      <c r="J780" s="478"/>
      <c r="K780" s="463"/>
      <c r="L780" s="201"/>
    </row>
    <row r="781" spans="1:12" s="201" customFormat="1" ht="78.75" x14ac:dyDescent="0.25">
      <c r="A781" s="458" t="s">
        <v>127</v>
      </c>
      <c r="B781" s="452">
        <v>906</v>
      </c>
      <c r="C781" s="454" t="s">
        <v>264</v>
      </c>
      <c r="D781" s="454" t="s">
        <v>219</v>
      </c>
      <c r="E781" s="454" t="s">
        <v>944</v>
      </c>
      <c r="F781" s="454" t="s">
        <v>128</v>
      </c>
      <c r="G781" s="459">
        <f>G782</f>
        <v>66.509999999999991</v>
      </c>
      <c r="H781" s="459">
        <f t="shared" ref="H781" si="363">H782</f>
        <v>66.510000000000005</v>
      </c>
      <c r="I781" s="459">
        <f t="shared" si="362"/>
        <v>100.00000000000003</v>
      </c>
      <c r="J781" s="478"/>
      <c r="K781" s="463"/>
    </row>
    <row r="782" spans="1:12" s="201" customFormat="1" ht="15.75" x14ac:dyDescent="0.25">
      <c r="A782" s="458" t="s">
        <v>342</v>
      </c>
      <c r="B782" s="452">
        <v>906</v>
      </c>
      <c r="C782" s="454" t="s">
        <v>264</v>
      </c>
      <c r="D782" s="454" t="s">
        <v>219</v>
      </c>
      <c r="E782" s="454" t="s">
        <v>944</v>
      </c>
      <c r="F782" s="454" t="s">
        <v>209</v>
      </c>
      <c r="G782" s="459">
        <f>573-506.49</f>
        <v>66.509999999999991</v>
      </c>
      <c r="H782" s="459">
        <v>66.510000000000005</v>
      </c>
      <c r="I782" s="459">
        <f t="shared" si="362"/>
        <v>100.00000000000003</v>
      </c>
      <c r="J782" s="478"/>
      <c r="K782" s="463"/>
    </row>
    <row r="783" spans="1:12" ht="31.5" x14ac:dyDescent="0.25">
      <c r="A783" s="458" t="s">
        <v>131</v>
      </c>
      <c r="B783" s="452">
        <v>906</v>
      </c>
      <c r="C783" s="454" t="s">
        <v>264</v>
      </c>
      <c r="D783" s="454" t="s">
        <v>219</v>
      </c>
      <c r="E783" s="454" t="s">
        <v>944</v>
      </c>
      <c r="F783" s="454" t="s">
        <v>132</v>
      </c>
      <c r="G783" s="459">
        <f>G784</f>
        <v>806.49</v>
      </c>
      <c r="H783" s="459">
        <f t="shared" ref="H783" si="364">H784</f>
        <v>251.16499999999999</v>
      </c>
      <c r="I783" s="459">
        <f t="shared" si="362"/>
        <v>31.142977594266512</v>
      </c>
      <c r="J783" s="478"/>
      <c r="K783" s="463"/>
      <c r="L783" s="201"/>
    </row>
    <row r="784" spans="1:12" ht="31.5" x14ac:dyDescent="0.25">
      <c r="A784" s="458" t="s">
        <v>133</v>
      </c>
      <c r="B784" s="452">
        <v>906</v>
      </c>
      <c r="C784" s="454" t="s">
        <v>264</v>
      </c>
      <c r="D784" s="454" t="s">
        <v>219</v>
      </c>
      <c r="E784" s="454" t="s">
        <v>944</v>
      </c>
      <c r="F784" s="454" t="s">
        <v>134</v>
      </c>
      <c r="G784" s="459">
        <f>600-300+506.49</f>
        <v>806.49</v>
      </c>
      <c r="H784" s="459">
        <v>251.16499999999999</v>
      </c>
      <c r="I784" s="459">
        <f t="shared" si="362"/>
        <v>31.142977594266512</v>
      </c>
      <c r="J784" s="478"/>
      <c r="K784" s="463"/>
      <c r="L784" s="201"/>
    </row>
    <row r="785" spans="1:12" s="201" customFormat="1" ht="31.5" x14ac:dyDescent="0.25">
      <c r="A785" s="456" t="s">
        <v>929</v>
      </c>
      <c r="B785" s="453">
        <v>906</v>
      </c>
      <c r="C785" s="457" t="s">
        <v>264</v>
      </c>
      <c r="D785" s="457" t="s">
        <v>219</v>
      </c>
      <c r="E785" s="457" t="s">
        <v>914</v>
      </c>
      <c r="F785" s="457"/>
      <c r="G785" s="455">
        <f>G786+G793</f>
        <v>13483.1</v>
      </c>
      <c r="H785" s="455">
        <f t="shared" ref="H785" si="365">H786+H793</f>
        <v>10597.31998</v>
      </c>
      <c r="I785" s="455">
        <f t="shared" si="362"/>
        <v>78.597058391616173</v>
      </c>
      <c r="J785" s="478"/>
      <c r="K785" s="463"/>
    </row>
    <row r="786" spans="1:12" ht="31.5" x14ac:dyDescent="0.25">
      <c r="A786" s="458" t="s">
        <v>1084</v>
      </c>
      <c r="B786" s="452">
        <v>906</v>
      </c>
      <c r="C786" s="454" t="s">
        <v>264</v>
      </c>
      <c r="D786" s="454" t="s">
        <v>219</v>
      </c>
      <c r="E786" s="454" t="s">
        <v>915</v>
      </c>
      <c r="F786" s="454"/>
      <c r="G786" s="459">
        <f>G787+G789+G791</f>
        <v>13110.35</v>
      </c>
      <c r="H786" s="459">
        <f t="shared" ref="H786" si="366">H787+H789+H791</f>
        <v>10265.17798</v>
      </c>
      <c r="I786" s="459">
        <f t="shared" si="362"/>
        <v>78.298275637187402</v>
      </c>
      <c r="J786" s="478"/>
      <c r="K786" s="463"/>
      <c r="L786" s="201"/>
    </row>
    <row r="787" spans="1:12" ht="61.5" customHeight="1" x14ac:dyDescent="0.25">
      <c r="A787" s="458" t="s">
        <v>127</v>
      </c>
      <c r="B787" s="452">
        <v>906</v>
      </c>
      <c r="C787" s="454" t="s">
        <v>264</v>
      </c>
      <c r="D787" s="454" t="s">
        <v>219</v>
      </c>
      <c r="E787" s="454" t="s">
        <v>915</v>
      </c>
      <c r="F787" s="454" t="s">
        <v>128</v>
      </c>
      <c r="G787" s="459">
        <f>G788</f>
        <v>11912.87</v>
      </c>
      <c r="H787" s="459">
        <f t="shared" ref="H787" si="367">H788</f>
        <v>9471.8927800000001</v>
      </c>
      <c r="I787" s="459">
        <f t="shared" si="362"/>
        <v>79.509746853612938</v>
      </c>
      <c r="J787" s="478"/>
      <c r="K787" s="463"/>
      <c r="L787" s="201"/>
    </row>
    <row r="788" spans="1:12" ht="15.75" x14ac:dyDescent="0.25">
      <c r="A788" s="458" t="s">
        <v>342</v>
      </c>
      <c r="B788" s="452">
        <v>906</v>
      </c>
      <c r="C788" s="454" t="s">
        <v>264</v>
      </c>
      <c r="D788" s="454" t="s">
        <v>219</v>
      </c>
      <c r="E788" s="454" t="s">
        <v>915</v>
      </c>
      <c r="F788" s="454" t="s">
        <v>209</v>
      </c>
      <c r="G788" s="27">
        <f>11885.1+12+22+6.25-12.48</f>
        <v>11912.87</v>
      </c>
      <c r="H788" s="27">
        <v>9471.8927800000001</v>
      </c>
      <c r="I788" s="459">
        <f t="shared" si="362"/>
        <v>79.509746853612938</v>
      </c>
      <c r="J788" s="478"/>
      <c r="K788" s="463"/>
      <c r="L788" s="201"/>
    </row>
    <row r="789" spans="1:12" ht="31.5" x14ac:dyDescent="0.25">
      <c r="A789" s="458" t="s">
        <v>131</v>
      </c>
      <c r="B789" s="452">
        <v>906</v>
      </c>
      <c r="C789" s="454" t="s">
        <v>264</v>
      </c>
      <c r="D789" s="454" t="s">
        <v>219</v>
      </c>
      <c r="E789" s="454" t="s">
        <v>915</v>
      </c>
      <c r="F789" s="454" t="s">
        <v>132</v>
      </c>
      <c r="G789" s="459">
        <f>G790</f>
        <v>1182.48</v>
      </c>
      <c r="H789" s="459">
        <f t="shared" ref="H789" si="368">H790</f>
        <v>793.28520000000003</v>
      </c>
      <c r="I789" s="459">
        <f t="shared" si="362"/>
        <v>67.086563831946421</v>
      </c>
      <c r="J789" s="478"/>
      <c r="K789" s="463"/>
      <c r="L789" s="201"/>
    </row>
    <row r="790" spans="1:12" ht="33" customHeight="1" x14ac:dyDescent="0.25">
      <c r="A790" s="458" t="s">
        <v>133</v>
      </c>
      <c r="B790" s="452">
        <v>906</v>
      </c>
      <c r="C790" s="454" t="s">
        <v>264</v>
      </c>
      <c r="D790" s="454" t="s">
        <v>219</v>
      </c>
      <c r="E790" s="454" t="s">
        <v>915</v>
      </c>
      <c r="F790" s="454" t="s">
        <v>134</v>
      </c>
      <c r="G790" s="459">
        <f>1077+43+50+12.48</f>
        <v>1182.48</v>
      </c>
      <c r="H790" s="459">
        <v>793.28520000000003</v>
      </c>
      <c r="I790" s="459">
        <f t="shared" si="362"/>
        <v>67.086563831946421</v>
      </c>
      <c r="J790" s="478"/>
      <c r="K790" s="463"/>
      <c r="L790" s="201"/>
    </row>
    <row r="791" spans="1:12" ht="15.75" x14ac:dyDescent="0.25">
      <c r="A791" s="458" t="s">
        <v>135</v>
      </c>
      <c r="B791" s="452">
        <v>906</v>
      </c>
      <c r="C791" s="454" t="s">
        <v>264</v>
      </c>
      <c r="D791" s="454" t="s">
        <v>219</v>
      </c>
      <c r="E791" s="454" t="s">
        <v>915</v>
      </c>
      <c r="F791" s="454" t="s">
        <v>145</v>
      </c>
      <c r="G791" s="459">
        <f>G792</f>
        <v>15</v>
      </c>
      <c r="H791" s="459">
        <f t="shared" ref="H791" si="369">H792</f>
        <v>0</v>
      </c>
      <c r="I791" s="459">
        <f t="shared" si="362"/>
        <v>0</v>
      </c>
      <c r="J791" s="478"/>
      <c r="K791" s="463"/>
      <c r="L791" s="201"/>
    </row>
    <row r="792" spans="1:12" ht="15.75" x14ac:dyDescent="0.25">
      <c r="A792" s="458" t="s">
        <v>568</v>
      </c>
      <c r="B792" s="452">
        <v>906</v>
      </c>
      <c r="C792" s="454" t="s">
        <v>264</v>
      </c>
      <c r="D792" s="454" t="s">
        <v>219</v>
      </c>
      <c r="E792" s="454" t="s">
        <v>915</v>
      </c>
      <c r="F792" s="454" t="s">
        <v>138</v>
      </c>
      <c r="G792" s="459">
        <f>15.4-0.4</f>
        <v>15</v>
      </c>
      <c r="H792" s="459">
        <v>0</v>
      </c>
      <c r="I792" s="459">
        <f t="shared" si="362"/>
        <v>0</v>
      </c>
      <c r="J792" s="478"/>
      <c r="K792" s="463"/>
      <c r="L792" s="201"/>
    </row>
    <row r="793" spans="1:12" s="201" customFormat="1" ht="31.5" x14ac:dyDescent="0.25">
      <c r="A793" s="458" t="s">
        <v>839</v>
      </c>
      <c r="B793" s="452">
        <v>906</v>
      </c>
      <c r="C793" s="454" t="s">
        <v>264</v>
      </c>
      <c r="D793" s="454" t="s">
        <v>219</v>
      </c>
      <c r="E793" s="454" t="s">
        <v>916</v>
      </c>
      <c r="F793" s="454"/>
      <c r="G793" s="459">
        <f>G794</f>
        <v>372.75</v>
      </c>
      <c r="H793" s="459">
        <f t="shared" ref="H793:H794" si="370">H794</f>
        <v>332.142</v>
      </c>
      <c r="I793" s="459">
        <f t="shared" si="362"/>
        <v>89.10583501006036</v>
      </c>
      <c r="J793" s="478"/>
      <c r="K793" s="463"/>
    </row>
    <row r="794" spans="1:12" s="201" customFormat="1" ht="78.75" x14ac:dyDescent="0.25">
      <c r="A794" s="458" t="s">
        <v>127</v>
      </c>
      <c r="B794" s="452">
        <v>906</v>
      </c>
      <c r="C794" s="454" t="s">
        <v>264</v>
      </c>
      <c r="D794" s="454" t="s">
        <v>219</v>
      </c>
      <c r="E794" s="454" t="s">
        <v>916</v>
      </c>
      <c r="F794" s="454" t="s">
        <v>128</v>
      </c>
      <c r="G794" s="459">
        <f>G795</f>
        <v>372.75</v>
      </c>
      <c r="H794" s="459">
        <f t="shared" si="370"/>
        <v>332.142</v>
      </c>
      <c r="I794" s="459">
        <f t="shared" si="362"/>
        <v>89.10583501006036</v>
      </c>
      <c r="J794" s="478"/>
      <c r="K794" s="463"/>
    </row>
    <row r="795" spans="1:12" s="201" customFormat="1" ht="15.75" x14ac:dyDescent="0.25">
      <c r="A795" s="458" t="s">
        <v>342</v>
      </c>
      <c r="B795" s="452">
        <v>906</v>
      </c>
      <c r="C795" s="454" t="s">
        <v>264</v>
      </c>
      <c r="D795" s="454" t="s">
        <v>219</v>
      </c>
      <c r="E795" s="454" t="s">
        <v>916</v>
      </c>
      <c r="F795" s="454" t="s">
        <v>209</v>
      </c>
      <c r="G795" s="459">
        <f>506-12-43-22-6.25-50</f>
        <v>372.75</v>
      </c>
      <c r="H795" s="459">
        <v>332.142</v>
      </c>
      <c r="I795" s="459">
        <f t="shared" si="362"/>
        <v>89.10583501006036</v>
      </c>
      <c r="J795" s="478"/>
      <c r="K795" s="463"/>
    </row>
    <row r="796" spans="1:12" ht="36.75" customHeight="1" x14ac:dyDescent="0.25">
      <c r="A796" s="453" t="s">
        <v>480</v>
      </c>
      <c r="B796" s="453">
        <v>907</v>
      </c>
      <c r="C796" s="454"/>
      <c r="D796" s="454"/>
      <c r="E796" s="454"/>
      <c r="F796" s="454"/>
      <c r="G796" s="455">
        <f>G804+G797</f>
        <v>71500.53</v>
      </c>
      <c r="H796" s="455">
        <f t="shared" ref="H796" si="371">H804+H797</f>
        <v>48420.407000000007</v>
      </c>
      <c r="I796" s="455">
        <f t="shared" si="362"/>
        <v>67.720346968057456</v>
      </c>
      <c r="J796" s="478"/>
      <c r="K796" s="463"/>
      <c r="L796" s="201"/>
    </row>
    <row r="797" spans="1:12" s="201" customFormat="1" ht="18.75" hidden="1" customHeight="1" x14ac:dyDescent="0.25">
      <c r="A797" s="456" t="s">
        <v>117</v>
      </c>
      <c r="B797" s="453">
        <v>907</v>
      </c>
      <c r="C797" s="457" t="s">
        <v>118</v>
      </c>
      <c r="D797" s="457"/>
      <c r="E797" s="457"/>
      <c r="F797" s="457"/>
      <c r="G797" s="455">
        <f t="shared" ref="G797:H802" si="372">G798</f>
        <v>0</v>
      </c>
      <c r="H797" s="455">
        <f t="shared" si="372"/>
        <v>0</v>
      </c>
      <c r="I797" s="455" t="e">
        <f t="shared" si="362"/>
        <v>#DIV/0!</v>
      </c>
      <c r="J797" s="478"/>
      <c r="K797" s="463"/>
    </row>
    <row r="798" spans="1:12" s="201" customFormat="1" ht="21.75" hidden="1" customHeight="1" x14ac:dyDescent="0.25">
      <c r="A798" s="34" t="s">
        <v>139</v>
      </c>
      <c r="B798" s="453">
        <v>907</v>
      </c>
      <c r="C798" s="457" t="s">
        <v>118</v>
      </c>
      <c r="D798" s="457" t="s">
        <v>140</v>
      </c>
      <c r="E798" s="457"/>
      <c r="F798" s="457"/>
      <c r="G798" s="455">
        <f t="shared" si="372"/>
        <v>0</v>
      </c>
      <c r="H798" s="455">
        <f t="shared" si="372"/>
        <v>0</v>
      </c>
      <c r="I798" s="455" t="e">
        <f t="shared" si="362"/>
        <v>#DIV/0!</v>
      </c>
      <c r="J798" s="478"/>
      <c r="K798" s="463"/>
    </row>
    <row r="799" spans="1:12" s="201" customFormat="1" ht="36.75" hidden="1" customHeight="1" x14ac:dyDescent="0.25">
      <c r="A799" s="456" t="s">
        <v>1362</v>
      </c>
      <c r="B799" s="453">
        <v>907</v>
      </c>
      <c r="C799" s="457" t="s">
        <v>118</v>
      </c>
      <c r="D799" s="457" t="s">
        <v>140</v>
      </c>
      <c r="E799" s="457" t="s">
        <v>335</v>
      </c>
      <c r="F799" s="457"/>
      <c r="G799" s="455">
        <f>G800</f>
        <v>0</v>
      </c>
      <c r="H799" s="455">
        <f t="shared" si="372"/>
        <v>0</v>
      </c>
      <c r="I799" s="455" t="e">
        <f t="shared" si="362"/>
        <v>#DIV/0!</v>
      </c>
      <c r="J799" s="478"/>
      <c r="K799" s="463"/>
    </row>
    <row r="800" spans="1:12" s="201" customFormat="1" ht="36.75" hidden="1" customHeight="1" x14ac:dyDescent="0.25">
      <c r="A800" s="208" t="s">
        <v>1050</v>
      </c>
      <c r="B800" s="453">
        <v>907</v>
      </c>
      <c r="C800" s="457" t="s">
        <v>118</v>
      </c>
      <c r="D800" s="457" t="s">
        <v>140</v>
      </c>
      <c r="E800" s="457" t="s">
        <v>1051</v>
      </c>
      <c r="F800" s="457"/>
      <c r="G800" s="455">
        <f>G801</f>
        <v>0</v>
      </c>
      <c r="H800" s="455">
        <f t="shared" si="372"/>
        <v>0</v>
      </c>
      <c r="I800" s="455" t="e">
        <f t="shared" si="362"/>
        <v>#DIV/0!</v>
      </c>
      <c r="J800" s="478"/>
      <c r="K800" s="463"/>
    </row>
    <row r="801" spans="1:12" s="201" customFormat="1" ht="29.85" hidden="1" customHeight="1" x14ac:dyDescent="0.25">
      <c r="A801" s="97" t="s">
        <v>336</v>
      </c>
      <c r="B801" s="452">
        <v>907</v>
      </c>
      <c r="C801" s="454" t="s">
        <v>118</v>
      </c>
      <c r="D801" s="454" t="s">
        <v>140</v>
      </c>
      <c r="E801" s="454" t="s">
        <v>1052</v>
      </c>
      <c r="F801" s="454"/>
      <c r="G801" s="459">
        <f>G802</f>
        <v>0</v>
      </c>
      <c r="H801" s="459">
        <f t="shared" si="372"/>
        <v>0</v>
      </c>
      <c r="I801" s="455" t="e">
        <f t="shared" si="362"/>
        <v>#DIV/0!</v>
      </c>
      <c r="J801" s="478"/>
      <c r="K801" s="463"/>
    </row>
    <row r="802" spans="1:12" s="201" customFormat="1" ht="29.85" hidden="1" customHeight="1" x14ac:dyDescent="0.25">
      <c r="A802" s="458" t="s">
        <v>131</v>
      </c>
      <c r="B802" s="452">
        <v>907</v>
      </c>
      <c r="C802" s="454" t="s">
        <v>118</v>
      </c>
      <c r="D802" s="454" t="s">
        <v>140</v>
      </c>
      <c r="E802" s="454" t="s">
        <v>1052</v>
      </c>
      <c r="F802" s="454" t="s">
        <v>132</v>
      </c>
      <c r="G802" s="459">
        <f>G803</f>
        <v>0</v>
      </c>
      <c r="H802" s="459">
        <f t="shared" si="372"/>
        <v>0</v>
      </c>
      <c r="I802" s="455" t="e">
        <f t="shared" si="362"/>
        <v>#DIV/0!</v>
      </c>
      <c r="J802" s="478"/>
      <c r="K802" s="463"/>
    </row>
    <row r="803" spans="1:12" s="201" customFormat="1" ht="36.75" hidden="1" customHeight="1" x14ac:dyDescent="0.25">
      <c r="A803" s="458" t="s">
        <v>133</v>
      </c>
      <c r="B803" s="452">
        <v>907</v>
      </c>
      <c r="C803" s="454" t="s">
        <v>118</v>
      </c>
      <c r="D803" s="454" t="s">
        <v>140</v>
      </c>
      <c r="E803" s="454" t="s">
        <v>1052</v>
      </c>
      <c r="F803" s="454" t="s">
        <v>134</v>
      </c>
      <c r="G803" s="459">
        <v>0</v>
      </c>
      <c r="H803" s="459">
        <v>0</v>
      </c>
      <c r="I803" s="455" t="e">
        <f t="shared" si="362"/>
        <v>#DIV/0!</v>
      </c>
      <c r="J803" s="478"/>
      <c r="K803" s="463"/>
    </row>
    <row r="804" spans="1:12" ht="15.75" x14ac:dyDescent="0.25">
      <c r="A804" s="456" t="s">
        <v>490</v>
      </c>
      <c r="B804" s="453">
        <v>907</v>
      </c>
      <c r="C804" s="457" t="s">
        <v>491</v>
      </c>
      <c r="D804" s="454"/>
      <c r="E804" s="454"/>
      <c r="F804" s="454"/>
      <c r="G804" s="455">
        <f>G805+G848</f>
        <v>71500.53</v>
      </c>
      <c r="H804" s="455">
        <f t="shared" ref="H804" si="373">H805+H848</f>
        <v>48420.407000000007</v>
      </c>
      <c r="I804" s="455">
        <f t="shared" si="362"/>
        <v>67.720346968057456</v>
      </c>
      <c r="J804" s="478"/>
      <c r="K804" s="463"/>
      <c r="L804" s="201"/>
    </row>
    <row r="805" spans="1:12" ht="15.75" x14ac:dyDescent="0.25">
      <c r="A805" s="456" t="s">
        <v>492</v>
      </c>
      <c r="B805" s="453">
        <v>907</v>
      </c>
      <c r="C805" s="457" t="s">
        <v>491</v>
      </c>
      <c r="D805" s="457" t="s">
        <v>118</v>
      </c>
      <c r="E805" s="454"/>
      <c r="F805" s="454"/>
      <c r="G805" s="455">
        <f>G806+G843</f>
        <v>58489.630000000005</v>
      </c>
      <c r="H805" s="455">
        <f t="shared" ref="H805" si="374">H806+H843</f>
        <v>39335.821000000004</v>
      </c>
      <c r="I805" s="455">
        <f t="shared" si="362"/>
        <v>67.252641194686987</v>
      </c>
      <c r="J805" s="478"/>
      <c r="K805" s="463"/>
      <c r="L805" s="201"/>
    </row>
    <row r="806" spans="1:12" ht="31.5" x14ac:dyDescent="0.25">
      <c r="A806" s="456" t="s">
        <v>1363</v>
      </c>
      <c r="B806" s="453">
        <v>907</v>
      </c>
      <c r="C806" s="457" t="s">
        <v>491</v>
      </c>
      <c r="D806" s="457" t="s">
        <v>118</v>
      </c>
      <c r="E806" s="457" t="s">
        <v>482</v>
      </c>
      <c r="F806" s="457"/>
      <c r="G806" s="455">
        <f>G807+G811+G824+G831+G839+G835</f>
        <v>57932.83</v>
      </c>
      <c r="H806" s="455">
        <f t="shared" ref="H806" si="375">H807+H811+H824+H831+H839+H835</f>
        <v>38981.867000000006</v>
      </c>
      <c r="I806" s="455">
        <f t="shared" si="362"/>
        <v>67.288042030744919</v>
      </c>
      <c r="J806" s="478"/>
      <c r="K806" s="463"/>
      <c r="L806" s="201"/>
    </row>
    <row r="807" spans="1:12" ht="31.5" x14ac:dyDescent="0.25">
      <c r="A807" s="456" t="s">
        <v>937</v>
      </c>
      <c r="B807" s="453">
        <v>907</v>
      </c>
      <c r="C807" s="457" t="s">
        <v>491</v>
      </c>
      <c r="D807" s="457" t="s">
        <v>118</v>
      </c>
      <c r="E807" s="457" t="s">
        <v>1264</v>
      </c>
      <c r="F807" s="457"/>
      <c r="G807" s="455">
        <f>G808</f>
        <v>48905</v>
      </c>
      <c r="H807" s="455">
        <f t="shared" ref="H807:H809" si="376">H808</f>
        <v>35758.855000000003</v>
      </c>
      <c r="I807" s="455">
        <f t="shared" si="362"/>
        <v>73.119016460484616</v>
      </c>
      <c r="J807" s="478"/>
      <c r="K807" s="463"/>
      <c r="L807" s="201"/>
    </row>
    <row r="808" spans="1:12" ht="31.5" x14ac:dyDescent="0.25">
      <c r="A808" s="458" t="s">
        <v>495</v>
      </c>
      <c r="B808" s="452">
        <v>907</v>
      </c>
      <c r="C808" s="454" t="s">
        <v>491</v>
      </c>
      <c r="D808" s="454" t="s">
        <v>118</v>
      </c>
      <c r="E808" s="454" t="s">
        <v>1265</v>
      </c>
      <c r="F808" s="454"/>
      <c r="G808" s="459">
        <f>G809</f>
        <v>48905</v>
      </c>
      <c r="H808" s="459">
        <f t="shared" si="376"/>
        <v>35758.855000000003</v>
      </c>
      <c r="I808" s="459">
        <f t="shared" si="362"/>
        <v>73.119016460484616</v>
      </c>
      <c r="J808" s="478"/>
      <c r="K808" s="463"/>
      <c r="L808" s="201"/>
    </row>
    <row r="809" spans="1:12" ht="36" customHeight="1" x14ac:dyDescent="0.25">
      <c r="A809" s="458" t="s">
        <v>272</v>
      </c>
      <c r="B809" s="452">
        <v>907</v>
      </c>
      <c r="C809" s="454" t="s">
        <v>491</v>
      </c>
      <c r="D809" s="454" t="s">
        <v>118</v>
      </c>
      <c r="E809" s="454" t="s">
        <v>1265</v>
      </c>
      <c r="F809" s="454" t="s">
        <v>273</v>
      </c>
      <c r="G809" s="459">
        <f>G810</f>
        <v>48905</v>
      </c>
      <c r="H809" s="459">
        <f t="shared" si="376"/>
        <v>35758.855000000003</v>
      </c>
      <c r="I809" s="459">
        <f t="shared" si="362"/>
        <v>73.119016460484616</v>
      </c>
      <c r="J809" s="478"/>
      <c r="K809" s="463"/>
      <c r="L809" s="201"/>
    </row>
    <row r="810" spans="1:12" ht="15.75" x14ac:dyDescent="0.25">
      <c r="A810" s="458" t="s">
        <v>274</v>
      </c>
      <c r="B810" s="452">
        <v>907</v>
      </c>
      <c r="C810" s="454" t="s">
        <v>491</v>
      </c>
      <c r="D810" s="454" t="s">
        <v>118</v>
      </c>
      <c r="E810" s="454" t="s">
        <v>1265</v>
      </c>
      <c r="F810" s="454" t="s">
        <v>275</v>
      </c>
      <c r="G810" s="27">
        <f>47819.6+367.1+218.3-205.9-1000+500+1000+205.9</f>
        <v>48905</v>
      </c>
      <c r="H810" s="27">
        <v>35758.855000000003</v>
      </c>
      <c r="I810" s="459">
        <f t="shared" si="362"/>
        <v>73.119016460484616</v>
      </c>
      <c r="J810" s="478"/>
      <c r="K810" s="463"/>
      <c r="L810" s="201"/>
    </row>
    <row r="811" spans="1:12" s="201" customFormat="1" ht="15.75" x14ac:dyDescent="0.25">
      <c r="A811" s="456" t="s">
        <v>945</v>
      </c>
      <c r="B811" s="453">
        <v>907</v>
      </c>
      <c r="C811" s="457" t="s">
        <v>491</v>
      </c>
      <c r="D811" s="457" t="s">
        <v>118</v>
      </c>
      <c r="E811" s="457" t="s">
        <v>1266</v>
      </c>
      <c r="F811" s="457"/>
      <c r="G811" s="44">
        <f>G812+G815+G818+G821</f>
        <v>1268.9000000000001</v>
      </c>
      <c r="H811" s="44">
        <f t="shared" ref="H811" si="377">H812+H815+H818+H821</f>
        <v>1210.472</v>
      </c>
      <c r="I811" s="455">
        <f t="shared" si="362"/>
        <v>95.395381826779087</v>
      </c>
      <c r="J811" s="478"/>
      <c r="K811" s="463"/>
    </row>
    <row r="812" spans="1:12" ht="31.7" customHeight="1" x14ac:dyDescent="0.25">
      <c r="A812" s="458" t="s">
        <v>278</v>
      </c>
      <c r="B812" s="452">
        <v>907</v>
      </c>
      <c r="C812" s="454" t="s">
        <v>491</v>
      </c>
      <c r="D812" s="454" t="s">
        <v>118</v>
      </c>
      <c r="E812" s="454" t="s">
        <v>1324</v>
      </c>
      <c r="F812" s="454"/>
      <c r="G812" s="459">
        <f>G813</f>
        <v>232.9</v>
      </c>
      <c r="H812" s="459">
        <f t="shared" ref="H812:H813" si="378">H813</f>
        <v>231.904</v>
      </c>
      <c r="I812" s="459">
        <f t="shared" si="362"/>
        <v>99.572348647488184</v>
      </c>
      <c r="J812" s="478"/>
      <c r="K812" s="463"/>
      <c r="L812" s="201"/>
    </row>
    <row r="813" spans="1:12" ht="31.7" customHeight="1" x14ac:dyDescent="0.25">
      <c r="A813" s="458" t="s">
        <v>272</v>
      </c>
      <c r="B813" s="452">
        <v>907</v>
      </c>
      <c r="C813" s="454" t="s">
        <v>491</v>
      </c>
      <c r="D813" s="454" t="s">
        <v>118</v>
      </c>
      <c r="E813" s="454" t="s">
        <v>1324</v>
      </c>
      <c r="F813" s="454" t="s">
        <v>273</v>
      </c>
      <c r="G813" s="459">
        <f>G814</f>
        <v>232.9</v>
      </c>
      <c r="H813" s="459">
        <f t="shared" si="378"/>
        <v>231.904</v>
      </c>
      <c r="I813" s="459">
        <f t="shared" si="362"/>
        <v>99.572348647488184</v>
      </c>
      <c r="J813" s="478"/>
      <c r="K813" s="463"/>
      <c r="L813" s="201"/>
    </row>
    <row r="814" spans="1:12" ht="15.6" customHeight="1" x14ac:dyDescent="0.25">
      <c r="A814" s="458" t="s">
        <v>274</v>
      </c>
      <c r="B814" s="452">
        <v>907</v>
      </c>
      <c r="C814" s="454" t="s">
        <v>491</v>
      </c>
      <c r="D814" s="454" t="s">
        <v>118</v>
      </c>
      <c r="E814" s="454" t="s">
        <v>1324</v>
      </c>
      <c r="F814" s="454" t="s">
        <v>275</v>
      </c>
      <c r="G814" s="459">
        <f>88+144.9+144.9-144.9</f>
        <v>232.9</v>
      </c>
      <c r="H814" s="459">
        <v>231.904</v>
      </c>
      <c r="I814" s="459">
        <f t="shared" si="362"/>
        <v>99.572348647488184</v>
      </c>
      <c r="J814" s="478"/>
      <c r="K814" s="463"/>
      <c r="L814" s="201"/>
    </row>
    <row r="815" spans="1:12" ht="33" customHeight="1" x14ac:dyDescent="0.25">
      <c r="A815" s="458" t="s">
        <v>280</v>
      </c>
      <c r="B815" s="452">
        <v>907</v>
      </c>
      <c r="C815" s="454" t="s">
        <v>491</v>
      </c>
      <c r="D815" s="454" t="s">
        <v>118</v>
      </c>
      <c r="E815" s="454" t="s">
        <v>1325</v>
      </c>
      <c r="F815" s="454"/>
      <c r="G815" s="459">
        <f>G816</f>
        <v>700</v>
      </c>
      <c r="H815" s="459">
        <f t="shared" ref="H815:H816" si="379">H816</f>
        <v>642.56799999999998</v>
      </c>
      <c r="I815" s="459">
        <f t="shared" si="362"/>
        <v>91.795428571428573</v>
      </c>
      <c r="J815" s="478"/>
      <c r="K815" s="463"/>
      <c r="L815" s="201"/>
    </row>
    <row r="816" spans="1:12" ht="37.5" customHeight="1" x14ac:dyDescent="0.25">
      <c r="A816" s="458" t="s">
        <v>272</v>
      </c>
      <c r="B816" s="452">
        <v>907</v>
      </c>
      <c r="C816" s="454" t="s">
        <v>491</v>
      </c>
      <c r="D816" s="454" t="s">
        <v>118</v>
      </c>
      <c r="E816" s="454" t="s">
        <v>1325</v>
      </c>
      <c r="F816" s="454" t="s">
        <v>273</v>
      </c>
      <c r="G816" s="459">
        <f>G817</f>
        <v>700</v>
      </c>
      <c r="H816" s="459">
        <f t="shared" si="379"/>
        <v>642.56799999999998</v>
      </c>
      <c r="I816" s="459">
        <f t="shared" si="362"/>
        <v>91.795428571428573</v>
      </c>
      <c r="J816" s="478"/>
      <c r="K816" s="463"/>
      <c r="L816" s="201"/>
    </row>
    <row r="817" spans="1:12" ht="15.75" customHeight="1" x14ac:dyDescent="0.25">
      <c r="A817" s="458" t="s">
        <v>274</v>
      </c>
      <c r="B817" s="452">
        <v>907</v>
      </c>
      <c r="C817" s="454" t="s">
        <v>491</v>
      </c>
      <c r="D817" s="454" t="s">
        <v>118</v>
      </c>
      <c r="E817" s="454" t="s">
        <v>1325</v>
      </c>
      <c r="F817" s="454" t="s">
        <v>275</v>
      </c>
      <c r="G817" s="459">
        <v>700</v>
      </c>
      <c r="H817" s="459">
        <v>642.56799999999998</v>
      </c>
      <c r="I817" s="459">
        <f t="shared" si="362"/>
        <v>91.795428571428573</v>
      </c>
      <c r="J817" s="478"/>
      <c r="K817" s="463"/>
      <c r="L817" s="201"/>
    </row>
    <row r="818" spans="1:12" s="201" customFormat="1" ht="15.75" customHeight="1" x14ac:dyDescent="0.25">
      <c r="A818" s="458" t="s">
        <v>830</v>
      </c>
      <c r="B818" s="452">
        <v>907</v>
      </c>
      <c r="C818" s="454" t="s">
        <v>491</v>
      </c>
      <c r="D818" s="454" t="s">
        <v>118</v>
      </c>
      <c r="E818" s="454" t="s">
        <v>1267</v>
      </c>
      <c r="F818" s="454"/>
      <c r="G818" s="459">
        <f>G819</f>
        <v>36</v>
      </c>
      <c r="H818" s="459">
        <f t="shared" ref="H818:H819" si="380">H819</f>
        <v>36</v>
      </c>
      <c r="I818" s="459">
        <f t="shared" si="362"/>
        <v>100</v>
      </c>
      <c r="J818" s="478"/>
      <c r="K818" s="463"/>
    </row>
    <row r="819" spans="1:12" s="201" customFormat="1" ht="41.25" customHeight="1" x14ac:dyDescent="0.25">
      <c r="A819" s="458" t="s">
        <v>272</v>
      </c>
      <c r="B819" s="452">
        <v>907</v>
      </c>
      <c r="C819" s="454" t="s">
        <v>491</v>
      </c>
      <c r="D819" s="454" t="s">
        <v>118</v>
      </c>
      <c r="E819" s="454" t="s">
        <v>1267</v>
      </c>
      <c r="F819" s="454" t="s">
        <v>273</v>
      </c>
      <c r="G819" s="459">
        <f>G820</f>
        <v>36</v>
      </c>
      <c r="H819" s="459">
        <f t="shared" si="380"/>
        <v>36</v>
      </c>
      <c r="I819" s="459">
        <f t="shared" si="362"/>
        <v>100</v>
      </c>
      <c r="J819" s="478"/>
      <c r="K819" s="463"/>
    </row>
    <row r="820" spans="1:12" s="201" customFormat="1" ht="15.75" customHeight="1" x14ac:dyDescent="0.25">
      <c r="A820" s="458" t="s">
        <v>274</v>
      </c>
      <c r="B820" s="452">
        <v>907</v>
      </c>
      <c r="C820" s="454" t="s">
        <v>491</v>
      </c>
      <c r="D820" s="454" t="s">
        <v>118</v>
      </c>
      <c r="E820" s="454" t="s">
        <v>1267</v>
      </c>
      <c r="F820" s="454" t="s">
        <v>275</v>
      </c>
      <c r="G820" s="459">
        <v>36</v>
      </c>
      <c r="H820" s="459">
        <v>36</v>
      </c>
      <c r="I820" s="459">
        <f t="shared" si="362"/>
        <v>100</v>
      </c>
      <c r="J820" s="478"/>
      <c r="K820" s="463"/>
    </row>
    <row r="821" spans="1:12" s="201" customFormat="1" ht="33.75" customHeight="1" x14ac:dyDescent="0.25">
      <c r="A821" s="458" t="s">
        <v>287</v>
      </c>
      <c r="B821" s="452">
        <v>907</v>
      </c>
      <c r="C821" s="454" t="s">
        <v>491</v>
      </c>
      <c r="D821" s="454" t="s">
        <v>118</v>
      </c>
      <c r="E821" s="454" t="s">
        <v>1733</v>
      </c>
      <c r="F821" s="454"/>
      <c r="G821" s="459">
        <f>G823</f>
        <v>300</v>
      </c>
      <c r="H821" s="459">
        <f t="shared" ref="H821" si="381">H823</f>
        <v>300</v>
      </c>
      <c r="I821" s="459">
        <f t="shared" si="362"/>
        <v>100</v>
      </c>
      <c r="J821" s="478"/>
      <c r="K821" s="463"/>
    </row>
    <row r="822" spans="1:12" s="201" customFormat="1" ht="15.75" customHeight="1" x14ac:dyDescent="0.25">
      <c r="A822" s="458" t="s">
        <v>272</v>
      </c>
      <c r="B822" s="452">
        <v>907</v>
      </c>
      <c r="C822" s="454" t="s">
        <v>491</v>
      </c>
      <c r="D822" s="454" t="s">
        <v>118</v>
      </c>
      <c r="E822" s="454" t="s">
        <v>1733</v>
      </c>
      <c r="F822" s="454" t="s">
        <v>273</v>
      </c>
      <c r="G822" s="459">
        <f>G823</f>
        <v>300</v>
      </c>
      <c r="H822" s="459">
        <f t="shared" ref="H822" si="382">H823</f>
        <v>300</v>
      </c>
      <c r="I822" s="459">
        <f t="shared" si="362"/>
        <v>100</v>
      </c>
      <c r="J822" s="478"/>
      <c r="K822" s="463"/>
    </row>
    <row r="823" spans="1:12" s="201" customFormat="1" ht="15.75" customHeight="1" x14ac:dyDescent="0.25">
      <c r="A823" s="458" t="s">
        <v>274</v>
      </c>
      <c r="B823" s="452">
        <v>907</v>
      </c>
      <c r="C823" s="454" t="s">
        <v>491</v>
      </c>
      <c r="D823" s="454" t="s">
        <v>118</v>
      </c>
      <c r="E823" s="454" t="s">
        <v>1733</v>
      </c>
      <c r="F823" s="454" t="s">
        <v>275</v>
      </c>
      <c r="G823" s="459">
        <v>300</v>
      </c>
      <c r="H823" s="459">
        <v>300</v>
      </c>
      <c r="I823" s="459">
        <f t="shared" si="362"/>
        <v>100</v>
      </c>
      <c r="J823" s="478"/>
      <c r="K823" s="463"/>
    </row>
    <row r="824" spans="1:12" s="201" customFormat="1" ht="35.450000000000003" customHeight="1" x14ac:dyDescent="0.25">
      <c r="A824" s="456" t="s">
        <v>947</v>
      </c>
      <c r="B824" s="453">
        <v>907</v>
      </c>
      <c r="C824" s="457" t="s">
        <v>491</v>
      </c>
      <c r="D824" s="457" t="s">
        <v>118</v>
      </c>
      <c r="E824" s="457" t="s">
        <v>1268</v>
      </c>
      <c r="F824" s="457"/>
      <c r="G824" s="455">
        <f>G825+G828</f>
        <v>1204</v>
      </c>
      <c r="H824" s="455">
        <f t="shared" ref="H824" si="383">H825+H828</f>
        <v>746.33699999999999</v>
      </c>
      <c r="I824" s="455">
        <f t="shared" si="362"/>
        <v>61.988122923588037</v>
      </c>
      <c r="J824" s="478"/>
      <c r="K824" s="463"/>
    </row>
    <row r="825" spans="1:12" ht="33.75" customHeight="1" x14ac:dyDescent="0.25">
      <c r="A825" s="458" t="s">
        <v>791</v>
      </c>
      <c r="B825" s="452">
        <v>907</v>
      </c>
      <c r="C825" s="454" t="s">
        <v>491</v>
      </c>
      <c r="D825" s="454" t="s">
        <v>118</v>
      </c>
      <c r="E825" s="454" t="s">
        <v>1306</v>
      </c>
      <c r="F825" s="454"/>
      <c r="G825" s="459">
        <f>G826</f>
        <v>73.7</v>
      </c>
      <c r="H825" s="459">
        <f t="shared" ref="H825:H826" si="384">H826</f>
        <v>73.72</v>
      </c>
      <c r="I825" s="455">
        <f t="shared" si="362"/>
        <v>100.02713704206241</v>
      </c>
      <c r="J825" s="478"/>
      <c r="K825" s="463"/>
      <c r="L825" s="201"/>
    </row>
    <row r="826" spans="1:12" ht="31.5" x14ac:dyDescent="0.25">
      <c r="A826" s="458" t="s">
        <v>272</v>
      </c>
      <c r="B826" s="452">
        <v>907</v>
      </c>
      <c r="C826" s="454" t="s">
        <v>491</v>
      </c>
      <c r="D826" s="454" t="s">
        <v>118</v>
      </c>
      <c r="E826" s="454" t="s">
        <v>1306</v>
      </c>
      <c r="F826" s="454" t="s">
        <v>273</v>
      </c>
      <c r="G826" s="459">
        <f>G827</f>
        <v>73.7</v>
      </c>
      <c r="H826" s="459">
        <f t="shared" si="384"/>
        <v>73.72</v>
      </c>
      <c r="I826" s="455">
        <f t="shared" si="362"/>
        <v>100.02713704206241</v>
      </c>
      <c r="J826" s="478"/>
      <c r="K826" s="463"/>
      <c r="L826" s="201"/>
    </row>
    <row r="827" spans="1:12" ht="15.75" customHeight="1" x14ac:dyDescent="0.25">
      <c r="A827" s="458" t="s">
        <v>274</v>
      </c>
      <c r="B827" s="452">
        <v>907</v>
      </c>
      <c r="C827" s="454" t="s">
        <v>491</v>
      </c>
      <c r="D827" s="454" t="s">
        <v>118</v>
      </c>
      <c r="E827" s="454" t="s">
        <v>1306</v>
      </c>
      <c r="F827" s="454" t="s">
        <v>275</v>
      </c>
      <c r="G827" s="459">
        <v>73.7</v>
      </c>
      <c r="H827" s="459">
        <v>73.72</v>
      </c>
      <c r="I827" s="455">
        <f t="shared" si="362"/>
        <v>100.02713704206241</v>
      </c>
      <c r="J827" s="478"/>
      <c r="K827" s="463"/>
      <c r="L827" s="201"/>
    </row>
    <row r="828" spans="1:12" ht="34.5" customHeight="1" x14ac:dyDescent="0.25">
      <c r="A828" s="45" t="s">
        <v>764</v>
      </c>
      <c r="B828" s="452">
        <v>907</v>
      </c>
      <c r="C828" s="454" t="s">
        <v>491</v>
      </c>
      <c r="D828" s="454" t="s">
        <v>118</v>
      </c>
      <c r="E828" s="454" t="s">
        <v>1269</v>
      </c>
      <c r="F828" s="454"/>
      <c r="G828" s="459">
        <f>G829</f>
        <v>1130.3</v>
      </c>
      <c r="H828" s="459">
        <f t="shared" ref="H828:H829" si="385">H829</f>
        <v>672.61699999999996</v>
      </c>
      <c r="I828" s="459">
        <f t="shared" si="362"/>
        <v>59.507829779704501</v>
      </c>
      <c r="J828" s="478"/>
      <c r="K828" s="463"/>
      <c r="L828" s="201"/>
    </row>
    <row r="829" spans="1:12" ht="33" customHeight="1" x14ac:dyDescent="0.25">
      <c r="A829" s="31" t="s">
        <v>272</v>
      </c>
      <c r="B829" s="452">
        <v>907</v>
      </c>
      <c r="C829" s="454" t="s">
        <v>491</v>
      </c>
      <c r="D829" s="454" t="s">
        <v>118</v>
      </c>
      <c r="E829" s="454" t="s">
        <v>1269</v>
      </c>
      <c r="F829" s="454" t="s">
        <v>273</v>
      </c>
      <c r="G829" s="459">
        <f>G830</f>
        <v>1130.3</v>
      </c>
      <c r="H829" s="459">
        <f t="shared" si="385"/>
        <v>672.61699999999996</v>
      </c>
      <c r="I829" s="459">
        <f t="shared" si="362"/>
        <v>59.507829779704501</v>
      </c>
      <c r="J829" s="478"/>
      <c r="K829" s="463"/>
      <c r="L829" s="201"/>
    </row>
    <row r="830" spans="1:12" ht="15.75" customHeight="1" x14ac:dyDescent="0.25">
      <c r="A830" s="31" t="s">
        <v>274</v>
      </c>
      <c r="B830" s="452">
        <v>907</v>
      </c>
      <c r="C830" s="454" t="s">
        <v>491</v>
      </c>
      <c r="D830" s="454" t="s">
        <v>118</v>
      </c>
      <c r="E830" s="454" t="s">
        <v>1269</v>
      </c>
      <c r="F830" s="454" t="s">
        <v>275</v>
      </c>
      <c r="G830" s="459">
        <f>1204-144.9+144.9-73.7</f>
        <v>1130.3</v>
      </c>
      <c r="H830" s="459">
        <v>672.61699999999996</v>
      </c>
      <c r="I830" s="459">
        <f t="shared" si="362"/>
        <v>59.507829779704501</v>
      </c>
      <c r="J830" s="478"/>
      <c r="K830" s="463"/>
      <c r="L830" s="201"/>
    </row>
    <row r="831" spans="1:12" s="201" customFormat="1" ht="40.700000000000003" customHeight="1" x14ac:dyDescent="0.25">
      <c r="A831" s="456" t="s">
        <v>900</v>
      </c>
      <c r="B831" s="453">
        <v>907</v>
      </c>
      <c r="C831" s="457" t="s">
        <v>491</v>
      </c>
      <c r="D831" s="457" t="s">
        <v>118</v>
      </c>
      <c r="E831" s="457" t="s">
        <v>1270</v>
      </c>
      <c r="F831" s="457"/>
      <c r="G831" s="455">
        <f>G832</f>
        <v>763.5</v>
      </c>
      <c r="H831" s="455">
        <f t="shared" ref="H831:H833" si="386">H832</f>
        <v>496.97300000000001</v>
      </c>
      <c r="I831" s="455">
        <f t="shared" si="362"/>
        <v>65.091421087098894</v>
      </c>
      <c r="J831" s="478"/>
      <c r="K831" s="463"/>
    </row>
    <row r="832" spans="1:12" s="201" customFormat="1" ht="78.75" x14ac:dyDescent="0.25">
      <c r="A832" s="31" t="s">
        <v>464</v>
      </c>
      <c r="B832" s="452">
        <v>907</v>
      </c>
      <c r="C832" s="454" t="s">
        <v>491</v>
      </c>
      <c r="D832" s="454" t="s">
        <v>118</v>
      </c>
      <c r="E832" s="454" t="s">
        <v>1405</v>
      </c>
      <c r="F832" s="454"/>
      <c r="G832" s="459">
        <f>G833</f>
        <v>763.5</v>
      </c>
      <c r="H832" s="459">
        <f t="shared" si="386"/>
        <v>496.97300000000001</v>
      </c>
      <c r="I832" s="459">
        <f t="shared" si="362"/>
        <v>65.091421087098894</v>
      </c>
      <c r="J832" s="478"/>
      <c r="K832" s="463"/>
    </row>
    <row r="833" spans="1:13" s="201" customFormat="1" ht="31.5" x14ac:dyDescent="0.25">
      <c r="A833" s="458" t="s">
        <v>272</v>
      </c>
      <c r="B833" s="452">
        <v>907</v>
      </c>
      <c r="C833" s="454" t="s">
        <v>491</v>
      </c>
      <c r="D833" s="454" t="s">
        <v>118</v>
      </c>
      <c r="E833" s="454" t="s">
        <v>1405</v>
      </c>
      <c r="F833" s="454" t="s">
        <v>273</v>
      </c>
      <c r="G833" s="459">
        <f>G834</f>
        <v>763.5</v>
      </c>
      <c r="H833" s="459">
        <f t="shared" si="386"/>
        <v>496.97300000000001</v>
      </c>
      <c r="I833" s="459">
        <f t="shared" si="362"/>
        <v>65.091421087098894</v>
      </c>
      <c r="J833" s="478"/>
      <c r="K833" s="463"/>
    </row>
    <row r="834" spans="1:13" s="201" customFormat="1" ht="15.75" x14ac:dyDescent="0.25">
      <c r="A834" s="458" t="s">
        <v>274</v>
      </c>
      <c r="B834" s="452">
        <v>907</v>
      </c>
      <c r="C834" s="454" t="s">
        <v>491</v>
      </c>
      <c r="D834" s="454" t="s">
        <v>118</v>
      </c>
      <c r="E834" s="454" t="s">
        <v>1405</v>
      </c>
      <c r="F834" s="454" t="s">
        <v>275</v>
      </c>
      <c r="G834" s="459">
        <f>935.54-122.04-50</f>
        <v>763.5</v>
      </c>
      <c r="H834" s="459">
        <v>496.97300000000001</v>
      </c>
      <c r="I834" s="459">
        <f t="shared" si="362"/>
        <v>65.091421087098894</v>
      </c>
      <c r="J834" s="478"/>
      <c r="K834" s="463"/>
    </row>
    <row r="835" spans="1:13" s="201" customFormat="1" ht="47.25" customHeight="1" x14ac:dyDescent="0.25">
      <c r="A835" s="456" t="s">
        <v>1707</v>
      </c>
      <c r="B835" s="453">
        <v>907</v>
      </c>
      <c r="C835" s="457" t="s">
        <v>491</v>
      </c>
      <c r="D835" s="457" t="s">
        <v>118</v>
      </c>
      <c r="E835" s="457" t="s">
        <v>1705</v>
      </c>
      <c r="F835" s="457"/>
      <c r="G835" s="455">
        <f>G836</f>
        <v>5022.2</v>
      </c>
      <c r="H835" s="455">
        <f t="shared" ref="H835:H837" si="387">H836</f>
        <v>0</v>
      </c>
      <c r="I835" s="455">
        <f t="shared" si="362"/>
        <v>0</v>
      </c>
      <c r="J835" s="478"/>
      <c r="K835" s="463"/>
    </row>
    <row r="836" spans="1:13" s="201" customFormat="1" ht="31.5" x14ac:dyDescent="0.25">
      <c r="A836" s="31" t="s">
        <v>1708</v>
      </c>
      <c r="B836" s="452">
        <v>907</v>
      </c>
      <c r="C836" s="454" t="s">
        <v>491</v>
      </c>
      <c r="D836" s="454" t="s">
        <v>118</v>
      </c>
      <c r="E836" s="454" t="s">
        <v>1706</v>
      </c>
      <c r="F836" s="454"/>
      <c r="G836" s="459">
        <f>G837</f>
        <v>5022.2</v>
      </c>
      <c r="H836" s="459">
        <f t="shared" si="387"/>
        <v>0</v>
      </c>
      <c r="I836" s="459">
        <f t="shared" si="362"/>
        <v>0</v>
      </c>
      <c r="J836" s="478"/>
      <c r="K836" s="463"/>
    </row>
    <row r="837" spans="1:13" s="201" customFormat="1" ht="31.5" x14ac:dyDescent="0.25">
      <c r="A837" s="458" t="s">
        <v>272</v>
      </c>
      <c r="B837" s="452">
        <v>907</v>
      </c>
      <c r="C837" s="454" t="s">
        <v>491</v>
      </c>
      <c r="D837" s="454" t="s">
        <v>118</v>
      </c>
      <c r="E837" s="454" t="s">
        <v>1706</v>
      </c>
      <c r="F837" s="454" t="s">
        <v>273</v>
      </c>
      <c r="G837" s="459">
        <f>G838</f>
        <v>5022.2</v>
      </c>
      <c r="H837" s="459">
        <f t="shared" si="387"/>
        <v>0</v>
      </c>
      <c r="I837" s="459">
        <f t="shared" si="362"/>
        <v>0</v>
      </c>
      <c r="J837" s="478"/>
      <c r="K837" s="463"/>
    </row>
    <row r="838" spans="1:13" s="201" customFormat="1" ht="15.75" x14ac:dyDescent="0.25">
      <c r="A838" s="458" t="s">
        <v>274</v>
      </c>
      <c r="B838" s="452">
        <v>907</v>
      </c>
      <c r="C838" s="454" t="s">
        <v>491</v>
      </c>
      <c r="D838" s="454" t="s">
        <v>118</v>
      </c>
      <c r="E838" s="454" t="s">
        <v>1706</v>
      </c>
      <c r="F838" s="454" t="s">
        <v>275</v>
      </c>
      <c r="G838" s="459">
        <f>4816.3+205.9</f>
        <v>5022.2</v>
      </c>
      <c r="H838" s="459">
        <v>0</v>
      </c>
      <c r="I838" s="459">
        <f t="shared" si="362"/>
        <v>0</v>
      </c>
      <c r="J838" s="478"/>
      <c r="K838" s="463"/>
    </row>
    <row r="839" spans="1:13" s="201" customFormat="1" ht="47.25" x14ac:dyDescent="0.25">
      <c r="A839" s="456" t="s">
        <v>1332</v>
      </c>
      <c r="B839" s="453">
        <v>907</v>
      </c>
      <c r="C839" s="457" t="s">
        <v>491</v>
      </c>
      <c r="D839" s="457" t="s">
        <v>118</v>
      </c>
      <c r="E839" s="457" t="s">
        <v>1271</v>
      </c>
      <c r="F839" s="457"/>
      <c r="G839" s="455">
        <f>G840</f>
        <v>769.23</v>
      </c>
      <c r="H839" s="455">
        <f t="shared" ref="H839:H841" si="388">H840</f>
        <v>769.23</v>
      </c>
      <c r="I839" s="455">
        <f t="shared" si="362"/>
        <v>100</v>
      </c>
      <c r="J839" s="478"/>
      <c r="K839" s="463"/>
    </row>
    <row r="840" spans="1:13" s="202" customFormat="1" ht="47.25" x14ac:dyDescent="0.25">
      <c r="A840" s="458" t="s">
        <v>1194</v>
      </c>
      <c r="B840" s="452">
        <v>907</v>
      </c>
      <c r="C840" s="454" t="s">
        <v>491</v>
      </c>
      <c r="D840" s="454" t="s">
        <v>118</v>
      </c>
      <c r="E840" s="454" t="s">
        <v>1326</v>
      </c>
      <c r="F840" s="454"/>
      <c r="G840" s="459">
        <f>G841</f>
        <v>769.23</v>
      </c>
      <c r="H840" s="459">
        <f t="shared" si="388"/>
        <v>769.23</v>
      </c>
      <c r="I840" s="459">
        <f t="shared" si="362"/>
        <v>100</v>
      </c>
      <c r="J840" s="481"/>
      <c r="K840" s="127"/>
    </row>
    <row r="841" spans="1:13" s="202" customFormat="1" ht="31.5" x14ac:dyDescent="0.25">
      <c r="A841" s="458" t="s">
        <v>272</v>
      </c>
      <c r="B841" s="452">
        <v>907</v>
      </c>
      <c r="C841" s="454" t="s">
        <v>491</v>
      </c>
      <c r="D841" s="454" t="s">
        <v>118</v>
      </c>
      <c r="E841" s="454" t="s">
        <v>1326</v>
      </c>
      <c r="F841" s="454" t="s">
        <v>273</v>
      </c>
      <c r="G841" s="459">
        <f>G842</f>
        <v>769.23</v>
      </c>
      <c r="H841" s="459">
        <f t="shared" si="388"/>
        <v>769.23</v>
      </c>
      <c r="I841" s="459">
        <f t="shared" si="362"/>
        <v>100</v>
      </c>
      <c r="J841" s="481"/>
      <c r="K841" s="127"/>
    </row>
    <row r="842" spans="1:13" s="202" customFormat="1" ht="15.75" x14ac:dyDescent="0.25">
      <c r="A842" s="458" t="s">
        <v>274</v>
      </c>
      <c r="B842" s="452">
        <v>907</v>
      </c>
      <c r="C842" s="454" t="s">
        <v>491</v>
      </c>
      <c r="D842" s="454" t="s">
        <v>118</v>
      </c>
      <c r="E842" s="454" t="s">
        <v>1326</v>
      </c>
      <c r="F842" s="454" t="s">
        <v>275</v>
      </c>
      <c r="G842" s="459">
        <f>700+63+6.23</f>
        <v>769.23</v>
      </c>
      <c r="H842" s="459">
        <v>769.23</v>
      </c>
      <c r="I842" s="459">
        <f t="shared" si="362"/>
        <v>100</v>
      </c>
      <c r="J842" s="481"/>
      <c r="K842" s="127"/>
      <c r="M842" s="127"/>
    </row>
    <row r="843" spans="1:13" ht="47.25" x14ac:dyDescent="0.25">
      <c r="A843" s="462" t="s">
        <v>1344</v>
      </c>
      <c r="B843" s="453">
        <v>907</v>
      </c>
      <c r="C843" s="457" t="s">
        <v>491</v>
      </c>
      <c r="D843" s="457" t="s">
        <v>118</v>
      </c>
      <c r="E843" s="457" t="s">
        <v>705</v>
      </c>
      <c r="F843" s="465"/>
      <c r="G843" s="455">
        <f>G844</f>
        <v>556.79999999999995</v>
      </c>
      <c r="H843" s="455">
        <f t="shared" ref="H843:H846" si="389">H844</f>
        <v>353.95400000000001</v>
      </c>
      <c r="I843" s="455">
        <f t="shared" si="362"/>
        <v>63.569324712643684</v>
      </c>
      <c r="J843" s="478"/>
      <c r="K843" s="463"/>
      <c r="L843" s="201"/>
    </row>
    <row r="844" spans="1:13" s="201" customFormat="1" ht="47.25" x14ac:dyDescent="0.25">
      <c r="A844" s="462" t="s">
        <v>890</v>
      </c>
      <c r="B844" s="453">
        <v>907</v>
      </c>
      <c r="C844" s="457" t="s">
        <v>491</v>
      </c>
      <c r="D844" s="457" t="s">
        <v>118</v>
      </c>
      <c r="E844" s="457" t="s">
        <v>888</v>
      </c>
      <c r="F844" s="465"/>
      <c r="G844" s="455">
        <f>G845</f>
        <v>556.79999999999995</v>
      </c>
      <c r="H844" s="455">
        <f t="shared" si="389"/>
        <v>353.95400000000001</v>
      </c>
      <c r="I844" s="455">
        <f t="shared" ref="I844:I907" si="390">H844/G844*100</f>
        <v>63.569324712643684</v>
      </c>
      <c r="J844" s="478"/>
      <c r="K844" s="463"/>
    </row>
    <row r="845" spans="1:13" ht="39.200000000000003" customHeight="1" x14ac:dyDescent="0.25">
      <c r="A845" s="98" t="s">
        <v>780</v>
      </c>
      <c r="B845" s="452">
        <v>907</v>
      </c>
      <c r="C845" s="454" t="s">
        <v>491</v>
      </c>
      <c r="D845" s="454" t="s">
        <v>118</v>
      </c>
      <c r="E845" s="454" t="s">
        <v>936</v>
      </c>
      <c r="F845" s="460"/>
      <c r="G845" s="459">
        <f>G846</f>
        <v>556.79999999999995</v>
      </c>
      <c r="H845" s="459">
        <f t="shared" si="389"/>
        <v>353.95400000000001</v>
      </c>
      <c r="I845" s="459">
        <f t="shared" si="390"/>
        <v>63.569324712643684</v>
      </c>
      <c r="J845" s="478"/>
      <c r="K845" s="463"/>
      <c r="L845" s="201"/>
    </row>
    <row r="846" spans="1:13" ht="31.5" x14ac:dyDescent="0.25">
      <c r="A846" s="29" t="s">
        <v>272</v>
      </c>
      <c r="B846" s="452">
        <v>907</v>
      </c>
      <c r="C846" s="454" t="s">
        <v>491</v>
      </c>
      <c r="D846" s="454" t="s">
        <v>118</v>
      </c>
      <c r="E846" s="454" t="s">
        <v>936</v>
      </c>
      <c r="F846" s="460" t="s">
        <v>273</v>
      </c>
      <c r="G846" s="459">
        <f>G847</f>
        <v>556.79999999999995</v>
      </c>
      <c r="H846" s="459">
        <f t="shared" si="389"/>
        <v>353.95400000000001</v>
      </c>
      <c r="I846" s="459">
        <f t="shared" si="390"/>
        <v>63.569324712643684</v>
      </c>
      <c r="J846" s="478"/>
      <c r="K846" s="463"/>
      <c r="L846" s="201"/>
    </row>
    <row r="847" spans="1:13" ht="15.75" x14ac:dyDescent="0.25">
      <c r="A847" s="182" t="s">
        <v>274</v>
      </c>
      <c r="B847" s="452">
        <v>907</v>
      </c>
      <c r="C847" s="454" t="s">
        <v>491</v>
      </c>
      <c r="D847" s="454" t="s">
        <v>118</v>
      </c>
      <c r="E847" s="454" t="s">
        <v>936</v>
      </c>
      <c r="F847" s="460" t="s">
        <v>275</v>
      </c>
      <c r="G847" s="459">
        <v>556.79999999999995</v>
      </c>
      <c r="H847" s="459">
        <v>353.95400000000001</v>
      </c>
      <c r="I847" s="459">
        <f t="shared" si="390"/>
        <v>63.569324712643684</v>
      </c>
      <c r="J847" s="478"/>
      <c r="K847" s="463"/>
      <c r="L847" s="201"/>
    </row>
    <row r="848" spans="1:13" ht="19.5" customHeight="1" x14ac:dyDescent="0.25">
      <c r="A848" s="456" t="s">
        <v>500</v>
      </c>
      <c r="B848" s="453">
        <v>907</v>
      </c>
      <c r="C848" s="457" t="s">
        <v>491</v>
      </c>
      <c r="D848" s="457" t="s">
        <v>234</v>
      </c>
      <c r="E848" s="457"/>
      <c r="F848" s="457"/>
      <c r="G848" s="455">
        <f>G849+G857+G869</f>
        <v>13010.900000000001</v>
      </c>
      <c r="H848" s="455">
        <f t="shared" ref="H848" si="391">H849+H857+H869</f>
        <v>9084.5859999999993</v>
      </c>
      <c r="I848" s="455">
        <f t="shared" si="390"/>
        <v>69.822886964007097</v>
      </c>
      <c r="J848" s="478"/>
      <c r="K848" s="463"/>
      <c r="L848" s="201"/>
    </row>
    <row r="849" spans="1:12" ht="31.5" x14ac:dyDescent="0.25">
      <c r="A849" s="456" t="s">
        <v>917</v>
      </c>
      <c r="B849" s="453">
        <v>907</v>
      </c>
      <c r="C849" s="457" t="s">
        <v>491</v>
      </c>
      <c r="D849" s="457" t="s">
        <v>234</v>
      </c>
      <c r="E849" s="457" t="s">
        <v>858</v>
      </c>
      <c r="F849" s="457"/>
      <c r="G849" s="455">
        <f>G850</f>
        <v>5214.5</v>
      </c>
      <c r="H849" s="455">
        <f t="shared" ref="H849" si="392">H850</f>
        <v>3483.5710000000004</v>
      </c>
      <c r="I849" s="455">
        <f t="shared" si="390"/>
        <v>66.805465528813883</v>
      </c>
      <c r="J849" s="478"/>
      <c r="K849" s="463"/>
      <c r="L849" s="201"/>
    </row>
    <row r="850" spans="1:12" ht="15.75" x14ac:dyDescent="0.25">
      <c r="A850" s="456" t="s">
        <v>918</v>
      </c>
      <c r="B850" s="453">
        <v>907</v>
      </c>
      <c r="C850" s="457" t="s">
        <v>491</v>
      </c>
      <c r="D850" s="457" t="s">
        <v>234</v>
      </c>
      <c r="E850" s="457" t="s">
        <v>859</v>
      </c>
      <c r="F850" s="457"/>
      <c r="G850" s="455">
        <f>G851+G854</f>
        <v>5214.5</v>
      </c>
      <c r="H850" s="455">
        <f t="shared" ref="H850" si="393">H851+H854</f>
        <v>3483.5710000000004</v>
      </c>
      <c r="I850" s="455">
        <f t="shared" si="390"/>
        <v>66.805465528813883</v>
      </c>
      <c r="J850" s="478"/>
      <c r="K850" s="463"/>
      <c r="L850" s="201"/>
    </row>
    <row r="851" spans="1:12" ht="28.15" customHeight="1" x14ac:dyDescent="0.25">
      <c r="A851" s="458" t="s">
        <v>897</v>
      </c>
      <c r="B851" s="452">
        <v>907</v>
      </c>
      <c r="C851" s="454" t="s">
        <v>491</v>
      </c>
      <c r="D851" s="454" t="s">
        <v>234</v>
      </c>
      <c r="E851" s="454" t="s">
        <v>860</v>
      </c>
      <c r="F851" s="454"/>
      <c r="G851" s="459">
        <f>G852</f>
        <v>4946.5</v>
      </c>
      <c r="H851" s="459">
        <f t="shared" ref="H851:H852" si="394">H852</f>
        <v>3469.3960000000002</v>
      </c>
      <c r="I851" s="459">
        <f t="shared" si="390"/>
        <v>70.138400889517854</v>
      </c>
      <c r="J851" s="478"/>
      <c r="K851" s="463"/>
      <c r="L851" s="201"/>
    </row>
    <row r="852" spans="1:12" ht="64.5" customHeight="1" x14ac:dyDescent="0.25">
      <c r="A852" s="458" t="s">
        <v>127</v>
      </c>
      <c r="B852" s="452">
        <v>907</v>
      </c>
      <c r="C852" s="454" t="s">
        <v>491</v>
      </c>
      <c r="D852" s="454" t="s">
        <v>234</v>
      </c>
      <c r="E852" s="454" t="s">
        <v>860</v>
      </c>
      <c r="F852" s="454" t="s">
        <v>128</v>
      </c>
      <c r="G852" s="459">
        <f>G853</f>
        <v>4946.5</v>
      </c>
      <c r="H852" s="459">
        <f t="shared" si="394"/>
        <v>3469.3960000000002</v>
      </c>
      <c r="I852" s="459">
        <f t="shared" si="390"/>
        <v>70.138400889517854</v>
      </c>
      <c r="J852" s="478"/>
      <c r="K852" s="463"/>
      <c r="L852" s="201"/>
    </row>
    <row r="853" spans="1:12" ht="31.5" x14ac:dyDescent="0.25">
      <c r="A853" s="458" t="s">
        <v>129</v>
      </c>
      <c r="B853" s="452">
        <v>907</v>
      </c>
      <c r="C853" s="454" t="s">
        <v>491</v>
      </c>
      <c r="D853" s="454" t="s">
        <v>234</v>
      </c>
      <c r="E853" s="454" t="s">
        <v>860</v>
      </c>
      <c r="F853" s="454" t="s">
        <v>130</v>
      </c>
      <c r="G853" s="27">
        <f>4888.5+6+52</f>
        <v>4946.5</v>
      </c>
      <c r="H853" s="27">
        <v>3469.3960000000002</v>
      </c>
      <c r="I853" s="459">
        <f t="shared" si="390"/>
        <v>70.138400889517854</v>
      </c>
      <c r="J853" s="478"/>
      <c r="K853" s="463"/>
      <c r="L853" s="201"/>
    </row>
    <row r="854" spans="1:12" s="201" customFormat="1" ht="36.75" customHeight="1" x14ac:dyDescent="0.25">
      <c r="A854" s="458" t="s">
        <v>839</v>
      </c>
      <c r="B854" s="452">
        <v>907</v>
      </c>
      <c r="C854" s="454" t="s">
        <v>491</v>
      </c>
      <c r="D854" s="454" t="s">
        <v>234</v>
      </c>
      <c r="E854" s="454" t="s">
        <v>862</v>
      </c>
      <c r="F854" s="454"/>
      <c r="G854" s="459">
        <f>G855</f>
        <v>268</v>
      </c>
      <c r="H854" s="459">
        <f t="shared" ref="H854:H855" si="395">H855</f>
        <v>14.175000000000001</v>
      </c>
      <c r="I854" s="459">
        <f t="shared" si="390"/>
        <v>5.2891791044776122</v>
      </c>
      <c r="J854" s="478"/>
      <c r="K854" s="463"/>
    </row>
    <row r="855" spans="1:12" s="201" customFormat="1" ht="47.25" customHeight="1" x14ac:dyDescent="0.25">
      <c r="A855" s="458" t="s">
        <v>127</v>
      </c>
      <c r="B855" s="452">
        <v>907</v>
      </c>
      <c r="C855" s="454" t="s">
        <v>491</v>
      </c>
      <c r="D855" s="454" t="s">
        <v>234</v>
      </c>
      <c r="E855" s="454" t="s">
        <v>862</v>
      </c>
      <c r="F855" s="454" t="s">
        <v>128</v>
      </c>
      <c r="G855" s="459">
        <f>G856</f>
        <v>268</v>
      </c>
      <c r="H855" s="459">
        <f t="shared" si="395"/>
        <v>14.175000000000001</v>
      </c>
      <c r="I855" s="459">
        <f t="shared" si="390"/>
        <v>5.2891791044776122</v>
      </c>
      <c r="J855" s="478"/>
      <c r="K855" s="463"/>
    </row>
    <row r="856" spans="1:12" s="201" customFormat="1" ht="34.5" customHeight="1" x14ac:dyDescent="0.25">
      <c r="A856" s="458" t="s">
        <v>129</v>
      </c>
      <c r="B856" s="452">
        <v>907</v>
      </c>
      <c r="C856" s="454" t="s">
        <v>491</v>
      </c>
      <c r="D856" s="454" t="s">
        <v>234</v>
      </c>
      <c r="E856" s="454" t="s">
        <v>862</v>
      </c>
      <c r="F856" s="454" t="s">
        <v>130</v>
      </c>
      <c r="G856" s="459">
        <f>84+252-52-16</f>
        <v>268</v>
      </c>
      <c r="H856" s="459">
        <v>14.175000000000001</v>
      </c>
      <c r="I856" s="459">
        <f t="shared" si="390"/>
        <v>5.2891791044776122</v>
      </c>
      <c r="J856" s="478"/>
      <c r="K856" s="463"/>
    </row>
    <row r="857" spans="1:12" ht="15.75" x14ac:dyDescent="0.25">
      <c r="A857" s="456" t="s">
        <v>141</v>
      </c>
      <c r="B857" s="453">
        <v>907</v>
      </c>
      <c r="C857" s="457" t="s">
        <v>491</v>
      </c>
      <c r="D857" s="457" t="s">
        <v>234</v>
      </c>
      <c r="E857" s="457" t="s">
        <v>866</v>
      </c>
      <c r="F857" s="457"/>
      <c r="G857" s="455">
        <f>G858</f>
        <v>5314.7</v>
      </c>
      <c r="H857" s="455">
        <f t="shared" ref="H857" si="396">H858</f>
        <v>4400</v>
      </c>
      <c r="I857" s="455">
        <f t="shared" si="390"/>
        <v>82.78924492445482</v>
      </c>
      <c r="J857" s="478"/>
      <c r="K857" s="463"/>
      <c r="L857" s="201"/>
    </row>
    <row r="858" spans="1:12" s="201" customFormat="1" ht="31.5" x14ac:dyDescent="0.25">
      <c r="A858" s="456" t="s">
        <v>929</v>
      </c>
      <c r="B858" s="453">
        <v>907</v>
      </c>
      <c r="C858" s="457" t="s">
        <v>491</v>
      </c>
      <c r="D858" s="457" t="s">
        <v>234</v>
      </c>
      <c r="E858" s="457" t="s">
        <v>914</v>
      </c>
      <c r="F858" s="457"/>
      <c r="G858" s="455">
        <f>G859+G866</f>
        <v>5314.7</v>
      </c>
      <c r="H858" s="455">
        <f t="shared" ref="H858" si="397">H859+H866</f>
        <v>4400</v>
      </c>
      <c r="I858" s="455">
        <f t="shared" si="390"/>
        <v>82.78924492445482</v>
      </c>
      <c r="J858" s="478"/>
      <c r="K858" s="463"/>
    </row>
    <row r="859" spans="1:12" ht="31.5" x14ac:dyDescent="0.25">
      <c r="A859" s="458" t="s">
        <v>903</v>
      </c>
      <c r="B859" s="452">
        <v>907</v>
      </c>
      <c r="C859" s="454" t="s">
        <v>491</v>
      </c>
      <c r="D859" s="454" t="s">
        <v>234</v>
      </c>
      <c r="E859" s="454" t="s">
        <v>915</v>
      </c>
      <c r="F859" s="454"/>
      <c r="G859" s="459">
        <f>G860+G862+G864</f>
        <v>5067.2139999999999</v>
      </c>
      <c r="H859" s="459">
        <f t="shared" ref="H859" si="398">H860+H862+H864</f>
        <v>4152.5739999999996</v>
      </c>
      <c r="I859" s="459">
        <f t="shared" si="390"/>
        <v>81.949844628626295</v>
      </c>
      <c r="J859" s="478"/>
      <c r="K859" s="463"/>
      <c r="L859" s="201"/>
    </row>
    <row r="860" spans="1:12" ht="72.75" customHeight="1" x14ac:dyDescent="0.25">
      <c r="A860" s="458" t="s">
        <v>127</v>
      </c>
      <c r="B860" s="452">
        <v>907</v>
      </c>
      <c r="C860" s="454" t="s">
        <v>491</v>
      </c>
      <c r="D860" s="454" t="s">
        <v>234</v>
      </c>
      <c r="E860" s="454" t="s">
        <v>915</v>
      </c>
      <c r="F860" s="454" t="s">
        <v>128</v>
      </c>
      <c r="G860" s="459">
        <f>G861</f>
        <v>4689.3999999999996</v>
      </c>
      <c r="H860" s="459">
        <f t="shared" ref="H860" si="399">H861</f>
        <v>3977.69</v>
      </c>
      <c r="I860" s="459">
        <f t="shared" si="390"/>
        <v>84.823005075276157</v>
      </c>
      <c r="J860" s="478"/>
      <c r="K860" s="463"/>
      <c r="L860" s="201"/>
    </row>
    <row r="861" spans="1:12" ht="25.5" customHeight="1" x14ac:dyDescent="0.25">
      <c r="A861" s="458" t="s">
        <v>342</v>
      </c>
      <c r="B861" s="452">
        <v>907</v>
      </c>
      <c r="C861" s="454" t="s">
        <v>491</v>
      </c>
      <c r="D861" s="454" t="s">
        <v>234</v>
      </c>
      <c r="E861" s="454" t="s">
        <v>915</v>
      </c>
      <c r="F861" s="454" t="s">
        <v>209</v>
      </c>
      <c r="G861" s="27">
        <f>4695.4-6</f>
        <v>4689.3999999999996</v>
      </c>
      <c r="H861" s="27">
        <v>3977.69</v>
      </c>
      <c r="I861" s="459">
        <f t="shared" si="390"/>
        <v>84.823005075276157</v>
      </c>
      <c r="J861" s="478"/>
      <c r="K861" s="463"/>
      <c r="L861" s="201"/>
    </row>
    <row r="862" spans="1:12" ht="31.5" x14ac:dyDescent="0.25">
      <c r="A862" s="458" t="s">
        <v>131</v>
      </c>
      <c r="B862" s="452">
        <v>907</v>
      </c>
      <c r="C862" s="454" t="s">
        <v>491</v>
      </c>
      <c r="D862" s="454" t="s">
        <v>234</v>
      </c>
      <c r="E862" s="454" t="s">
        <v>915</v>
      </c>
      <c r="F862" s="454" t="s">
        <v>132</v>
      </c>
      <c r="G862" s="459">
        <f>G863</f>
        <v>326.81400000000002</v>
      </c>
      <c r="H862" s="459">
        <f t="shared" ref="H862" si="400">H863</f>
        <v>172.38499999999999</v>
      </c>
      <c r="I862" s="459">
        <f t="shared" si="390"/>
        <v>52.747128335995399</v>
      </c>
      <c r="J862" s="478"/>
      <c r="K862" s="463"/>
      <c r="L862" s="201"/>
    </row>
    <row r="863" spans="1:12" ht="31.5" x14ac:dyDescent="0.25">
      <c r="A863" s="458" t="s">
        <v>133</v>
      </c>
      <c r="B863" s="452">
        <v>907</v>
      </c>
      <c r="C863" s="454" t="s">
        <v>491</v>
      </c>
      <c r="D863" s="454" t="s">
        <v>234</v>
      </c>
      <c r="E863" s="454" t="s">
        <v>915</v>
      </c>
      <c r="F863" s="454" t="s">
        <v>134</v>
      </c>
      <c r="G863" s="27">
        <f>343.3-16.486</f>
        <v>326.81400000000002</v>
      </c>
      <c r="H863" s="27">
        <v>172.38499999999999</v>
      </c>
      <c r="I863" s="459">
        <f t="shared" si="390"/>
        <v>52.747128335995399</v>
      </c>
      <c r="J863" s="478">
        <v>44410</v>
      </c>
      <c r="K863" s="463"/>
      <c r="L863" s="201"/>
    </row>
    <row r="864" spans="1:12" ht="15.75" x14ac:dyDescent="0.25">
      <c r="A864" s="458" t="s">
        <v>135</v>
      </c>
      <c r="B864" s="452">
        <v>907</v>
      </c>
      <c r="C864" s="454" t="s">
        <v>491</v>
      </c>
      <c r="D864" s="454" t="s">
        <v>234</v>
      </c>
      <c r="E864" s="454" t="s">
        <v>915</v>
      </c>
      <c r="F864" s="454" t="s">
        <v>145</v>
      </c>
      <c r="G864" s="459">
        <f>G865</f>
        <v>51</v>
      </c>
      <c r="H864" s="459">
        <f t="shared" ref="H864" si="401">H865</f>
        <v>2.4990000000000001</v>
      </c>
      <c r="I864" s="459">
        <f t="shared" si="390"/>
        <v>4.9000000000000004</v>
      </c>
      <c r="J864" s="478"/>
      <c r="K864" s="463"/>
      <c r="L864" s="201"/>
    </row>
    <row r="865" spans="1:12" ht="15.75" x14ac:dyDescent="0.25">
      <c r="A865" s="458" t="s">
        <v>568</v>
      </c>
      <c r="B865" s="452">
        <v>907</v>
      </c>
      <c r="C865" s="454" t="s">
        <v>491</v>
      </c>
      <c r="D865" s="454" t="s">
        <v>234</v>
      </c>
      <c r="E865" s="454" t="s">
        <v>915</v>
      </c>
      <c r="F865" s="454" t="s">
        <v>138</v>
      </c>
      <c r="G865" s="459">
        <f>27.1+24.1-0.2</f>
        <v>51</v>
      </c>
      <c r="H865" s="459">
        <v>2.4990000000000001</v>
      </c>
      <c r="I865" s="459">
        <f t="shared" si="390"/>
        <v>4.9000000000000004</v>
      </c>
      <c r="J865" s="478"/>
      <c r="K865" s="463"/>
      <c r="L865" s="201"/>
    </row>
    <row r="866" spans="1:12" s="201" customFormat="1" ht="31.5" x14ac:dyDescent="0.25">
      <c r="A866" s="458" t="s">
        <v>839</v>
      </c>
      <c r="B866" s="452">
        <v>907</v>
      </c>
      <c r="C866" s="454" t="s">
        <v>491</v>
      </c>
      <c r="D866" s="454" t="s">
        <v>234</v>
      </c>
      <c r="E866" s="454" t="s">
        <v>916</v>
      </c>
      <c r="F866" s="454"/>
      <c r="G866" s="459">
        <f>G867</f>
        <v>247.48599999999999</v>
      </c>
      <c r="H866" s="459">
        <f t="shared" ref="H866:H867" si="402">H867</f>
        <v>247.42599999999999</v>
      </c>
      <c r="I866" s="459">
        <f t="shared" si="390"/>
        <v>99.975756204391359</v>
      </c>
      <c r="J866" s="478"/>
      <c r="K866" s="463"/>
    </row>
    <row r="867" spans="1:12" s="201" customFormat="1" ht="78.75" x14ac:dyDescent="0.25">
      <c r="A867" s="458" t="s">
        <v>127</v>
      </c>
      <c r="B867" s="452">
        <v>907</v>
      </c>
      <c r="C867" s="454" t="s">
        <v>491</v>
      </c>
      <c r="D867" s="454" t="s">
        <v>234</v>
      </c>
      <c r="E867" s="454" t="s">
        <v>916</v>
      </c>
      <c r="F867" s="454" t="s">
        <v>128</v>
      </c>
      <c r="G867" s="459">
        <f>G868</f>
        <v>247.48599999999999</v>
      </c>
      <c r="H867" s="459">
        <f t="shared" si="402"/>
        <v>247.42599999999999</v>
      </c>
      <c r="I867" s="459">
        <f t="shared" si="390"/>
        <v>99.975756204391359</v>
      </c>
      <c r="J867" s="478"/>
      <c r="K867" s="463"/>
    </row>
    <row r="868" spans="1:12" s="201" customFormat="1" ht="15.75" x14ac:dyDescent="0.25">
      <c r="A868" s="458" t="s">
        <v>342</v>
      </c>
      <c r="B868" s="452">
        <v>907</v>
      </c>
      <c r="C868" s="454" t="s">
        <v>491</v>
      </c>
      <c r="D868" s="454" t="s">
        <v>234</v>
      </c>
      <c r="E868" s="454" t="s">
        <v>916</v>
      </c>
      <c r="F868" s="454" t="s">
        <v>209</v>
      </c>
      <c r="G868" s="459">
        <f>215+16.486+16</f>
        <v>247.48599999999999</v>
      </c>
      <c r="H868" s="459">
        <v>247.42599999999999</v>
      </c>
      <c r="I868" s="459">
        <f t="shared" si="390"/>
        <v>99.975756204391359</v>
      </c>
      <c r="J868" s="478">
        <v>44410</v>
      </c>
      <c r="K868" s="463"/>
    </row>
    <row r="869" spans="1:12" s="201" customFormat="1" ht="31.5" x14ac:dyDescent="0.25">
      <c r="A869" s="462" t="s">
        <v>1363</v>
      </c>
      <c r="B869" s="453">
        <v>907</v>
      </c>
      <c r="C869" s="457" t="s">
        <v>491</v>
      </c>
      <c r="D869" s="457" t="s">
        <v>234</v>
      </c>
      <c r="E869" s="7" t="s">
        <v>482</v>
      </c>
      <c r="F869" s="457"/>
      <c r="G869" s="455">
        <f>G870</f>
        <v>2481.6999999999998</v>
      </c>
      <c r="H869" s="455">
        <f t="shared" ref="H869:H870" si="403">H870</f>
        <v>1201.0149999999999</v>
      </c>
      <c r="I869" s="455">
        <f t="shared" si="390"/>
        <v>48.394850304226935</v>
      </c>
      <c r="J869" s="478"/>
      <c r="K869" s="463"/>
    </row>
    <row r="870" spans="1:12" s="201" customFormat="1" ht="31.5" x14ac:dyDescent="0.25">
      <c r="A870" s="58" t="s">
        <v>951</v>
      </c>
      <c r="B870" s="453">
        <v>907</v>
      </c>
      <c r="C870" s="457" t="s">
        <v>491</v>
      </c>
      <c r="D870" s="457" t="s">
        <v>234</v>
      </c>
      <c r="E870" s="7" t="s">
        <v>1272</v>
      </c>
      <c r="F870" s="457"/>
      <c r="G870" s="455">
        <f>G871</f>
        <v>2481.6999999999998</v>
      </c>
      <c r="H870" s="455">
        <f t="shared" si="403"/>
        <v>1201.0149999999999</v>
      </c>
      <c r="I870" s="455">
        <f t="shared" si="390"/>
        <v>48.394850304226935</v>
      </c>
      <c r="J870" s="478"/>
      <c r="K870" s="463"/>
    </row>
    <row r="871" spans="1:12" s="201" customFormat="1" ht="15.75" x14ac:dyDescent="0.25">
      <c r="A871" s="29" t="s">
        <v>952</v>
      </c>
      <c r="B871" s="452">
        <v>907</v>
      </c>
      <c r="C871" s="454" t="s">
        <v>491</v>
      </c>
      <c r="D871" s="454" t="s">
        <v>234</v>
      </c>
      <c r="E871" s="461" t="s">
        <v>1273</v>
      </c>
      <c r="F871" s="454"/>
      <c r="G871" s="459">
        <f>G872+G874</f>
        <v>2481.6999999999998</v>
      </c>
      <c r="H871" s="459">
        <f t="shared" ref="H871" si="404">H872+H874</f>
        <v>1201.0149999999999</v>
      </c>
      <c r="I871" s="459">
        <f t="shared" si="390"/>
        <v>48.394850304226935</v>
      </c>
      <c r="J871" s="478"/>
      <c r="K871" s="463"/>
    </row>
    <row r="872" spans="1:12" s="201" customFormat="1" ht="78.75" x14ac:dyDescent="0.25">
      <c r="A872" s="458" t="s">
        <v>127</v>
      </c>
      <c r="B872" s="452">
        <v>907</v>
      </c>
      <c r="C872" s="454" t="s">
        <v>491</v>
      </c>
      <c r="D872" s="454" t="s">
        <v>234</v>
      </c>
      <c r="E872" s="461" t="s">
        <v>1273</v>
      </c>
      <c r="F872" s="454" t="s">
        <v>128</v>
      </c>
      <c r="G872" s="459">
        <f>G873</f>
        <v>1981.7</v>
      </c>
      <c r="H872" s="459">
        <f t="shared" ref="H872" si="405">H873</f>
        <v>1020.025</v>
      </c>
      <c r="I872" s="459">
        <f t="shared" si="390"/>
        <v>51.472220820507644</v>
      </c>
      <c r="J872" s="478"/>
      <c r="K872" s="463"/>
    </row>
    <row r="873" spans="1:12" s="201" customFormat="1" ht="15.75" x14ac:dyDescent="0.25">
      <c r="A873" s="458" t="s">
        <v>342</v>
      </c>
      <c r="B873" s="452">
        <v>907</v>
      </c>
      <c r="C873" s="454" t="s">
        <v>491</v>
      </c>
      <c r="D873" s="454" t="s">
        <v>234</v>
      </c>
      <c r="E873" s="461" t="s">
        <v>1273</v>
      </c>
      <c r="F873" s="454" t="s">
        <v>209</v>
      </c>
      <c r="G873" s="459">
        <f>2200-218.3</f>
        <v>1981.7</v>
      </c>
      <c r="H873" s="459">
        <v>1020.025</v>
      </c>
      <c r="I873" s="459">
        <f t="shared" si="390"/>
        <v>51.472220820507644</v>
      </c>
      <c r="J873" s="478"/>
      <c r="K873" s="463"/>
    </row>
    <row r="874" spans="1:12" s="201" customFormat="1" ht="31.5" x14ac:dyDescent="0.25">
      <c r="A874" s="29" t="s">
        <v>131</v>
      </c>
      <c r="B874" s="452">
        <v>907</v>
      </c>
      <c r="C874" s="454" t="s">
        <v>491</v>
      </c>
      <c r="D874" s="454" t="s">
        <v>234</v>
      </c>
      <c r="E874" s="461" t="s">
        <v>1273</v>
      </c>
      <c r="F874" s="454" t="s">
        <v>132</v>
      </c>
      <c r="G874" s="459">
        <f>G875</f>
        <v>500</v>
      </c>
      <c r="H874" s="459">
        <f t="shared" ref="H874" si="406">H875</f>
        <v>180.99</v>
      </c>
      <c r="I874" s="459">
        <f t="shared" si="390"/>
        <v>36.198</v>
      </c>
      <c r="J874" s="478"/>
      <c r="K874" s="463"/>
    </row>
    <row r="875" spans="1:12" s="201" customFormat="1" ht="31.5" x14ac:dyDescent="0.25">
      <c r="A875" s="29" t="s">
        <v>133</v>
      </c>
      <c r="B875" s="452">
        <v>907</v>
      </c>
      <c r="C875" s="454" t="s">
        <v>491</v>
      </c>
      <c r="D875" s="454" t="s">
        <v>234</v>
      </c>
      <c r="E875" s="461" t="s">
        <v>1273</v>
      </c>
      <c r="F875" s="454" t="s">
        <v>134</v>
      </c>
      <c r="G875" s="459">
        <f>500</f>
        <v>500</v>
      </c>
      <c r="H875" s="459">
        <v>180.99</v>
      </c>
      <c r="I875" s="459">
        <f t="shared" si="390"/>
        <v>36.198</v>
      </c>
      <c r="J875" s="478"/>
      <c r="K875" s="463"/>
    </row>
    <row r="876" spans="1:12" ht="31.5" x14ac:dyDescent="0.25">
      <c r="A876" s="453" t="s">
        <v>504</v>
      </c>
      <c r="B876" s="453">
        <v>908</v>
      </c>
      <c r="C876" s="454"/>
      <c r="D876" s="454"/>
      <c r="E876" s="454"/>
      <c r="F876" s="454"/>
      <c r="G876" s="455">
        <f>G891+G898+G919+G1107+G877</f>
        <v>247931.95</v>
      </c>
      <c r="H876" s="455">
        <f t="shared" ref="H876" si="407">H891+H898+H919+H1107+H877</f>
        <v>134368.72594999999</v>
      </c>
      <c r="I876" s="455">
        <f t="shared" si="390"/>
        <v>54.195808950802828</v>
      </c>
      <c r="J876" s="478"/>
      <c r="K876" s="463"/>
      <c r="L876" s="201"/>
    </row>
    <row r="877" spans="1:12" ht="15.75" x14ac:dyDescent="0.25">
      <c r="A877" s="34" t="s">
        <v>117</v>
      </c>
      <c r="B877" s="453">
        <v>908</v>
      </c>
      <c r="C877" s="457" t="s">
        <v>118</v>
      </c>
      <c r="D877" s="454"/>
      <c r="E877" s="454"/>
      <c r="F877" s="454"/>
      <c r="G877" s="455">
        <f>G878</f>
        <v>48081.530000000006</v>
      </c>
      <c r="H877" s="455">
        <f t="shared" ref="H877:H879" si="408">H878</f>
        <v>32532.399530000002</v>
      </c>
      <c r="I877" s="455">
        <f t="shared" si="390"/>
        <v>67.660907483601278</v>
      </c>
      <c r="J877" s="478"/>
      <c r="K877" s="463"/>
      <c r="L877" s="201"/>
    </row>
    <row r="878" spans="1:12" ht="15.75" x14ac:dyDescent="0.25">
      <c r="A878" s="34" t="s">
        <v>139</v>
      </c>
      <c r="B878" s="453">
        <v>908</v>
      </c>
      <c r="C878" s="457" t="s">
        <v>118</v>
      </c>
      <c r="D878" s="457" t="s">
        <v>140</v>
      </c>
      <c r="E878" s="454"/>
      <c r="F878" s="454"/>
      <c r="G878" s="455">
        <f>G879</f>
        <v>48081.530000000006</v>
      </c>
      <c r="H878" s="455">
        <f t="shared" si="408"/>
        <v>32532.399530000002</v>
      </c>
      <c r="I878" s="455">
        <f t="shared" si="390"/>
        <v>67.660907483601278</v>
      </c>
      <c r="J878" s="478"/>
      <c r="K878" s="463"/>
      <c r="L878" s="201"/>
    </row>
    <row r="879" spans="1:12" ht="21.2" customHeight="1" x14ac:dyDescent="0.25">
      <c r="A879" s="456" t="s">
        <v>141</v>
      </c>
      <c r="B879" s="453">
        <v>908</v>
      </c>
      <c r="C879" s="457" t="s">
        <v>118</v>
      </c>
      <c r="D879" s="457" t="s">
        <v>140</v>
      </c>
      <c r="E879" s="457" t="s">
        <v>866</v>
      </c>
      <c r="F879" s="457"/>
      <c r="G879" s="44">
        <f>G880</f>
        <v>48081.530000000006</v>
      </c>
      <c r="H879" s="44">
        <f t="shared" si="408"/>
        <v>32532.399530000002</v>
      </c>
      <c r="I879" s="455">
        <f t="shared" si="390"/>
        <v>67.660907483601278</v>
      </c>
      <c r="J879" s="478"/>
      <c r="K879" s="463"/>
      <c r="L879" s="201"/>
    </row>
    <row r="880" spans="1:12" ht="15.75" x14ac:dyDescent="0.25">
      <c r="A880" s="456" t="s">
        <v>954</v>
      </c>
      <c r="B880" s="453">
        <v>908</v>
      </c>
      <c r="C880" s="457" t="s">
        <v>118</v>
      </c>
      <c r="D880" s="457" t="s">
        <v>140</v>
      </c>
      <c r="E880" s="457" t="s">
        <v>953</v>
      </c>
      <c r="F880" s="457"/>
      <c r="G880" s="44">
        <f>G884+G881</f>
        <v>48081.530000000006</v>
      </c>
      <c r="H880" s="44">
        <f t="shared" ref="H880" si="409">H884+H881</f>
        <v>32532.399530000002</v>
      </c>
      <c r="I880" s="455">
        <f t="shared" si="390"/>
        <v>67.660907483601278</v>
      </c>
      <c r="J880" s="478"/>
      <c r="K880" s="463"/>
      <c r="L880" s="201"/>
    </row>
    <row r="881" spans="1:12" s="201" customFormat="1" ht="31.5" x14ac:dyDescent="0.25">
      <c r="A881" s="458" t="s">
        <v>839</v>
      </c>
      <c r="B881" s="452">
        <v>908</v>
      </c>
      <c r="C881" s="454" t="s">
        <v>118</v>
      </c>
      <c r="D881" s="454" t="s">
        <v>140</v>
      </c>
      <c r="E881" s="454" t="s">
        <v>956</v>
      </c>
      <c r="F881" s="454"/>
      <c r="G881" s="459">
        <f>G882</f>
        <v>1072</v>
      </c>
      <c r="H881" s="459">
        <f t="shared" ref="H881:H882" si="410">H882</f>
        <v>481.10363999999998</v>
      </c>
      <c r="I881" s="459">
        <f t="shared" si="390"/>
        <v>44.879070895522389</v>
      </c>
      <c r="J881" s="478"/>
      <c r="K881" s="463"/>
    </row>
    <row r="882" spans="1:12" s="201" customFormat="1" ht="78.75" x14ac:dyDescent="0.25">
      <c r="A882" s="458" t="s">
        <v>127</v>
      </c>
      <c r="B882" s="452">
        <v>908</v>
      </c>
      <c r="C882" s="454" t="s">
        <v>118</v>
      </c>
      <c r="D882" s="454" t="s">
        <v>140</v>
      </c>
      <c r="E882" s="454" t="s">
        <v>956</v>
      </c>
      <c r="F882" s="454" t="s">
        <v>128</v>
      </c>
      <c r="G882" s="459">
        <f>G883</f>
        <v>1072</v>
      </c>
      <c r="H882" s="459">
        <f t="shared" si="410"/>
        <v>481.10363999999998</v>
      </c>
      <c r="I882" s="459">
        <f t="shared" si="390"/>
        <v>44.879070895522389</v>
      </c>
      <c r="J882" s="478"/>
      <c r="K882" s="463"/>
    </row>
    <row r="883" spans="1:12" s="201" customFormat="1" ht="31.5" x14ac:dyDescent="0.25">
      <c r="A883" s="458" t="s">
        <v>129</v>
      </c>
      <c r="B883" s="452">
        <v>908</v>
      </c>
      <c r="C883" s="454" t="s">
        <v>118</v>
      </c>
      <c r="D883" s="454" t="s">
        <v>140</v>
      </c>
      <c r="E883" s="454" t="s">
        <v>956</v>
      </c>
      <c r="F883" s="454" t="s">
        <v>209</v>
      </c>
      <c r="G883" s="459">
        <v>1072</v>
      </c>
      <c r="H883" s="459">
        <v>481.10363999999998</v>
      </c>
      <c r="I883" s="459">
        <f t="shared" si="390"/>
        <v>44.879070895522389</v>
      </c>
      <c r="J883" s="478"/>
      <c r="K883" s="463"/>
    </row>
    <row r="884" spans="1:12" s="201" customFormat="1" ht="15.75" x14ac:dyDescent="0.25">
      <c r="A884" s="458" t="s">
        <v>801</v>
      </c>
      <c r="B884" s="452">
        <v>908</v>
      </c>
      <c r="C884" s="454" t="s">
        <v>118</v>
      </c>
      <c r="D884" s="454" t="s">
        <v>140</v>
      </c>
      <c r="E884" s="454" t="s">
        <v>955</v>
      </c>
      <c r="F884" s="454"/>
      <c r="G884" s="27">
        <f>G885+G887+G889</f>
        <v>47009.530000000006</v>
      </c>
      <c r="H884" s="27">
        <f t="shared" ref="H884" si="411">H885+H887+H889</f>
        <v>32051.295890000001</v>
      </c>
      <c r="I884" s="459">
        <f t="shared" si="390"/>
        <v>68.180421905941188</v>
      </c>
      <c r="J884" s="478"/>
      <c r="K884" s="463"/>
    </row>
    <row r="885" spans="1:12" ht="74.25" customHeight="1" x14ac:dyDescent="0.25">
      <c r="A885" s="458" t="s">
        <v>127</v>
      </c>
      <c r="B885" s="452">
        <v>908</v>
      </c>
      <c r="C885" s="454" t="s">
        <v>118</v>
      </c>
      <c r="D885" s="454" t="s">
        <v>140</v>
      </c>
      <c r="E885" s="454" t="s">
        <v>955</v>
      </c>
      <c r="F885" s="454" t="s">
        <v>128</v>
      </c>
      <c r="G885" s="27">
        <f>G886</f>
        <v>31358.200000000004</v>
      </c>
      <c r="H885" s="27">
        <f t="shared" ref="H885" si="412">H886</f>
        <v>24180.228090000001</v>
      </c>
      <c r="I885" s="459">
        <f t="shared" si="390"/>
        <v>77.109745106543087</v>
      </c>
      <c r="J885" s="478"/>
      <c r="K885" s="463"/>
      <c r="L885" s="201"/>
    </row>
    <row r="886" spans="1:12" ht="15.75" x14ac:dyDescent="0.25">
      <c r="A886" s="46" t="s">
        <v>342</v>
      </c>
      <c r="B886" s="452">
        <v>908</v>
      </c>
      <c r="C886" s="454" t="s">
        <v>118</v>
      </c>
      <c r="D886" s="454" t="s">
        <v>140</v>
      </c>
      <c r="E886" s="454" t="s">
        <v>955</v>
      </c>
      <c r="F886" s="454" t="s">
        <v>209</v>
      </c>
      <c r="G886" s="27">
        <f>32825.8-1300+632.4-800</f>
        <v>31358.200000000004</v>
      </c>
      <c r="H886" s="27">
        <v>24180.228090000001</v>
      </c>
      <c r="I886" s="459">
        <f t="shared" si="390"/>
        <v>77.109745106543087</v>
      </c>
      <c r="J886" s="478"/>
      <c r="K886" s="478">
        <v>44414</v>
      </c>
      <c r="L886" s="201"/>
    </row>
    <row r="887" spans="1:12" ht="31.5" x14ac:dyDescent="0.25">
      <c r="A887" s="458" t="s">
        <v>131</v>
      </c>
      <c r="B887" s="452">
        <v>908</v>
      </c>
      <c r="C887" s="454" t="s">
        <v>118</v>
      </c>
      <c r="D887" s="454" t="s">
        <v>140</v>
      </c>
      <c r="E887" s="454" t="s">
        <v>955</v>
      </c>
      <c r="F887" s="454" t="s">
        <v>132</v>
      </c>
      <c r="G887" s="27">
        <f>G888</f>
        <v>15230.33</v>
      </c>
      <c r="H887" s="27">
        <f t="shared" ref="H887" si="413">H888</f>
        <v>7519.3073599999998</v>
      </c>
      <c r="I887" s="459">
        <f t="shared" si="390"/>
        <v>49.37061350607636</v>
      </c>
      <c r="J887" s="478"/>
      <c r="K887" s="463"/>
      <c r="L887" s="201"/>
    </row>
    <row r="888" spans="1:12" ht="31.5" x14ac:dyDescent="0.25">
      <c r="A888" s="458" t="s">
        <v>133</v>
      </c>
      <c r="B888" s="452">
        <v>908</v>
      </c>
      <c r="C888" s="454" t="s">
        <v>118</v>
      </c>
      <c r="D888" s="454" t="s">
        <v>140</v>
      </c>
      <c r="E888" s="454" t="s">
        <v>955</v>
      </c>
      <c r="F888" s="454" t="s">
        <v>134</v>
      </c>
      <c r="G888" s="27">
        <f>6896.3+67+1526.83+3571.3-600+1300+123-506+142.6+41.5+50+247.8+2370</f>
        <v>15230.33</v>
      </c>
      <c r="H888" s="27">
        <v>7519.3073599999998</v>
      </c>
      <c r="I888" s="459">
        <f t="shared" si="390"/>
        <v>49.37061350607636</v>
      </c>
      <c r="J888" s="486"/>
      <c r="K888" s="463"/>
      <c r="L888" s="483"/>
    </row>
    <row r="889" spans="1:12" ht="15.75" x14ac:dyDescent="0.25">
      <c r="A889" s="458" t="s">
        <v>135</v>
      </c>
      <c r="B889" s="452">
        <v>908</v>
      </c>
      <c r="C889" s="454" t="s">
        <v>118</v>
      </c>
      <c r="D889" s="454" t="s">
        <v>140</v>
      </c>
      <c r="E889" s="454" t="s">
        <v>955</v>
      </c>
      <c r="F889" s="454" t="s">
        <v>145</v>
      </c>
      <c r="G889" s="27">
        <f>G890</f>
        <v>421</v>
      </c>
      <c r="H889" s="27">
        <f t="shared" ref="H889" si="414">H890</f>
        <v>351.76044000000002</v>
      </c>
      <c r="I889" s="459">
        <f t="shared" si="390"/>
        <v>83.553548693586706</v>
      </c>
      <c r="J889" s="486"/>
      <c r="K889" s="463"/>
      <c r="L889" s="440"/>
    </row>
    <row r="890" spans="1:12" ht="15.75" x14ac:dyDescent="0.25">
      <c r="A890" s="458" t="s">
        <v>704</v>
      </c>
      <c r="B890" s="452">
        <v>908</v>
      </c>
      <c r="C890" s="454" t="s">
        <v>118</v>
      </c>
      <c r="D890" s="454" t="s">
        <v>140</v>
      </c>
      <c r="E890" s="454" t="s">
        <v>955</v>
      </c>
      <c r="F890" s="454" t="s">
        <v>138</v>
      </c>
      <c r="G890" s="27">
        <v>421</v>
      </c>
      <c r="H890" s="27">
        <v>351.76044000000002</v>
      </c>
      <c r="I890" s="459">
        <f t="shared" si="390"/>
        <v>83.553548693586706</v>
      </c>
      <c r="J890" s="486"/>
      <c r="K890" s="463"/>
      <c r="L890" s="440"/>
    </row>
    <row r="891" spans="1:12" ht="31.5" x14ac:dyDescent="0.25">
      <c r="A891" s="456" t="s">
        <v>222</v>
      </c>
      <c r="B891" s="453">
        <v>908</v>
      </c>
      <c r="C891" s="457" t="s">
        <v>215</v>
      </c>
      <c r="D891" s="457"/>
      <c r="E891" s="457"/>
      <c r="F891" s="457"/>
      <c r="G891" s="455">
        <f t="shared" ref="G891:H896" si="415">G892</f>
        <v>45.199999999999996</v>
      </c>
      <c r="H891" s="455">
        <f t="shared" si="415"/>
        <v>0</v>
      </c>
      <c r="I891" s="455">
        <f t="shared" si="390"/>
        <v>0</v>
      </c>
      <c r="J891" s="486"/>
      <c r="K891" s="463"/>
      <c r="L891" s="441"/>
    </row>
    <row r="892" spans="1:12" ht="47.85" customHeight="1" x14ac:dyDescent="0.25">
      <c r="A892" s="456" t="s">
        <v>1348</v>
      </c>
      <c r="B892" s="453">
        <v>908</v>
      </c>
      <c r="C892" s="457" t="s">
        <v>215</v>
      </c>
      <c r="D892" s="457" t="s">
        <v>244</v>
      </c>
      <c r="E892" s="457"/>
      <c r="F892" s="457"/>
      <c r="G892" s="455">
        <f t="shared" si="415"/>
        <v>45.199999999999996</v>
      </c>
      <c r="H892" s="455">
        <f t="shared" si="415"/>
        <v>0</v>
      </c>
      <c r="I892" s="455">
        <f t="shared" si="390"/>
        <v>0</v>
      </c>
      <c r="J892" s="478"/>
      <c r="K892" s="463"/>
      <c r="L892" s="201"/>
    </row>
    <row r="893" spans="1:12" ht="21.75" customHeight="1" x14ac:dyDescent="0.25">
      <c r="A893" s="456" t="s">
        <v>141</v>
      </c>
      <c r="B893" s="453">
        <v>908</v>
      </c>
      <c r="C893" s="457" t="s">
        <v>215</v>
      </c>
      <c r="D893" s="457" t="s">
        <v>244</v>
      </c>
      <c r="E893" s="457" t="s">
        <v>866</v>
      </c>
      <c r="F893" s="457"/>
      <c r="G893" s="455">
        <f t="shared" si="415"/>
        <v>45.199999999999996</v>
      </c>
      <c r="H893" s="455">
        <f t="shared" si="415"/>
        <v>0</v>
      </c>
      <c r="I893" s="455">
        <f t="shared" si="390"/>
        <v>0</v>
      </c>
      <c r="J893" s="478"/>
      <c r="K893" s="463"/>
      <c r="L893" s="201"/>
    </row>
    <row r="894" spans="1:12" ht="31.5" x14ac:dyDescent="0.25">
      <c r="A894" s="456" t="s">
        <v>870</v>
      </c>
      <c r="B894" s="453">
        <v>908</v>
      </c>
      <c r="C894" s="457" t="s">
        <v>215</v>
      </c>
      <c r="D894" s="457" t="s">
        <v>244</v>
      </c>
      <c r="E894" s="457" t="s">
        <v>865</v>
      </c>
      <c r="F894" s="457"/>
      <c r="G894" s="455">
        <f t="shared" si="415"/>
        <v>45.199999999999996</v>
      </c>
      <c r="H894" s="455">
        <f t="shared" si="415"/>
        <v>0</v>
      </c>
      <c r="I894" s="455">
        <f t="shared" si="390"/>
        <v>0</v>
      </c>
      <c r="J894" s="478"/>
      <c r="K894" s="463"/>
      <c r="L894" s="201"/>
    </row>
    <row r="895" spans="1:12" ht="15.75" x14ac:dyDescent="0.25">
      <c r="A895" s="458" t="s">
        <v>230</v>
      </c>
      <c r="B895" s="452">
        <v>908</v>
      </c>
      <c r="C895" s="454" t="s">
        <v>215</v>
      </c>
      <c r="D895" s="454" t="s">
        <v>244</v>
      </c>
      <c r="E895" s="454" t="s">
        <v>876</v>
      </c>
      <c r="F895" s="454"/>
      <c r="G895" s="459">
        <f t="shared" si="415"/>
        <v>45.199999999999996</v>
      </c>
      <c r="H895" s="459">
        <f t="shared" si="415"/>
        <v>0</v>
      </c>
      <c r="I895" s="459">
        <f t="shared" si="390"/>
        <v>0</v>
      </c>
      <c r="J895" s="478"/>
      <c r="K895" s="463"/>
      <c r="L895" s="201"/>
    </row>
    <row r="896" spans="1:12" ht="31.5" x14ac:dyDescent="0.25">
      <c r="A896" s="458" t="s">
        <v>131</v>
      </c>
      <c r="B896" s="452">
        <v>908</v>
      </c>
      <c r="C896" s="454" t="s">
        <v>215</v>
      </c>
      <c r="D896" s="454" t="s">
        <v>244</v>
      </c>
      <c r="E896" s="454" t="s">
        <v>876</v>
      </c>
      <c r="F896" s="454" t="s">
        <v>132</v>
      </c>
      <c r="G896" s="459">
        <f t="shared" si="415"/>
        <v>45.199999999999996</v>
      </c>
      <c r="H896" s="459">
        <f t="shared" si="415"/>
        <v>0</v>
      </c>
      <c r="I896" s="459">
        <f t="shared" si="390"/>
        <v>0</v>
      </c>
      <c r="J896" s="478"/>
      <c r="K896" s="463"/>
      <c r="L896" s="201"/>
    </row>
    <row r="897" spans="1:12" ht="31.5" x14ac:dyDescent="0.25">
      <c r="A897" s="458" t="s">
        <v>133</v>
      </c>
      <c r="B897" s="452">
        <v>908</v>
      </c>
      <c r="C897" s="454" t="s">
        <v>215</v>
      </c>
      <c r="D897" s="454" t="s">
        <v>244</v>
      </c>
      <c r="E897" s="454" t="s">
        <v>876</v>
      </c>
      <c r="F897" s="454" t="s">
        <v>134</v>
      </c>
      <c r="G897" s="459">
        <f>107-31.7-30.1</f>
        <v>45.199999999999996</v>
      </c>
      <c r="H897" s="459">
        <v>0</v>
      </c>
      <c r="I897" s="459">
        <f t="shared" si="390"/>
        <v>0</v>
      </c>
      <c r="J897" s="478"/>
      <c r="K897" s="463"/>
      <c r="L897" s="201"/>
    </row>
    <row r="898" spans="1:12" ht="15.75" x14ac:dyDescent="0.25">
      <c r="A898" s="456" t="s">
        <v>232</v>
      </c>
      <c r="B898" s="453">
        <v>908</v>
      </c>
      <c r="C898" s="457" t="s">
        <v>150</v>
      </c>
      <c r="D898" s="457"/>
      <c r="E898" s="457"/>
      <c r="F898" s="457"/>
      <c r="G898" s="455">
        <f>G899+G905</f>
        <v>7526.8</v>
      </c>
      <c r="H898" s="455">
        <f t="shared" ref="H898" si="416">H899+H905</f>
        <v>5274.190700000001</v>
      </c>
      <c r="I898" s="455">
        <f t="shared" si="390"/>
        <v>70.072151511930713</v>
      </c>
      <c r="J898" s="478"/>
      <c r="K898" s="463"/>
      <c r="L898" s="201"/>
    </row>
    <row r="899" spans="1:12" ht="15.75" x14ac:dyDescent="0.25">
      <c r="A899" s="456" t="s">
        <v>505</v>
      </c>
      <c r="B899" s="453">
        <v>908</v>
      </c>
      <c r="C899" s="457" t="s">
        <v>150</v>
      </c>
      <c r="D899" s="457" t="s">
        <v>299</v>
      </c>
      <c r="E899" s="457"/>
      <c r="F899" s="457"/>
      <c r="G899" s="455">
        <f>G900</f>
        <v>3258</v>
      </c>
      <c r="H899" s="455">
        <f t="shared" ref="H899:H903" si="417">H900</f>
        <v>2164.9362500000002</v>
      </c>
      <c r="I899" s="455">
        <f t="shared" si="390"/>
        <v>66.449854205033759</v>
      </c>
      <c r="J899" s="478"/>
      <c r="K899" s="463"/>
      <c r="L899" s="201"/>
    </row>
    <row r="900" spans="1:12" ht="15.75" x14ac:dyDescent="0.25">
      <c r="A900" s="456" t="s">
        <v>141</v>
      </c>
      <c r="B900" s="453">
        <v>908</v>
      </c>
      <c r="C900" s="457" t="s">
        <v>150</v>
      </c>
      <c r="D900" s="457" t="s">
        <v>299</v>
      </c>
      <c r="E900" s="457" t="s">
        <v>866</v>
      </c>
      <c r="F900" s="457"/>
      <c r="G900" s="455">
        <f>G901</f>
        <v>3258</v>
      </c>
      <c r="H900" s="455">
        <f t="shared" si="417"/>
        <v>2164.9362500000002</v>
      </c>
      <c r="I900" s="455">
        <f t="shared" si="390"/>
        <v>66.449854205033759</v>
      </c>
      <c r="J900" s="478"/>
      <c r="K900" s="463"/>
      <c r="L900" s="201"/>
    </row>
    <row r="901" spans="1:12" ht="31.5" x14ac:dyDescent="0.25">
      <c r="A901" s="456" t="s">
        <v>870</v>
      </c>
      <c r="B901" s="453">
        <v>908</v>
      </c>
      <c r="C901" s="457" t="s">
        <v>150</v>
      </c>
      <c r="D901" s="457" t="s">
        <v>299</v>
      </c>
      <c r="E901" s="457" t="s">
        <v>865</v>
      </c>
      <c r="F901" s="457"/>
      <c r="G901" s="455">
        <f>G902</f>
        <v>3258</v>
      </c>
      <c r="H901" s="455">
        <f t="shared" si="417"/>
        <v>2164.9362500000002</v>
      </c>
      <c r="I901" s="455">
        <f t="shared" si="390"/>
        <v>66.449854205033759</v>
      </c>
      <c r="J901" s="478"/>
      <c r="K901" s="463"/>
      <c r="L901" s="201"/>
    </row>
    <row r="902" spans="1:12" ht="18" customHeight="1" x14ac:dyDescent="0.25">
      <c r="A902" s="458" t="s">
        <v>506</v>
      </c>
      <c r="B902" s="452">
        <v>908</v>
      </c>
      <c r="C902" s="454" t="s">
        <v>150</v>
      </c>
      <c r="D902" s="454" t="s">
        <v>299</v>
      </c>
      <c r="E902" s="454" t="s">
        <v>957</v>
      </c>
      <c r="F902" s="454"/>
      <c r="G902" s="459">
        <f>G903</f>
        <v>3258</v>
      </c>
      <c r="H902" s="459">
        <f t="shared" si="417"/>
        <v>2164.9362500000002</v>
      </c>
      <c r="I902" s="459">
        <f t="shared" si="390"/>
        <v>66.449854205033759</v>
      </c>
      <c r="J902" s="478"/>
      <c r="K902" s="463"/>
      <c r="L902" s="201"/>
    </row>
    <row r="903" spans="1:12" ht="31.5" x14ac:dyDescent="0.25">
      <c r="A903" s="458" t="s">
        <v>131</v>
      </c>
      <c r="B903" s="452">
        <v>908</v>
      </c>
      <c r="C903" s="454" t="s">
        <v>150</v>
      </c>
      <c r="D903" s="454" t="s">
        <v>299</v>
      </c>
      <c r="E903" s="454" t="s">
        <v>957</v>
      </c>
      <c r="F903" s="454" t="s">
        <v>132</v>
      </c>
      <c r="G903" s="459">
        <f>G904</f>
        <v>3258</v>
      </c>
      <c r="H903" s="459">
        <f t="shared" si="417"/>
        <v>2164.9362500000002</v>
      </c>
      <c r="I903" s="459">
        <f t="shared" si="390"/>
        <v>66.449854205033759</v>
      </c>
      <c r="J903" s="478"/>
      <c r="K903" s="463"/>
      <c r="L903" s="201"/>
    </row>
    <row r="904" spans="1:12" ht="31.5" x14ac:dyDescent="0.25">
      <c r="A904" s="458" t="s">
        <v>133</v>
      </c>
      <c r="B904" s="452">
        <v>908</v>
      </c>
      <c r="C904" s="454" t="s">
        <v>150</v>
      </c>
      <c r="D904" s="454" t="s">
        <v>299</v>
      </c>
      <c r="E904" s="454" t="s">
        <v>957</v>
      </c>
      <c r="F904" s="454" t="s">
        <v>134</v>
      </c>
      <c r="G904" s="459">
        <v>3258</v>
      </c>
      <c r="H904" s="459">
        <v>2164.9362500000002</v>
      </c>
      <c r="I904" s="459">
        <f t="shared" si="390"/>
        <v>66.449854205033759</v>
      </c>
      <c r="J904" s="478"/>
      <c r="K904" s="463"/>
      <c r="L904" s="201"/>
    </row>
    <row r="905" spans="1:12" ht="15.75" x14ac:dyDescent="0.25">
      <c r="A905" s="456" t="s">
        <v>508</v>
      </c>
      <c r="B905" s="453">
        <v>908</v>
      </c>
      <c r="C905" s="457" t="s">
        <v>150</v>
      </c>
      <c r="D905" s="457" t="s">
        <v>219</v>
      </c>
      <c r="E905" s="454"/>
      <c r="F905" s="457"/>
      <c r="G905" s="455">
        <f>G906</f>
        <v>4268.8</v>
      </c>
      <c r="H905" s="455">
        <f t="shared" ref="H905" si="418">H906</f>
        <v>3109.2544500000004</v>
      </c>
      <c r="I905" s="455">
        <f t="shared" si="390"/>
        <v>72.836732805472266</v>
      </c>
      <c r="J905" s="478"/>
      <c r="K905" s="463"/>
      <c r="L905" s="201"/>
    </row>
    <row r="906" spans="1:12" ht="36.75" customHeight="1" x14ac:dyDescent="0.25">
      <c r="A906" s="34" t="s">
        <v>1364</v>
      </c>
      <c r="B906" s="453">
        <v>908</v>
      </c>
      <c r="C906" s="457" t="s">
        <v>150</v>
      </c>
      <c r="D906" s="457" t="s">
        <v>219</v>
      </c>
      <c r="E906" s="457" t="s">
        <v>510</v>
      </c>
      <c r="F906" s="457"/>
      <c r="G906" s="455">
        <f>G912+G907</f>
        <v>4268.8</v>
      </c>
      <c r="H906" s="455">
        <f t="shared" ref="H906" si="419">H912+H907</f>
        <v>3109.2544500000004</v>
      </c>
      <c r="I906" s="455">
        <f t="shared" si="390"/>
        <v>72.836732805472266</v>
      </c>
      <c r="J906" s="478"/>
      <c r="K906" s="463"/>
      <c r="L906" s="201"/>
    </row>
    <row r="907" spans="1:12" s="201" customFormat="1" ht="31.5" hidden="1" x14ac:dyDescent="0.25">
      <c r="A907" s="34" t="s">
        <v>999</v>
      </c>
      <c r="B907" s="453">
        <v>908</v>
      </c>
      <c r="C907" s="457" t="s">
        <v>150</v>
      </c>
      <c r="D907" s="457" t="s">
        <v>219</v>
      </c>
      <c r="E907" s="7" t="s">
        <v>958</v>
      </c>
      <c r="F907" s="457"/>
      <c r="G907" s="455">
        <f>G908</f>
        <v>0</v>
      </c>
      <c r="H907" s="455">
        <f t="shared" ref="H907:H909" si="420">H908</f>
        <v>0</v>
      </c>
      <c r="I907" s="455" t="e">
        <f t="shared" si="390"/>
        <v>#DIV/0!</v>
      </c>
      <c r="J907" s="478"/>
      <c r="K907" s="463"/>
    </row>
    <row r="908" spans="1:12" s="201" customFormat="1" ht="15.75" hidden="1" x14ac:dyDescent="0.25">
      <c r="A908" s="29" t="s">
        <v>1001</v>
      </c>
      <c r="B908" s="452">
        <v>908</v>
      </c>
      <c r="C908" s="454" t="s">
        <v>150</v>
      </c>
      <c r="D908" s="454" t="s">
        <v>219</v>
      </c>
      <c r="E908" s="461" t="s">
        <v>1000</v>
      </c>
      <c r="F908" s="454"/>
      <c r="G908" s="459">
        <f>G909</f>
        <v>0</v>
      </c>
      <c r="H908" s="459">
        <f t="shared" si="420"/>
        <v>0</v>
      </c>
      <c r="I908" s="455" t="e">
        <f t="shared" ref="I908:I971" si="421">H908/G908*100</f>
        <v>#DIV/0!</v>
      </c>
      <c r="J908" s="478"/>
      <c r="K908" s="463"/>
    </row>
    <row r="909" spans="1:12" s="201" customFormat="1" ht="31.5" hidden="1" x14ac:dyDescent="0.25">
      <c r="A909" s="458" t="s">
        <v>131</v>
      </c>
      <c r="B909" s="452">
        <v>908</v>
      </c>
      <c r="C909" s="454" t="s">
        <v>150</v>
      </c>
      <c r="D909" s="454" t="s">
        <v>219</v>
      </c>
      <c r="E909" s="461" t="s">
        <v>1000</v>
      </c>
      <c r="F909" s="454" t="s">
        <v>132</v>
      </c>
      <c r="G909" s="459">
        <f>G910</f>
        <v>0</v>
      </c>
      <c r="H909" s="459">
        <f t="shared" si="420"/>
        <v>0</v>
      </c>
      <c r="I909" s="455" t="e">
        <f t="shared" si="421"/>
        <v>#DIV/0!</v>
      </c>
      <c r="J909" s="478"/>
      <c r="K909" s="463"/>
    </row>
    <row r="910" spans="1:12" s="201" customFormat="1" ht="31.5" hidden="1" x14ac:dyDescent="0.25">
      <c r="A910" s="458" t="s">
        <v>133</v>
      </c>
      <c r="B910" s="452">
        <v>908</v>
      </c>
      <c r="C910" s="454" t="s">
        <v>150</v>
      </c>
      <c r="D910" s="454" t="s">
        <v>219</v>
      </c>
      <c r="E910" s="461" t="s">
        <v>1000</v>
      </c>
      <c r="F910" s="454" t="s">
        <v>134</v>
      </c>
      <c r="G910" s="459">
        <v>0</v>
      </c>
      <c r="H910" s="459">
        <v>0</v>
      </c>
      <c r="I910" s="455" t="e">
        <f t="shared" si="421"/>
        <v>#DIV/0!</v>
      </c>
      <c r="J910" s="478"/>
      <c r="K910" s="463"/>
    </row>
    <row r="911" spans="1:12" s="201" customFormat="1" ht="31.5" x14ac:dyDescent="0.25">
      <c r="A911" s="34" t="s">
        <v>1061</v>
      </c>
      <c r="B911" s="453">
        <v>908</v>
      </c>
      <c r="C911" s="457" t="s">
        <v>150</v>
      </c>
      <c r="D911" s="457" t="s">
        <v>219</v>
      </c>
      <c r="E911" s="457" t="s">
        <v>959</v>
      </c>
      <c r="F911" s="457"/>
      <c r="G911" s="455">
        <f>G912</f>
        <v>4268.8</v>
      </c>
      <c r="H911" s="455">
        <f t="shared" ref="H911" si="422">H912</f>
        <v>3109.2544500000004</v>
      </c>
      <c r="I911" s="455">
        <f t="shared" si="421"/>
        <v>72.836732805472266</v>
      </c>
      <c r="J911" s="478"/>
      <c r="K911" s="463"/>
    </row>
    <row r="912" spans="1:12" ht="15.75" x14ac:dyDescent="0.25">
      <c r="A912" s="29" t="s">
        <v>511</v>
      </c>
      <c r="B912" s="452">
        <v>908</v>
      </c>
      <c r="C912" s="454" t="s">
        <v>150</v>
      </c>
      <c r="D912" s="454" t="s">
        <v>219</v>
      </c>
      <c r="E912" s="461" t="s">
        <v>1002</v>
      </c>
      <c r="F912" s="454"/>
      <c r="G912" s="459">
        <f>G915+G917+G913</f>
        <v>4268.8</v>
      </c>
      <c r="H912" s="459">
        <f t="shared" ref="H912" si="423">H915+H917+H913</f>
        <v>3109.2544500000004</v>
      </c>
      <c r="I912" s="459">
        <f t="shared" si="421"/>
        <v>72.836732805472266</v>
      </c>
      <c r="J912" s="478"/>
      <c r="K912" s="463"/>
      <c r="L912" s="201"/>
    </row>
    <row r="913" spans="1:12" s="201" customFormat="1" ht="78.75" x14ac:dyDescent="0.25">
      <c r="A913" s="458" t="s">
        <v>127</v>
      </c>
      <c r="B913" s="452">
        <v>908</v>
      </c>
      <c r="C913" s="454" t="s">
        <v>150</v>
      </c>
      <c r="D913" s="454" t="s">
        <v>219</v>
      </c>
      <c r="E913" s="461" t="s">
        <v>1002</v>
      </c>
      <c r="F913" s="454" t="s">
        <v>128</v>
      </c>
      <c r="G913" s="459">
        <f>G914</f>
        <v>1807</v>
      </c>
      <c r="H913" s="459">
        <f t="shared" ref="H913" si="424">H914</f>
        <v>1631.75287</v>
      </c>
      <c r="I913" s="459">
        <f t="shared" si="421"/>
        <v>90.301763696734923</v>
      </c>
      <c r="J913" s="478"/>
      <c r="K913" s="463"/>
    </row>
    <row r="914" spans="1:12" s="201" customFormat="1" ht="15.75" x14ac:dyDescent="0.25">
      <c r="A914" s="458" t="s">
        <v>342</v>
      </c>
      <c r="B914" s="452">
        <v>908</v>
      </c>
      <c r="C914" s="454" t="s">
        <v>150</v>
      </c>
      <c r="D914" s="454" t="s">
        <v>219</v>
      </c>
      <c r="E914" s="461" t="s">
        <v>1002</v>
      </c>
      <c r="F914" s="454" t="s">
        <v>209</v>
      </c>
      <c r="G914" s="459">
        <v>1807</v>
      </c>
      <c r="H914" s="459">
        <v>1631.75287</v>
      </c>
      <c r="I914" s="459">
        <f t="shared" si="421"/>
        <v>90.301763696734923</v>
      </c>
      <c r="J914" s="478"/>
      <c r="K914" s="463"/>
    </row>
    <row r="915" spans="1:12" ht="31.5" x14ac:dyDescent="0.25">
      <c r="A915" s="458" t="s">
        <v>131</v>
      </c>
      <c r="B915" s="452">
        <v>908</v>
      </c>
      <c r="C915" s="454" t="s">
        <v>150</v>
      </c>
      <c r="D915" s="454" t="s">
        <v>219</v>
      </c>
      <c r="E915" s="461" t="s">
        <v>1002</v>
      </c>
      <c r="F915" s="454" t="s">
        <v>132</v>
      </c>
      <c r="G915" s="459">
        <f>G916</f>
        <v>2461.8000000000002</v>
      </c>
      <c r="H915" s="459">
        <f t="shared" ref="H915" si="425">H916</f>
        <v>1477.5015800000001</v>
      </c>
      <c r="I915" s="459">
        <f t="shared" si="421"/>
        <v>60.017124867982773</v>
      </c>
      <c r="J915" s="478"/>
      <c r="K915" s="463"/>
      <c r="L915" s="201"/>
    </row>
    <row r="916" spans="1:12" ht="31.5" x14ac:dyDescent="0.25">
      <c r="A916" s="458" t="s">
        <v>133</v>
      </c>
      <c r="B916" s="452">
        <v>908</v>
      </c>
      <c r="C916" s="454" t="s">
        <v>150</v>
      </c>
      <c r="D916" s="454" t="s">
        <v>219</v>
      </c>
      <c r="E916" s="461" t="s">
        <v>1002</v>
      </c>
      <c r="F916" s="454" t="s">
        <v>134</v>
      </c>
      <c r="G916" s="459">
        <f>3600+-G914-410.6-205.4-665+600+200+70+653.9+653.9+16-431.1+187.1</f>
        <v>2461.8000000000002</v>
      </c>
      <c r="H916" s="459">
        <v>1477.5015800000001</v>
      </c>
      <c r="I916" s="459">
        <f t="shared" si="421"/>
        <v>60.017124867982773</v>
      </c>
      <c r="J916" s="478"/>
      <c r="K916" s="463"/>
      <c r="L916" s="201"/>
    </row>
    <row r="917" spans="1:12" ht="15.75" hidden="1" x14ac:dyDescent="0.25">
      <c r="A917" s="458" t="s">
        <v>135</v>
      </c>
      <c r="B917" s="452">
        <v>908</v>
      </c>
      <c r="C917" s="454" t="s">
        <v>150</v>
      </c>
      <c r="D917" s="454" t="s">
        <v>219</v>
      </c>
      <c r="E917" s="461" t="s">
        <v>1002</v>
      </c>
      <c r="F917" s="454" t="s">
        <v>145</v>
      </c>
      <c r="G917" s="459">
        <f>G918</f>
        <v>0</v>
      </c>
      <c r="H917" s="459">
        <f t="shared" ref="H917" si="426">H918</f>
        <v>0</v>
      </c>
      <c r="I917" s="455" t="e">
        <f t="shared" si="421"/>
        <v>#DIV/0!</v>
      </c>
      <c r="J917" s="478"/>
      <c r="K917" s="463"/>
      <c r="L917" s="201"/>
    </row>
    <row r="918" spans="1:12" ht="15.75" hidden="1" x14ac:dyDescent="0.25">
      <c r="A918" s="458" t="s">
        <v>568</v>
      </c>
      <c r="B918" s="452">
        <v>908</v>
      </c>
      <c r="C918" s="454" t="s">
        <v>150</v>
      </c>
      <c r="D918" s="454" t="s">
        <v>219</v>
      </c>
      <c r="E918" s="461" t="s">
        <v>1002</v>
      </c>
      <c r="F918" s="454" t="s">
        <v>138</v>
      </c>
      <c r="G918" s="459">
        <v>0</v>
      </c>
      <c r="H918" s="459">
        <v>0</v>
      </c>
      <c r="I918" s="455" t="e">
        <f t="shared" si="421"/>
        <v>#DIV/0!</v>
      </c>
      <c r="J918" s="478"/>
      <c r="K918" s="463"/>
      <c r="L918" s="201"/>
    </row>
    <row r="919" spans="1:12" ht="15.75" x14ac:dyDescent="0.25">
      <c r="A919" s="456" t="s">
        <v>390</v>
      </c>
      <c r="B919" s="453">
        <v>908</v>
      </c>
      <c r="C919" s="457" t="s">
        <v>234</v>
      </c>
      <c r="D919" s="457"/>
      <c r="E919" s="457"/>
      <c r="F919" s="457"/>
      <c r="G919" s="455">
        <f>G920+G937+G1002+G1064</f>
        <v>192207.42</v>
      </c>
      <c r="H919" s="455">
        <f t="shared" ref="H919" si="427">H920+H937+H1002+H1064</f>
        <v>96562.135719999991</v>
      </c>
      <c r="I919" s="455">
        <f t="shared" si="421"/>
        <v>50.238505735106365</v>
      </c>
      <c r="J919" s="478"/>
      <c r="K919" s="463"/>
      <c r="L919" s="201"/>
    </row>
    <row r="920" spans="1:12" ht="15.75" x14ac:dyDescent="0.25">
      <c r="A920" s="456" t="s">
        <v>391</v>
      </c>
      <c r="B920" s="453">
        <v>908</v>
      </c>
      <c r="C920" s="457" t="s">
        <v>234</v>
      </c>
      <c r="D920" s="457" t="s">
        <v>118</v>
      </c>
      <c r="E920" s="457"/>
      <c r="F920" s="457"/>
      <c r="G920" s="455">
        <f>G921</f>
        <v>23637.9</v>
      </c>
      <c r="H920" s="455">
        <f t="shared" ref="H920:H921" si="428">H921</f>
        <v>10578.932580000001</v>
      </c>
      <c r="I920" s="455">
        <f t="shared" si="421"/>
        <v>44.754113436472778</v>
      </c>
      <c r="J920" s="478"/>
      <c r="K920" s="463"/>
      <c r="L920" s="201"/>
    </row>
    <row r="921" spans="1:12" ht="15.75" x14ac:dyDescent="0.25">
      <c r="A921" s="456" t="s">
        <v>141</v>
      </c>
      <c r="B921" s="453">
        <v>908</v>
      </c>
      <c r="C921" s="457" t="s">
        <v>234</v>
      </c>
      <c r="D921" s="457" t="s">
        <v>118</v>
      </c>
      <c r="E921" s="457" t="s">
        <v>866</v>
      </c>
      <c r="F921" s="457"/>
      <c r="G921" s="455">
        <f>G922</f>
        <v>23637.9</v>
      </c>
      <c r="H921" s="455">
        <f t="shared" si="428"/>
        <v>10578.932580000001</v>
      </c>
      <c r="I921" s="455">
        <f t="shared" si="421"/>
        <v>44.754113436472778</v>
      </c>
      <c r="J921" s="478"/>
      <c r="K921" s="463"/>
      <c r="L921" s="201"/>
    </row>
    <row r="922" spans="1:12" ht="31.5" x14ac:dyDescent="0.25">
      <c r="A922" s="456" t="s">
        <v>870</v>
      </c>
      <c r="B922" s="453">
        <v>908</v>
      </c>
      <c r="C922" s="457" t="s">
        <v>234</v>
      </c>
      <c r="D922" s="457" t="s">
        <v>118</v>
      </c>
      <c r="E922" s="457" t="s">
        <v>865</v>
      </c>
      <c r="F922" s="457"/>
      <c r="G922" s="455">
        <f>G931+G928+G923+G934</f>
        <v>23637.9</v>
      </c>
      <c r="H922" s="455">
        <f t="shared" ref="H922" si="429">H931+H928+H923+H934</f>
        <v>10578.932580000001</v>
      </c>
      <c r="I922" s="455">
        <f t="shared" si="421"/>
        <v>44.754113436472778</v>
      </c>
      <c r="J922" s="478"/>
      <c r="K922" s="463"/>
      <c r="L922" s="201"/>
    </row>
    <row r="923" spans="1:12" ht="15.75" x14ac:dyDescent="0.25">
      <c r="A923" s="458" t="s">
        <v>515</v>
      </c>
      <c r="B923" s="452">
        <v>908</v>
      </c>
      <c r="C923" s="454" t="s">
        <v>774</v>
      </c>
      <c r="D923" s="454" t="s">
        <v>118</v>
      </c>
      <c r="E923" s="454" t="s">
        <v>960</v>
      </c>
      <c r="F923" s="457"/>
      <c r="G923" s="459">
        <f>G926+G924</f>
        <v>997.40000000000009</v>
      </c>
      <c r="H923" s="459">
        <f t="shared" ref="H923" si="430">H926+H924</f>
        <v>637.20000000000005</v>
      </c>
      <c r="I923" s="459">
        <f t="shared" si="421"/>
        <v>63.886103870062158</v>
      </c>
      <c r="J923" s="478"/>
      <c r="K923" s="463"/>
      <c r="L923" s="201"/>
    </row>
    <row r="924" spans="1:12" s="201" customFormat="1" ht="31.5" x14ac:dyDescent="0.25">
      <c r="A924" s="458" t="s">
        <v>131</v>
      </c>
      <c r="B924" s="452">
        <v>908</v>
      </c>
      <c r="C924" s="454" t="s">
        <v>234</v>
      </c>
      <c r="D924" s="454" t="s">
        <v>118</v>
      </c>
      <c r="E924" s="454" t="s">
        <v>960</v>
      </c>
      <c r="F924" s="454" t="s">
        <v>132</v>
      </c>
      <c r="G924" s="459">
        <f>G925</f>
        <v>997.40000000000009</v>
      </c>
      <c r="H924" s="459">
        <f t="shared" ref="H924" si="431">H925</f>
        <v>637.20000000000005</v>
      </c>
      <c r="I924" s="459">
        <f t="shared" si="421"/>
        <v>63.886103870062158</v>
      </c>
      <c r="J924" s="478"/>
      <c r="K924" s="463"/>
    </row>
    <row r="925" spans="1:12" s="201" customFormat="1" ht="31.5" x14ac:dyDescent="0.25">
      <c r="A925" s="458" t="s">
        <v>133</v>
      </c>
      <c r="B925" s="452">
        <v>908</v>
      </c>
      <c r="C925" s="454" t="s">
        <v>234</v>
      </c>
      <c r="D925" s="454" t="s">
        <v>118</v>
      </c>
      <c r="E925" s="454" t="s">
        <v>960</v>
      </c>
      <c r="F925" s="454" t="s">
        <v>134</v>
      </c>
      <c r="G925" s="459">
        <f>75+30+75+264+196.2+357.2</f>
        <v>997.40000000000009</v>
      </c>
      <c r="H925" s="459">
        <v>637.20000000000005</v>
      </c>
      <c r="I925" s="459">
        <f t="shared" si="421"/>
        <v>63.886103870062158</v>
      </c>
      <c r="J925" s="478"/>
      <c r="K925" s="463"/>
    </row>
    <row r="926" spans="1:12" ht="15.75" hidden="1" x14ac:dyDescent="0.25">
      <c r="A926" s="458" t="s">
        <v>135</v>
      </c>
      <c r="B926" s="452">
        <v>908</v>
      </c>
      <c r="C926" s="454" t="s">
        <v>234</v>
      </c>
      <c r="D926" s="454" t="s">
        <v>118</v>
      </c>
      <c r="E926" s="454" t="s">
        <v>960</v>
      </c>
      <c r="F926" s="454" t="s">
        <v>145</v>
      </c>
      <c r="G926" s="459">
        <f>G927</f>
        <v>0</v>
      </c>
      <c r="H926" s="459">
        <f t="shared" ref="H926" si="432">H927</f>
        <v>0</v>
      </c>
      <c r="I926" s="459" t="e">
        <f t="shared" si="421"/>
        <v>#DIV/0!</v>
      </c>
      <c r="J926" s="478"/>
      <c r="K926" s="463"/>
      <c r="L926" s="201"/>
    </row>
    <row r="927" spans="1:12" ht="48.75" hidden="1" customHeight="1" x14ac:dyDescent="0.25">
      <c r="A927" s="458" t="s">
        <v>184</v>
      </c>
      <c r="B927" s="452">
        <v>908</v>
      </c>
      <c r="C927" s="454" t="s">
        <v>234</v>
      </c>
      <c r="D927" s="454" t="s">
        <v>118</v>
      </c>
      <c r="E927" s="454" t="s">
        <v>960</v>
      </c>
      <c r="F927" s="454" t="s">
        <v>160</v>
      </c>
      <c r="G927" s="459"/>
      <c r="H927" s="459"/>
      <c r="I927" s="459" t="e">
        <f t="shared" si="421"/>
        <v>#DIV/0!</v>
      </c>
      <c r="J927" s="478"/>
      <c r="K927" s="463"/>
      <c r="L927" s="201"/>
    </row>
    <row r="928" spans="1:12" ht="31.5" x14ac:dyDescent="0.25">
      <c r="A928" s="29" t="s">
        <v>398</v>
      </c>
      <c r="B928" s="452">
        <v>908</v>
      </c>
      <c r="C928" s="454" t="s">
        <v>234</v>
      </c>
      <c r="D928" s="454" t="s">
        <v>118</v>
      </c>
      <c r="E928" s="454" t="s">
        <v>961</v>
      </c>
      <c r="F928" s="457"/>
      <c r="G928" s="459">
        <f>G929</f>
        <v>4650</v>
      </c>
      <c r="H928" s="459">
        <f t="shared" ref="H928:H929" si="433">H929</f>
        <v>2854.2416199999998</v>
      </c>
      <c r="I928" s="459">
        <f t="shared" si="421"/>
        <v>61.381540215053754</v>
      </c>
      <c r="J928" s="478"/>
      <c r="K928" s="463"/>
      <c r="L928" s="201"/>
    </row>
    <row r="929" spans="1:12" ht="31.5" x14ac:dyDescent="0.25">
      <c r="A929" s="458" t="s">
        <v>131</v>
      </c>
      <c r="B929" s="452">
        <v>908</v>
      </c>
      <c r="C929" s="454" t="s">
        <v>234</v>
      </c>
      <c r="D929" s="454" t="s">
        <v>118</v>
      </c>
      <c r="E929" s="454" t="s">
        <v>961</v>
      </c>
      <c r="F929" s="454" t="s">
        <v>132</v>
      </c>
      <c r="G929" s="459">
        <f>G930</f>
        <v>4650</v>
      </c>
      <c r="H929" s="459">
        <f t="shared" si="433"/>
        <v>2854.2416199999998</v>
      </c>
      <c r="I929" s="459">
        <f t="shared" si="421"/>
        <v>61.381540215053754</v>
      </c>
      <c r="J929" s="478"/>
      <c r="K929" s="463"/>
      <c r="L929" s="201"/>
    </row>
    <row r="930" spans="1:12" ht="33" customHeight="1" x14ac:dyDescent="0.25">
      <c r="A930" s="458" t="s">
        <v>133</v>
      </c>
      <c r="B930" s="452">
        <v>908</v>
      </c>
      <c r="C930" s="454" t="s">
        <v>234</v>
      </c>
      <c r="D930" s="454" t="s">
        <v>118</v>
      </c>
      <c r="E930" s="454" t="s">
        <v>961</v>
      </c>
      <c r="F930" s="454" t="s">
        <v>134</v>
      </c>
      <c r="G930" s="27">
        <v>4650</v>
      </c>
      <c r="H930" s="27">
        <v>2854.2416199999998</v>
      </c>
      <c r="I930" s="459">
        <f t="shared" si="421"/>
        <v>61.381540215053754</v>
      </c>
      <c r="J930" s="478"/>
      <c r="K930" s="463"/>
      <c r="L930" s="201"/>
    </row>
    <row r="931" spans="1:12" ht="31.5" x14ac:dyDescent="0.25">
      <c r="A931" s="29" t="s">
        <v>932</v>
      </c>
      <c r="B931" s="452">
        <v>908</v>
      </c>
      <c r="C931" s="454" t="s">
        <v>234</v>
      </c>
      <c r="D931" s="454" t="s">
        <v>118</v>
      </c>
      <c r="E931" s="454" t="s">
        <v>962</v>
      </c>
      <c r="F931" s="457"/>
      <c r="G931" s="459">
        <f>G932</f>
        <v>1141.3000000000002</v>
      </c>
      <c r="H931" s="459">
        <f t="shared" ref="H931:H932" si="434">H932</f>
        <v>684.75696000000005</v>
      </c>
      <c r="I931" s="459">
        <f t="shared" si="421"/>
        <v>59.997981249452373</v>
      </c>
      <c r="J931" s="478"/>
      <c r="K931" s="463"/>
      <c r="L931" s="201"/>
    </row>
    <row r="932" spans="1:12" ht="31.5" x14ac:dyDescent="0.25">
      <c r="A932" s="458" t="s">
        <v>131</v>
      </c>
      <c r="B932" s="452">
        <v>908</v>
      </c>
      <c r="C932" s="454" t="s">
        <v>234</v>
      </c>
      <c r="D932" s="454" t="s">
        <v>118</v>
      </c>
      <c r="E932" s="454" t="s">
        <v>962</v>
      </c>
      <c r="F932" s="454" t="s">
        <v>132</v>
      </c>
      <c r="G932" s="459">
        <f>G933</f>
        <v>1141.3000000000002</v>
      </c>
      <c r="H932" s="459">
        <f t="shared" si="434"/>
        <v>684.75696000000005</v>
      </c>
      <c r="I932" s="459">
        <f t="shared" si="421"/>
        <v>59.997981249452373</v>
      </c>
      <c r="J932" s="478"/>
      <c r="K932" s="463"/>
      <c r="L932" s="201"/>
    </row>
    <row r="933" spans="1:12" ht="33" customHeight="1" x14ac:dyDescent="0.25">
      <c r="A933" s="458" t="s">
        <v>133</v>
      </c>
      <c r="B933" s="452">
        <v>908</v>
      </c>
      <c r="C933" s="454" t="s">
        <v>234</v>
      </c>
      <c r="D933" s="454" t="s">
        <v>118</v>
      </c>
      <c r="E933" s="454" t="s">
        <v>962</v>
      </c>
      <c r="F933" s="454" t="s">
        <v>134</v>
      </c>
      <c r="G933" s="459">
        <f>1140-395.8+397.1</f>
        <v>1141.3000000000002</v>
      </c>
      <c r="H933" s="459">
        <v>684.75696000000005</v>
      </c>
      <c r="I933" s="459">
        <f t="shared" si="421"/>
        <v>59.997981249452373</v>
      </c>
      <c r="J933" s="478"/>
      <c r="K933" s="463"/>
      <c r="L933" s="489"/>
    </row>
    <row r="934" spans="1:12" s="201" customFormat="1" ht="33" customHeight="1" x14ac:dyDescent="0.25">
      <c r="A934" s="458" t="s">
        <v>1636</v>
      </c>
      <c r="B934" s="452">
        <v>908</v>
      </c>
      <c r="C934" s="454" t="s">
        <v>234</v>
      </c>
      <c r="D934" s="454" t="s">
        <v>118</v>
      </c>
      <c r="E934" s="454" t="s">
        <v>1637</v>
      </c>
      <c r="F934" s="454"/>
      <c r="G934" s="459">
        <f>G935</f>
        <v>16849.2</v>
      </c>
      <c r="H934" s="459">
        <f t="shared" ref="H934:H935" si="435">H935</f>
        <v>6402.7340000000004</v>
      </c>
      <c r="I934" s="459">
        <f t="shared" si="421"/>
        <v>38.00022552999549</v>
      </c>
      <c r="J934" s="478"/>
      <c r="K934" s="463"/>
    </row>
    <row r="935" spans="1:12" s="201" customFormat="1" ht="33" customHeight="1" x14ac:dyDescent="0.25">
      <c r="A935" s="458" t="s">
        <v>131</v>
      </c>
      <c r="B935" s="452">
        <v>908</v>
      </c>
      <c r="C935" s="454" t="s">
        <v>234</v>
      </c>
      <c r="D935" s="454" t="s">
        <v>118</v>
      </c>
      <c r="E935" s="454" t="s">
        <v>1637</v>
      </c>
      <c r="F935" s="454" t="s">
        <v>132</v>
      </c>
      <c r="G935" s="459">
        <f>G936</f>
        <v>16849.2</v>
      </c>
      <c r="H935" s="459">
        <f t="shared" si="435"/>
        <v>6402.7340000000004</v>
      </c>
      <c r="I935" s="459">
        <f t="shared" si="421"/>
        <v>38.00022552999549</v>
      </c>
      <c r="J935" s="478"/>
      <c r="K935" s="463"/>
    </row>
    <row r="936" spans="1:12" s="201" customFormat="1" ht="33" customHeight="1" x14ac:dyDescent="0.25">
      <c r="A936" s="458" t="s">
        <v>133</v>
      </c>
      <c r="B936" s="452">
        <v>908</v>
      </c>
      <c r="C936" s="454" t="s">
        <v>234</v>
      </c>
      <c r="D936" s="454" t="s">
        <v>118</v>
      </c>
      <c r="E936" s="454" t="s">
        <v>1637</v>
      </c>
      <c r="F936" s="454" t="s">
        <v>134</v>
      </c>
      <c r="G936" s="459">
        <f>16158.4+690.8+700-700</f>
        <v>16849.2</v>
      </c>
      <c r="H936" s="459">
        <v>6402.7340000000004</v>
      </c>
      <c r="I936" s="459">
        <f t="shared" si="421"/>
        <v>38.00022552999549</v>
      </c>
      <c r="J936" s="478"/>
      <c r="K936" s="478">
        <v>44417</v>
      </c>
    </row>
    <row r="937" spans="1:12" ht="15.75" x14ac:dyDescent="0.25">
      <c r="A937" s="456" t="s">
        <v>517</v>
      </c>
      <c r="B937" s="453">
        <v>908</v>
      </c>
      <c r="C937" s="457" t="s">
        <v>234</v>
      </c>
      <c r="D937" s="457" t="s">
        <v>213</v>
      </c>
      <c r="E937" s="457"/>
      <c r="F937" s="457"/>
      <c r="G937" s="455">
        <f>G938+G968+G997</f>
        <v>88830.21</v>
      </c>
      <c r="H937" s="455">
        <f t="shared" ref="H937" si="436">H938+H968+H997</f>
        <v>27654.850649999997</v>
      </c>
      <c r="I937" s="455">
        <f t="shared" si="421"/>
        <v>31.13225855258025</v>
      </c>
      <c r="J937" s="478"/>
      <c r="K937" s="463"/>
      <c r="L937" s="201"/>
    </row>
    <row r="938" spans="1:12" s="201" customFormat="1" ht="15.75" x14ac:dyDescent="0.25">
      <c r="A938" s="456" t="s">
        <v>141</v>
      </c>
      <c r="B938" s="453">
        <v>908</v>
      </c>
      <c r="C938" s="457" t="s">
        <v>234</v>
      </c>
      <c r="D938" s="457" t="s">
        <v>213</v>
      </c>
      <c r="E938" s="457" t="s">
        <v>866</v>
      </c>
      <c r="F938" s="457"/>
      <c r="G938" s="455">
        <f>G939+G951</f>
        <v>87744.41</v>
      </c>
      <c r="H938" s="455">
        <f t="shared" ref="H938" si="437">H939+H951</f>
        <v>26892.658649999998</v>
      </c>
      <c r="I938" s="455">
        <f t="shared" si="421"/>
        <v>30.648856890142628</v>
      </c>
      <c r="J938" s="478"/>
      <c r="K938" s="463"/>
    </row>
    <row r="939" spans="1:12" s="201" customFormat="1" ht="31.5" x14ac:dyDescent="0.25">
      <c r="A939" s="456" t="s">
        <v>870</v>
      </c>
      <c r="B939" s="453">
        <v>908</v>
      </c>
      <c r="C939" s="457" t="s">
        <v>234</v>
      </c>
      <c r="D939" s="457" t="s">
        <v>213</v>
      </c>
      <c r="E939" s="457" t="s">
        <v>865</v>
      </c>
      <c r="F939" s="457"/>
      <c r="G939" s="455">
        <f>G940+G946</f>
        <v>32094.61</v>
      </c>
      <c r="H939" s="455">
        <f t="shared" ref="H939" si="438">H940+H946</f>
        <v>21585.608949999998</v>
      </c>
      <c r="I939" s="455">
        <f t="shared" si="421"/>
        <v>67.256180866506867</v>
      </c>
      <c r="J939" s="478"/>
      <c r="K939" s="463"/>
    </row>
    <row r="940" spans="1:12" s="201" customFormat="1" ht="15.75" x14ac:dyDescent="0.25">
      <c r="A940" s="35" t="s">
        <v>537</v>
      </c>
      <c r="B940" s="452">
        <v>908</v>
      </c>
      <c r="C940" s="454" t="s">
        <v>234</v>
      </c>
      <c r="D940" s="454" t="s">
        <v>213</v>
      </c>
      <c r="E940" s="454" t="s">
        <v>979</v>
      </c>
      <c r="F940" s="454"/>
      <c r="G940" s="459">
        <f>G941+G943</f>
        <v>12318.900000000003</v>
      </c>
      <c r="H940" s="459">
        <f t="shared" ref="H940" si="439">H941+H943</f>
        <v>6928.8197499999997</v>
      </c>
      <c r="I940" s="459">
        <f t="shared" si="421"/>
        <v>56.245441963162278</v>
      </c>
      <c r="J940" s="478"/>
      <c r="K940" s="463"/>
    </row>
    <row r="941" spans="1:12" s="201" customFormat="1" ht="31.5" x14ac:dyDescent="0.25">
      <c r="A941" s="458" t="s">
        <v>131</v>
      </c>
      <c r="B941" s="452">
        <v>908</v>
      </c>
      <c r="C941" s="454" t="s">
        <v>234</v>
      </c>
      <c r="D941" s="454" t="s">
        <v>213</v>
      </c>
      <c r="E941" s="454" t="s">
        <v>979</v>
      </c>
      <c r="F941" s="454" t="s">
        <v>132</v>
      </c>
      <c r="G941" s="459">
        <f>G942</f>
        <v>12318.900000000003</v>
      </c>
      <c r="H941" s="459">
        <f t="shared" ref="H941" si="440">H942</f>
        <v>6928.8197499999997</v>
      </c>
      <c r="I941" s="459">
        <f t="shared" si="421"/>
        <v>56.245441963162278</v>
      </c>
      <c r="J941" s="478"/>
      <c r="K941" s="463"/>
    </row>
    <row r="942" spans="1:12" s="201" customFormat="1" ht="31.5" x14ac:dyDescent="0.25">
      <c r="A942" s="458" t="s">
        <v>133</v>
      </c>
      <c r="B942" s="452">
        <v>908</v>
      </c>
      <c r="C942" s="454" t="s">
        <v>234</v>
      </c>
      <c r="D942" s="454" t="s">
        <v>213</v>
      </c>
      <c r="E942" s="454" t="s">
        <v>979</v>
      </c>
      <c r="F942" s="454" t="s">
        <v>134</v>
      </c>
      <c r="G942" s="205">
        <f>300+590+3249+661-1515.1-130+1336-3943.5+16800+1336-148.5+144.9+2000+1000+4000+1500-177+92.95+232.05+14-3300-800-10922.9</f>
        <v>12318.900000000003</v>
      </c>
      <c r="H942" s="205">
        <v>6928.8197499999997</v>
      </c>
      <c r="I942" s="459">
        <f t="shared" si="421"/>
        <v>56.245441963162278</v>
      </c>
      <c r="J942" s="478"/>
      <c r="K942" s="486" t="s">
        <v>1728</v>
      </c>
    </row>
    <row r="943" spans="1:12" s="201" customFormat="1" ht="15.75" hidden="1" x14ac:dyDescent="0.25">
      <c r="A943" s="458" t="s">
        <v>135</v>
      </c>
      <c r="B943" s="452">
        <v>908</v>
      </c>
      <c r="C943" s="454" t="s">
        <v>234</v>
      </c>
      <c r="D943" s="454" t="s">
        <v>213</v>
      </c>
      <c r="E943" s="454" t="s">
        <v>979</v>
      </c>
      <c r="F943" s="454" t="s">
        <v>145</v>
      </c>
      <c r="G943" s="205">
        <f>G944+G945</f>
        <v>0</v>
      </c>
      <c r="H943" s="205">
        <f t="shared" ref="H943" si="441">H944+H945</f>
        <v>0</v>
      </c>
      <c r="I943" s="459" t="e">
        <f t="shared" si="421"/>
        <v>#DIV/0!</v>
      </c>
      <c r="J943" s="478"/>
      <c r="K943" s="463"/>
    </row>
    <row r="944" spans="1:12" s="201" customFormat="1" ht="47.25" hidden="1" x14ac:dyDescent="0.25">
      <c r="A944" s="458" t="s">
        <v>184</v>
      </c>
      <c r="B944" s="452">
        <v>908</v>
      </c>
      <c r="C944" s="454" t="s">
        <v>234</v>
      </c>
      <c r="D944" s="454" t="s">
        <v>213</v>
      </c>
      <c r="E944" s="454" t="s">
        <v>979</v>
      </c>
      <c r="F944" s="454" t="s">
        <v>160</v>
      </c>
      <c r="G944" s="205">
        <v>0</v>
      </c>
      <c r="H944" s="205">
        <v>0</v>
      </c>
      <c r="I944" s="459" t="e">
        <f t="shared" si="421"/>
        <v>#DIV/0!</v>
      </c>
      <c r="J944" s="478"/>
      <c r="K944" s="463"/>
    </row>
    <row r="945" spans="1:15" s="201" customFormat="1" ht="15.75" hidden="1" x14ac:dyDescent="0.25">
      <c r="A945" s="458" t="s">
        <v>146</v>
      </c>
      <c r="B945" s="452">
        <v>908</v>
      </c>
      <c r="C945" s="454" t="s">
        <v>234</v>
      </c>
      <c r="D945" s="454" t="s">
        <v>213</v>
      </c>
      <c r="E945" s="454" t="s">
        <v>979</v>
      </c>
      <c r="F945" s="454" t="s">
        <v>147</v>
      </c>
      <c r="G945" s="205">
        <v>0</v>
      </c>
      <c r="H945" s="205">
        <v>0</v>
      </c>
      <c r="I945" s="459" t="e">
        <f t="shared" si="421"/>
        <v>#DIV/0!</v>
      </c>
      <c r="J945" s="478"/>
      <c r="K945" s="463"/>
    </row>
    <row r="946" spans="1:15" s="201" customFormat="1" ht="31.5" x14ac:dyDescent="0.25">
      <c r="A946" s="29" t="s">
        <v>932</v>
      </c>
      <c r="B946" s="452">
        <v>908</v>
      </c>
      <c r="C946" s="454" t="s">
        <v>234</v>
      </c>
      <c r="D946" s="454" t="s">
        <v>213</v>
      </c>
      <c r="E946" s="454" t="s">
        <v>962</v>
      </c>
      <c r="F946" s="454"/>
      <c r="G946" s="459">
        <f>G949+G947</f>
        <v>19775.71</v>
      </c>
      <c r="H946" s="459">
        <f t="shared" ref="H946" si="442">H949+H947</f>
        <v>14656.789199999999</v>
      </c>
      <c r="I946" s="459">
        <f t="shared" si="421"/>
        <v>74.115109899973248</v>
      </c>
      <c r="J946" s="478"/>
      <c r="K946" s="463"/>
    </row>
    <row r="947" spans="1:15" s="201" customFormat="1" ht="31.5" x14ac:dyDescent="0.25">
      <c r="A947" s="458" t="s">
        <v>131</v>
      </c>
      <c r="B947" s="452">
        <v>908</v>
      </c>
      <c r="C947" s="454" t="s">
        <v>234</v>
      </c>
      <c r="D947" s="454" t="s">
        <v>213</v>
      </c>
      <c r="E947" s="454" t="s">
        <v>962</v>
      </c>
      <c r="F947" s="454" t="s">
        <v>132</v>
      </c>
      <c r="G947" s="459">
        <f>G948</f>
        <v>19775.71</v>
      </c>
      <c r="H947" s="459">
        <f t="shared" ref="H947" si="443">H948</f>
        <v>14656.789199999999</v>
      </c>
      <c r="I947" s="459">
        <f t="shared" si="421"/>
        <v>74.115109899973248</v>
      </c>
      <c r="J947" s="478"/>
      <c r="K947" s="463"/>
    </row>
    <row r="948" spans="1:15" s="201" customFormat="1" ht="31.5" x14ac:dyDescent="0.25">
      <c r="A948" s="458" t="s">
        <v>133</v>
      </c>
      <c r="B948" s="452">
        <v>908</v>
      </c>
      <c r="C948" s="454" t="s">
        <v>234</v>
      </c>
      <c r="D948" s="454" t="s">
        <v>213</v>
      </c>
      <c r="E948" s="454" t="s">
        <v>962</v>
      </c>
      <c r="F948" s="454" t="s">
        <v>134</v>
      </c>
      <c r="G948" s="459">
        <f>10000-1000-2446.4+234.41+13242.4-5000+4745.3</f>
        <v>19775.71</v>
      </c>
      <c r="H948" s="459">
        <v>14656.789199999999</v>
      </c>
      <c r="I948" s="459">
        <f t="shared" si="421"/>
        <v>74.115109899973248</v>
      </c>
      <c r="J948" s="478"/>
      <c r="K948" s="463"/>
    </row>
    <row r="949" spans="1:15" s="201" customFormat="1" ht="15.75" hidden="1" x14ac:dyDescent="0.25">
      <c r="A949" s="458" t="s">
        <v>135</v>
      </c>
      <c r="B949" s="452">
        <v>908</v>
      </c>
      <c r="C949" s="454" t="s">
        <v>234</v>
      </c>
      <c r="D949" s="454" t="s">
        <v>213</v>
      </c>
      <c r="E949" s="454" t="s">
        <v>962</v>
      </c>
      <c r="F949" s="454" t="s">
        <v>145</v>
      </c>
      <c r="G949" s="459">
        <f>G950</f>
        <v>0</v>
      </c>
      <c r="H949" s="459">
        <f t="shared" ref="H949" si="444">H950</f>
        <v>0</v>
      </c>
      <c r="I949" s="455" t="e">
        <f t="shared" si="421"/>
        <v>#DIV/0!</v>
      </c>
      <c r="J949" s="478"/>
      <c r="K949" s="463"/>
    </row>
    <row r="950" spans="1:15" ht="15.75" hidden="1" x14ac:dyDescent="0.25">
      <c r="A950" s="458" t="s">
        <v>146</v>
      </c>
      <c r="B950" s="452">
        <v>908</v>
      </c>
      <c r="C950" s="454" t="s">
        <v>234</v>
      </c>
      <c r="D950" s="454" t="s">
        <v>213</v>
      </c>
      <c r="E950" s="454" t="s">
        <v>962</v>
      </c>
      <c r="F950" s="454" t="s">
        <v>147</v>
      </c>
      <c r="G950" s="459">
        <v>0</v>
      </c>
      <c r="H950" s="459">
        <v>0</v>
      </c>
      <c r="I950" s="455" t="e">
        <f t="shared" si="421"/>
        <v>#DIV/0!</v>
      </c>
      <c r="J950" s="478"/>
      <c r="K950" s="463"/>
      <c r="L950" s="201"/>
    </row>
    <row r="951" spans="1:15" s="201" customFormat="1" ht="48.75" customHeight="1" x14ac:dyDescent="0.25">
      <c r="A951" s="456" t="s">
        <v>1013</v>
      </c>
      <c r="B951" s="453">
        <v>908</v>
      </c>
      <c r="C951" s="457" t="s">
        <v>234</v>
      </c>
      <c r="D951" s="457" t="s">
        <v>213</v>
      </c>
      <c r="E951" s="457" t="s">
        <v>980</v>
      </c>
      <c r="F951" s="457"/>
      <c r="G951" s="455">
        <f>G952+G960+G957+G965</f>
        <v>55649.8</v>
      </c>
      <c r="H951" s="455">
        <f t="shared" ref="H951" si="445">H952+H960+H957+H965</f>
        <v>5307.0496999999996</v>
      </c>
      <c r="I951" s="455">
        <f t="shared" si="421"/>
        <v>9.5365117215156197</v>
      </c>
      <c r="J951" s="478"/>
      <c r="K951" s="463"/>
    </row>
    <row r="952" spans="1:15" s="201" customFormat="1" ht="35.450000000000003" customHeight="1" x14ac:dyDescent="0.25">
      <c r="A952" s="458" t="s">
        <v>827</v>
      </c>
      <c r="B952" s="452">
        <v>908</v>
      </c>
      <c r="C952" s="454" t="s">
        <v>234</v>
      </c>
      <c r="D952" s="454" t="s">
        <v>213</v>
      </c>
      <c r="E952" s="454" t="s">
        <v>981</v>
      </c>
      <c r="F952" s="454"/>
      <c r="G952" s="459">
        <f>G953+G955</f>
        <v>55649.8</v>
      </c>
      <c r="H952" s="459">
        <f t="shared" ref="H952" si="446">H953+H955</f>
        <v>5307.0496999999996</v>
      </c>
      <c r="I952" s="459">
        <f t="shared" si="421"/>
        <v>9.5365117215156197</v>
      </c>
      <c r="J952" s="478"/>
      <c r="K952" s="463"/>
      <c r="L952" s="463"/>
      <c r="M952" s="108"/>
      <c r="N952" s="108"/>
      <c r="O952" s="117"/>
    </row>
    <row r="953" spans="1:15" s="201" customFormat="1" ht="34.5" customHeight="1" x14ac:dyDescent="0.25">
      <c r="A953" s="458" t="s">
        <v>131</v>
      </c>
      <c r="B953" s="452">
        <v>908</v>
      </c>
      <c r="C953" s="454" t="s">
        <v>234</v>
      </c>
      <c r="D953" s="454" t="s">
        <v>213</v>
      </c>
      <c r="E953" s="454" t="s">
        <v>981</v>
      </c>
      <c r="F953" s="454" t="s">
        <v>132</v>
      </c>
      <c r="G953" s="459">
        <f>G954</f>
        <v>55649.8</v>
      </c>
      <c r="H953" s="459">
        <f t="shared" ref="H953" si="447">H954</f>
        <v>5307.0496999999996</v>
      </c>
      <c r="I953" s="459">
        <f t="shared" si="421"/>
        <v>9.5365117215156197</v>
      </c>
      <c r="J953" s="478"/>
      <c r="K953" s="463"/>
      <c r="L953" s="463"/>
      <c r="M953" s="108"/>
      <c r="N953" s="108"/>
      <c r="O953" s="117"/>
    </row>
    <row r="954" spans="1:15" s="201" customFormat="1" ht="33" customHeight="1" x14ac:dyDescent="0.25">
      <c r="A954" s="458" t="s">
        <v>133</v>
      </c>
      <c r="B954" s="452">
        <v>908</v>
      </c>
      <c r="C954" s="454" t="s">
        <v>234</v>
      </c>
      <c r="D954" s="454" t="s">
        <v>213</v>
      </c>
      <c r="E954" s="454" t="s">
        <v>981</v>
      </c>
      <c r="F954" s="454" t="s">
        <v>134</v>
      </c>
      <c r="G954" s="459">
        <f>44726.9+10922.9</f>
        <v>55649.8</v>
      </c>
      <c r="H954" s="459">
        <v>5307.0496999999996</v>
      </c>
      <c r="I954" s="459">
        <f t="shared" si="421"/>
        <v>9.5365117215156197</v>
      </c>
      <c r="J954" s="478"/>
      <c r="K954" s="463"/>
      <c r="L954" s="463"/>
      <c r="M954" s="108"/>
      <c r="N954" s="108"/>
      <c r="O954" s="117"/>
    </row>
    <row r="955" spans="1:15" s="201" customFormat="1" ht="20.25" hidden="1" customHeight="1" x14ac:dyDescent="0.25">
      <c r="A955" s="458" t="s">
        <v>135</v>
      </c>
      <c r="B955" s="452">
        <v>908</v>
      </c>
      <c r="C955" s="454" t="s">
        <v>234</v>
      </c>
      <c r="D955" s="454" t="s">
        <v>213</v>
      </c>
      <c r="E955" s="454" t="s">
        <v>981</v>
      </c>
      <c r="F955" s="454" t="s">
        <v>837</v>
      </c>
      <c r="G955" s="459">
        <f>G956</f>
        <v>0</v>
      </c>
      <c r="H955" s="459">
        <f t="shared" ref="H955" si="448">H956</f>
        <v>0</v>
      </c>
      <c r="I955" s="455" t="e">
        <f t="shared" si="421"/>
        <v>#DIV/0!</v>
      </c>
      <c r="J955" s="478"/>
      <c r="K955" s="117"/>
      <c r="L955" s="463"/>
      <c r="M955" s="108"/>
      <c r="N955" s="108"/>
      <c r="O955" s="108"/>
    </row>
    <row r="956" spans="1:15" s="201" customFormat="1" ht="20.25" hidden="1" customHeight="1" x14ac:dyDescent="0.25">
      <c r="A956" s="458" t="s">
        <v>568</v>
      </c>
      <c r="B956" s="452">
        <v>908</v>
      </c>
      <c r="C956" s="454" t="s">
        <v>234</v>
      </c>
      <c r="D956" s="454" t="s">
        <v>213</v>
      </c>
      <c r="E956" s="454" t="s">
        <v>981</v>
      </c>
      <c r="F956" s="454" t="s">
        <v>1068</v>
      </c>
      <c r="G956" s="459">
        <v>0</v>
      </c>
      <c r="H956" s="459">
        <v>0</v>
      </c>
      <c r="I956" s="455" t="e">
        <f t="shared" si="421"/>
        <v>#DIV/0!</v>
      </c>
      <c r="J956" s="478"/>
      <c r="K956" s="117"/>
      <c r="L956" s="463"/>
      <c r="M956" s="108"/>
      <c r="N956" s="108"/>
      <c r="O956" s="108"/>
    </row>
    <row r="957" spans="1:15" s="201" customFormat="1" ht="47.25" hidden="1" customHeight="1" x14ac:dyDescent="0.25">
      <c r="A957" s="458" t="s">
        <v>793</v>
      </c>
      <c r="B957" s="452">
        <v>908</v>
      </c>
      <c r="C957" s="454" t="s">
        <v>234</v>
      </c>
      <c r="D957" s="454" t="s">
        <v>213</v>
      </c>
      <c r="E957" s="454" t="s">
        <v>982</v>
      </c>
      <c r="F957" s="454"/>
      <c r="G957" s="459">
        <f>G958</f>
        <v>0</v>
      </c>
      <c r="H957" s="459">
        <f t="shared" ref="H957:H958" si="449">H958</f>
        <v>0</v>
      </c>
      <c r="I957" s="455" t="e">
        <f t="shared" si="421"/>
        <v>#DIV/0!</v>
      </c>
      <c r="J957" s="478"/>
      <c r="K957" s="117"/>
      <c r="L957" s="463"/>
      <c r="M957" s="108"/>
      <c r="N957" s="108"/>
      <c r="O957" s="108"/>
    </row>
    <row r="958" spans="1:15" s="201" customFormat="1" ht="33.75" hidden="1" customHeight="1" x14ac:dyDescent="0.25">
      <c r="A958" s="458" t="s">
        <v>131</v>
      </c>
      <c r="B958" s="452">
        <v>908</v>
      </c>
      <c r="C958" s="454" t="s">
        <v>234</v>
      </c>
      <c r="D958" s="454" t="s">
        <v>213</v>
      </c>
      <c r="E958" s="454" t="s">
        <v>982</v>
      </c>
      <c r="F958" s="454" t="s">
        <v>132</v>
      </c>
      <c r="G958" s="459">
        <f>G959</f>
        <v>0</v>
      </c>
      <c r="H958" s="459">
        <f t="shared" si="449"/>
        <v>0</v>
      </c>
      <c r="I958" s="455" t="e">
        <f t="shared" si="421"/>
        <v>#DIV/0!</v>
      </c>
      <c r="J958" s="478"/>
      <c r="K958" s="117"/>
      <c r="L958" s="463"/>
      <c r="M958" s="108"/>
      <c r="N958" s="108"/>
      <c r="O958" s="108"/>
    </row>
    <row r="959" spans="1:15" s="201" customFormat="1" ht="32.25" hidden="1" customHeight="1" x14ac:dyDescent="0.25">
      <c r="A959" s="458" t="s">
        <v>133</v>
      </c>
      <c r="B959" s="452">
        <v>908</v>
      </c>
      <c r="C959" s="454" t="s">
        <v>234</v>
      </c>
      <c r="D959" s="454" t="s">
        <v>213</v>
      </c>
      <c r="E959" s="454" t="s">
        <v>982</v>
      </c>
      <c r="F959" s="454" t="s">
        <v>134</v>
      </c>
      <c r="G959" s="459">
        <v>0</v>
      </c>
      <c r="H959" s="459">
        <v>0</v>
      </c>
      <c r="I959" s="455" t="e">
        <f t="shared" si="421"/>
        <v>#DIV/0!</v>
      </c>
      <c r="J959" s="478"/>
      <c r="K959" s="117"/>
      <c r="L959" s="463"/>
      <c r="M959" s="108"/>
      <c r="N959" s="108"/>
      <c r="O959" s="108"/>
    </row>
    <row r="960" spans="1:15" s="201" customFormat="1" ht="47.25" hidden="1" customHeight="1" x14ac:dyDescent="0.25">
      <c r="A960" s="97" t="s">
        <v>833</v>
      </c>
      <c r="B960" s="452">
        <v>908</v>
      </c>
      <c r="C960" s="454" t="s">
        <v>234</v>
      </c>
      <c r="D960" s="454" t="s">
        <v>213</v>
      </c>
      <c r="E960" s="454" t="s">
        <v>983</v>
      </c>
      <c r="F960" s="454"/>
      <c r="G960" s="459">
        <f>G961+G963</f>
        <v>0</v>
      </c>
      <c r="H960" s="459">
        <f t="shared" ref="H960" si="450">H961+H963</f>
        <v>0</v>
      </c>
      <c r="I960" s="455" t="e">
        <f t="shared" si="421"/>
        <v>#DIV/0!</v>
      </c>
      <c r="J960" s="478"/>
      <c r="K960" s="117"/>
      <c r="L960" s="463"/>
      <c r="M960" s="108"/>
      <c r="N960" s="108"/>
      <c r="O960" s="108"/>
    </row>
    <row r="961" spans="1:15" s="201" customFormat="1" ht="34.5" hidden="1" customHeight="1" x14ac:dyDescent="0.25">
      <c r="A961" s="458" t="s">
        <v>838</v>
      </c>
      <c r="B961" s="452">
        <v>908</v>
      </c>
      <c r="C961" s="454" t="s">
        <v>234</v>
      </c>
      <c r="D961" s="454" t="s">
        <v>213</v>
      </c>
      <c r="E961" s="454" t="s">
        <v>983</v>
      </c>
      <c r="F961" s="454" t="s">
        <v>837</v>
      </c>
      <c r="G961" s="459">
        <f>G962</f>
        <v>0</v>
      </c>
      <c r="H961" s="459">
        <f t="shared" ref="H961" si="451">H962</f>
        <v>0</v>
      </c>
      <c r="I961" s="455" t="e">
        <f t="shared" si="421"/>
        <v>#DIV/0!</v>
      </c>
      <c r="J961" s="478"/>
      <c r="K961" s="117"/>
      <c r="L961" s="463"/>
      <c r="M961" s="108"/>
      <c r="N961" s="108"/>
      <c r="O961" s="108"/>
    </row>
    <row r="962" spans="1:15" s="201" customFormat="1" ht="47.25" hidden="1" customHeight="1" x14ac:dyDescent="0.25">
      <c r="A962" s="458" t="s">
        <v>1049</v>
      </c>
      <c r="B962" s="452">
        <v>908</v>
      </c>
      <c r="C962" s="454" t="s">
        <v>234</v>
      </c>
      <c r="D962" s="454" t="s">
        <v>213</v>
      </c>
      <c r="E962" s="454" t="s">
        <v>983</v>
      </c>
      <c r="F962" s="454" t="s">
        <v>1068</v>
      </c>
      <c r="G962" s="459">
        <v>0</v>
      </c>
      <c r="H962" s="459">
        <v>0</v>
      </c>
      <c r="I962" s="455" t="e">
        <f t="shared" si="421"/>
        <v>#DIV/0!</v>
      </c>
      <c r="J962" s="478"/>
      <c r="K962" s="117"/>
      <c r="L962" s="463"/>
      <c r="M962" s="108"/>
      <c r="N962" s="108"/>
      <c r="O962" s="108"/>
    </row>
    <row r="963" spans="1:15" s="201" customFormat="1" ht="17.45" hidden="1" customHeight="1" x14ac:dyDescent="0.25">
      <c r="A963" s="458" t="s">
        <v>135</v>
      </c>
      <c r="B963" s="452">
        <v>908</v>
      </c>
      <c r="C963" s="454" t="s">
        <v>234</v>
      </c>
      <c r="D963" s="454" t="s">
        <v>213</v>
      </c>
      <c r="E963" s="454" t="s">
        <v>983</v>
      </c>
      <c r="F963" s="454" t="s">
        <v>145</v>
      </c>
      <c r="G963" s="459">
        <f>G964</f>
        <v>0</v>
      </c>
      <c r="H963" s="459">
        <f t="shared" ref="H963" si="452">H964</f>
        <v>0</v>
      </c>
      <c r="I963" s="455" t="e">
        <f t="shared" si="421"/>
        <v>#DIV/0!</v>
      </c>
      <c r="J963" s="478"/>
      <c r="K963" s="117"/>
      <c r="L963" s="463"/>
      <c r="M963" s="108"/>
      <c r="N963" s="108"/>
      <c r="O963" s="108"/>
    </row>
    <row r="964" spans="1:15" s="201" customFormat="1" ht="18.75" hidden="1" customHeight="1" x14ac:dyDescent="0.25">
      <c r="A964" s="458" t="s">
        <v>704</v>
      </c>
      <c r="B964" s="452">
        <v>908</v>
      </c>
      <c r="C964" s="454" t="s">
        <v>234</v>
      </c>
      <c r="D964" s="454" t="s">
        <v>213</v>
      </c>
      <c r="E964" s="454" t="s">
        <v>983</v>
      </c>
      <c r="F964" s="454" t="s">
        <v>138</v>
      </c>
      <c r="G964" s="459">
        <v>0</v>
      </c>
      <c r="H964" s="459">
        <v>0</v>
      </c>
      <c r="I964" s="455" t="e">
        <f t="shared" si="421"/>
        <v>#DIV/0!</v>
      </c>
      <c r="J964" s="478"/>
      <c r="K964" s="117"/>
      <c r="L964" s="463"/>
      <c r="M964" s="108"/>
      <c r="N964" s="108"/>
      <c r="O964" s="108"/>
    </row>
    <row r="965" spans="1:15" s="201" customFormat="1" ht="38.25" hidden="1" customHeight="1" x14ac:dyDescent="0.25">
      <c r="A965" s="458" t="s">
        <v>1069</v>
      </c>
      <c r="B965" s="452">
        <v>908</v>
      </c>
      <c r="C965" s="454" t="s">
        <v>234</v>
      </c>
      <c r="D965" s="454" t="s">
        <v>213</v>
      </c>
      <c r="E965" s="454" t="s">
        <v>1070</v>
      </c>
      <c r="F965" s="454"/>
      <c r="G965" s="459">
        <f>G966</f>
        <v>0</v>
      </c>
      <c r="H965" s="459">
        <f t="shared" ref="H965:H966" si="453">H966</f>
        <v>0</v>
      </c>
      <c r="I965" s="455" t="e">
        <f t="shared" si="421"/>
        <v>#DIV/0!</v>
      </c>
      <c r="J965" s="478"/>
      <c r="K965" s="117"/>
      <c r="L965" s="463"/>
      <c r="M965" s="108"/>
      <c r="N965" s="108"/>
      <c r="O965" s="108"/>
    </row>
    <row r="966" spans="1:15" s="201" customFormat="1" ht="32.25" hidden="1" customHeight="1" x14ac:dyDescent="0.25">
      <c r="A966" s="458" t="s">
        <v>131</v>
      </c>
      <c r="B966" s="452">
        <v>908</v>
      </c>
      <c r="C966" s="454" t="s">
        <v>234</v>
      </c>
      <c r="D966" s="454" t="s">
        <v>213</v>
      </c>
      <c r="E966" s="454" t="s">
        <v>1070</v>
      </c>
      <c r="F966" s="454" t="s">
        <v>132</v>
      </c>
      <c r="G966" s="459">
        <f>G967</f>
        <v>0</v>
      </c>
      <c r="H966" s="459">
        <f t="shared" si="453"/>
        <v>0</v>
      </c>
      <c r="I966" s="455" t="e">
        <f t="shared" si="421"/>
        <v>#DIV/0!</v>
      </c>
      <c r="J966" s="478"/>
      <c r="K966" s="117"/>
      <c r="L966" s="463"/>
      <c r="M966" s="108"/>
      <c r="N966" s="108"/>
      <c r="O966" s="108"/>
    </row>
    <row r="967" spans="1:15" s="201" customFormat="1" ht="35.450000000000003" hidden="1" customHeight="1" x14ac:dyDescent="0.25">
      <c r="A967" s="458" t="s">
        <v>133</v>
      </c>
      <c r="B967" s="452">
        <v>908</v>
      </c>
      <c r="C967" s="454" t="s">
        <v>234</v>
      </c>
      <c r="D967" s="454" t="s">
        <v>213</v>
      </c>
      <c r="E967" s="454" t="s">
        <v>1070</v>
      </c>
      <c r="F967" s="454" t="s">
        <v>134</v>
      </c>
      <c r="G967" s="459">
        <v>0</v>
      </c>
      <c r="H967" s="459">
        <v>0</v>
      </c>
      <c r="I967" s="455" t="e">
        <f t="shared" si="421"/>
        <v>#DIV/0!</v>
      </c>
      <c r="J967" s="478"/>
      <c r="K967" s="117"/>
      <c r="L967" s="463"/>
      <c r="M967" s="108"/>
      <c r="N967" s="108"/>
      <c r="O967" s="108"/>
    </row>
    <row r="968" spans="1:15" s="201" customFormat="1" ht="47.25" customHeight="1" x14ac:dyDescent="0.25">
      <c r="A968" s="456" t="s">
        <v>1534</v>
      </c>
      <c r="B968" s="453">
        <v>908</v>
      </c>
      <c r="C968" s="457" t="s">
        <v>234</v>
      </c>
      <c r="D968" s="457" t="s">
        <v>213</v>
      </c>
      <c r="E968" s="457" t="s">
        <v>518</v>
      </c>
      <c r="F968" s="457"/>
      <c r="G968" s="455">
        <f>G969+G973+G977+G981+G993+G989</f>
        <v>1085.8</v>
      </c>
      <c r="H968" s="455">
        <f t="shared" ref="H968" si="454">H969+H973+H977+H981+H993+H989</f>
        <v>762.19200000000001</v>
      </c>
      <c r="I968" s="455">
        <f t="shared" si="421"/>
        <v>70.196352919506353</v>
      </c>
      <c r="J968" s="478"/>
      <c r="K968" s="117"/>
      <c r="L968" s="463"/>
      <c r="M968" s="108"/>
      <c r="N968" s="108"/>
      <c r="O968" s="117"/>
    </row>
    <row r="969" spans="1:15" s="201" customFormat="1" ht="30.75" hidden="1" customHeight="1" x14ac:dyDescent="0.25">
      <c r="A969" s="456" t="s">
        <v>963</v>
      </c>
      <c r="B969" s="453">
        <v>908</v>
      </c>
      <c r="C969" s="457" t="s">
        <v>234</v>
      </c>
      <c r="D969" s="457" t="s">
        <v>213</v>
      </c>
      <c r="E969" s="457" t="s">
        <v>965</v>
      </c>
      <c r="F969" s="457"/>
      <c r="G969" s="455">
        <f>G970</f>
        <v>0</v>
      </c>
      <c r="H969" s="455">
        <f t="shared" ref="H969:H971" si="455">H970</f>
        <v>0</v>
      </c>
      <c r="I969" s="455" t="e">
        <f t="shared" si="421"/>
        <v>#DIV/0!</v>
      </c>
      <c r="J969" s="478"/>
      <c r="K969" s="117"/>
      <c r="L969" s="463"/>
      <c r="M969" s="108"/>
      <c r="N969" s="108"/>
      <c r="O969" s="108"/>
    </row>
    <row r="970" spans="1:15" ht="15.75" hidden="1" x14ac:dyDescent="0.25">
      <c r="A970" s="45" t="s">
        <v>964</v>
      </c>
      <c r="B970" s="452">
        <v>908</v>
      </c>
      <c r="C970" s="461" t="s">
        <v>234</v>
      </c>
      <c r="D970" s="461" t="s">
        <v>213</v>
      </c>
      <c r="E970" s="454" t="s">
        <v>966</v>
      </c>
      <c r="F970" s="461"/>
      <c r="G970" s="459">
        <f>G971</f>
        <v>0</v>
      </c>
      <c r="H970" s="459">
        <f t="shared" si="455"/>
        <v>0</v>
      </c>
      <c r="I970" s="455" t="e">
        <f t="shared" si="421"/>
        <v>#DIV/0!</v>
      </c>
      <c r="J970" s="478"/>
      <c r="K970" s="117"/>
      <c r="L970" s="463"/>
      <c r="M970" s="108"/>
      <c r="N970" s="108"/>
      <c r="O970" s="108"/>
    </row>
    <row r="971" spans="1:15" ht="31.5" hidden="1" x14ac:dyDescent="0.25">
      <c r="A971" s="31" t="s">
        <v>131</v>
      </c>
      <c r="B971" s="452">
        <v>908</v>
      </c>
      <c r="C971" s="461" t="s">
        <v>234</v>
      </c>
      <c r="D971" s="461" t="s">
        <v>213</v>
      </c>
      <c r="E971" s="454" t="s">
        <v>966</v>
      </c>
      <c r="F971" s="461" t="s">
        <v>132</v>
      </c>
      <c r="G971" s="459">
        <f>G972</f>
        <v>0</v>
      </c>
      <c r="H971" s="459">
        <f t="shared" si="455"/>
        <v>0</v>
      </c>
      <c r="I971" s="455" t="e">
        <f t="shared" si="421"/>
        <v>#DIV/0!</v>
      </c>
      <c r="J971" s="478"/>
      <c r="K971" s="117"/>
      <c r="L971" s="463"/>
      <c r="M971" s="108"/>
      <c r="N971" s="108"/>
      <c r="O971" s="108"/>
    </row>
    <row r="972" spans="1:15" ht="31.5" hidden="1" x14ac:dyDescent="0.25">
      <c r="A972" s="31" t="s">
        <v>133</v>
      </c>
      <c r="B972" s="452">
        <v>908</v>
      </c>
      <c r="C972" s="461" t="s">
        <v>234</v>
      </c>
      <c r="D972" s="461" t="s">
        <v>213</v>
      </c>
      <c r="E972" s="454" t="s">
        <v>966</v>
      </c>
      <c r="F972" s="461" t="s">
        <v>134</v>
      </c>
      <c r="G972" s="367">
        <f>700-700</f>
        <v>0</v>
      </c>
      <c r="H972" s="367">
        <f t="shared" ref="H972" si="456">700-700</f>
        <v>0</v>
      </c>
      <c r="I972" s="455" t="e">
        <f t="shared" ref="I972:I1035" si="457">H972/G972*100</f>
        <v>#DIV/0!</v>
      </c>
      <c r="J972" s="478"/>
      <c r="K972" s="117"/>
      <c r="L972" s="463"/>
      <c r="M972" s="108"/>
      <c r="N972" s="108"/>
      <c r="O972" s="108"/>
    </row>
    <row r="973" spans="1:15" s="201" customFormat="1" ht="15.75" x14ac:dyDescent="0.25">
      <c r="A973" s="34" t="s">
        <v>967</v>
      </c>
      <c r="B973" s="453">
        <v>908</v>
      </c>
      <c r="C973" s="7" t="s">
        <v>234</v>
      </c>
      <c r="D973" s="7" t="s">
        <v>213</v>
      </c>
      <c r="E973" s="457" t="s">
        <v>968</v>
      </c>
      <c r="F973" s="7"/>
      <c r="G973" s="455">
        <f>G974</f>
        <v>441</v>
      </c>
      <c r="H973" s="455">
        <f t="shared" ref="H973:H975" si="458">H974</f>
        <v>389.95100000000002</v>
      </c>
      <c r="I973" s="455">
        <f t="shared" si="457"/>
        <v>88.424263038548759</v>
      </c>
      <c r="J973" s="478"/>
      <c r="K973" s="117"/>
      <c r="L973" s="463"/>
      <c r="M973" s="108"/>
      <c r="N973" s="108"/>
      <c r="O973" s="117"/>
    </row>
    <row r="974" spans="1:15" ht="15.75" x14ac:dyDescent="0.25">
      <c r="A974" s="45" t="s">
        <v>523</v>
      </c>
      <c r="B974" s="452">
        <v>908</v>
      </c>
      <c r="C974" s="461" t="s">
        <v>234</v>
      </c>
      <c r="D974" s="461" t="s">
        <v>213</v>
      </c>
      <c r="E974" s="454" t="s">
        <v>971</v>
      </c>
      <c r="F974" s="461"/>
      <c r="G974" s="459">
        <f>G975</f>
        <v>441</v>
      </c>
      <c r="H974" s="459">
        <f t="shared" si="458"/>
        <v>389.95100000000002</v>
      </c>
      <c r="I974" s="459">
        <f t="shared" si="457"/>
        <v>88.424263038548759</v>
      </c>
      <c r="J974" s="478"/>
      <c r="K974" s="117"/>
      <c r="L974" s="463"/>
      <c r="M974" s="108"/>
      <c r="N974" s="108"/>
      <c r="O974" s="117"/>
    </row>
    <row r="975" spans="1:15" ht="31.5" x14ac:dyDescent="0.25">
      <c r="A975" s="31" t="s">
        <v>131</v>
      </c>
      <c r="B975" s="452">
        <v>908</v>
      </c>
      <c r="C975" s="461" t="s">
        <v>234</v>
      </c>
      <c r="D975" s="461" t="s">
        <v>213</v>
      </c>
      <c r="E975" s="454" t="s">
        <v>971</v>
      </c>
      <c r="F975" s="461" t="s">
        <v>132</v>
      </c>
      <c r="G975" s="459">
        <f>G976</f>
        <v>441</v>
      </c>
      <c r="H975" s="459">
        <f t="shared" si="458"/>
        <v>389.95100000000002</v>
      </c>
      <c r="I975" s="459">
        <f t="shared" si="457"/>
        <v>88.424263038548759</v>
      </c>
      <c r="J975" s="478"/>
      <c r="K975" s="117"/>
      <c r="L975" s="463"/>
      <c r="M975" s="108"/>
      <c r="N975" s="108"/>
      <c r="O975" s="108"/>
    </row>
    <row r="976" spans="1:15" ht="31.5" x14ac:dyDescent="0.25">
      <c r="A976" s="31" t="s">
        <v>133</v>
      </c>
      <c r="B976" s="452">
        <v>908</v>
      </c>
      <c r="C976" s="461" t="s">
        <v>234</v>
      </c>
      <c r="D976" s="461" t="s">
        <v>213</v>
      </c>
      <c r="E976" s="454" t="s">
        <v>971</v>
      </c>
      <c r="F976" s="461" t="s">
        <v>134</v>
      </c>
      <c r="G976" s="451">
        <f>159.4+115.6+115+115.6+159.4-224</f>
        <v>441</v>
      </c>
      <c r="H976" s="451">
        <v>389.95100000000002</v>
      </c>
      <c r="I976" s="459">
        <f t="shared" si="457"/>
        <v>88.424263038548759</v>
      </c>
      <c r="J976" s="478"/>
      <c r="K976" s="117"/>
      <c r="L976" s="463"/>
      <c r="M976" s="108"/>
      <c r="N976" s="108"/>
      <c r="O976" s="108"/>
    </row>
    <row r="977" spans="1:15" s="201" customFormat="1" ht="16.5" hidden="1" customHeight="1" x14ac:dyDescent="0.25">
      <c r="A977" s="58" t="s">
        <v>969</v>
      </c>
      <c r="B977" s="453">
        <v>908</v>
      </c>
      <c r="C977" s="7" t="s">
        <v>234</v>
      </c>
      <c r="D977" s="7" t="s">
        <v>213</v>
      </c>
      <c r="E977" s="457" t="s">
        <v>970</v>
      </c>
      <c r="F977" s="7"/>
      <c r="G977" s="450">
        <f>G978</f>
        <v>0</v>
      </c>
      <c r="H977" s="450">
        <f t="shared" ref="H977:H979" si="459">H978</f>
        <v>0</v>
      </c>
      <c r="I977" s="455" t="e">
        <f t="shared" si="457"/>
        <v>#DIV/0!</v>
      </c>
      <c r="J977" s="478"/>
      <c r="K977" s="117"/>
      <c r="L977" s="463"/>
      <c r="M977" s="108"/>
      <c r="N977" s="108"/>
      <c r="O977" s="108"/>
    </row>
    <row r="978" spans="1:15" ht="15.75" hidden="1" x14ac:dyDescent="0.25">
      <c r="A978" s="45" t="s">
        <v>525</v>
      </c>
      <c r="B978" s="452">
        <v>908</v>
      </c>
      <c r="C978" s="461" t="s">
        <v>234</v>
      </c>
      <c r="D978" s="461" t="s">
        <v>213</v>
      </c>
      <c r="E978" s="454" t="s">
        <v>972</v>
      </c>
      <c r="F978" s="461"/>
      <c r="G978" s="459">
        <f>G979</f>
        <v>0</v>
      </c>
      <c r="H978" s="459">
        <f t="shared" si="459"/>
        <v>0</v>
      </c>
      <c r="I978" s="455" t="e">
        <f t="shared" si="457"/>
        <v>#DIV/0!</v>
      </c>
      <c r="J978" s="478"/>
      <c r="K978" s="117"/>
      <c r="L978" s="463"/>
      <c r="M978" s="108"/>
      <c r="N978" s="108"/>
      <c r="O978" s="108"/>
    </row>
    <row r="979" spans="1:15" ht="31.5" hidden="1" x14ac:dyDescent="0.25">
      <c r="A979" s="31" t="s">
        <v>131</v>
      </c>
      <c r="B979" s="452">
        <v>908</v>
      </c>
      <c r="C979" s="461" t="s">
        <v>234</v>
      </c>
      <c r="D979" s="461" t="s">
        <v>213</v>
      </c>
      <c r="E979" s="454" t="s">
        <v>972</v>
      </c>
      <c r="F979" s="461" t="s">
        <v>132</v>
      </c>
      <c r="G979" s="459">
        <f>G980</f>
        <v>0</v>
      </c>
      <c r="H979" s="459">
        <f t="shared" si="459"/>
        <v>0</v>
      </c>
      <c r="I979" s="455" t="e">
        <f t="shared" si="457"/>
        <v>#DIV/0!</v>
      </c>
      <c r="J979" s="478"/>
      <c r="K979" s="117"/>
      <c r="L979" s="463"/>
      <c r="M979" s="108"/>
      <c r="N979" s="108"/>
      <c r="O979" s="108"/>
    </row>
    <row r="980" spans="1:15" ht="31.5" hidden="1" x14ac:dyDescent="0.25">
      <c r="A980" s="31" t="s">
        <v>133</v>
      </c>
      <c r="B980" s="452">
        <v>908</v>
      </c>
      <c r="C980" s="461" t="s">
        <v>234</v>
      </c>
      <c r="D980" s="461" t="s">
        <v>213</v>
      </c>
      <c r="E980" s="454" t="s">
        <v>972</v>
      </c>
      <c r="F980" s="461" t="s">
        <v>134</v>
      </c>
      <c r="G980" s="451"/>
      <c r="H980" s="451"/>
      <c r="I980" s="455" t="e">
        <f t="shared" si="457"/>
        <v>#DIV/0!</v>
      </c>
      <c r="J980" s="478"/>
      <c r="K980" s="117"/>
      <c r="L980" s="463"/>
      <c r="M980" s="108"/>
      <c r="N980" s="108"/>
      <c r="O980" s="108"/>
    </row>
    <row r="981" spans="1:15" s="201" customFormat="1" ht="31.5" x14ac:dyDescent="0.25">
      <c r="A981" s="58" t="s">
        <v>973</v>
      </c>
      <c r="B981" s="453">
        <v>908</v>
      </c>
      <c r="C981" s="7" t="s">
        <v>234</v>
      </c>
      <c r="D981" s="7" t="s">
        <v>213</v>
      </c>
      <c r="E981" s="457" t="s">
        <v>974</v>
      </c>
      <c r="F981" s="7"/>
      <c r="G981" s="450">
        <f>G982</f>
        <v>179.9</v>
      </c>
      <c r="H981" s="450">
        <f t="shared" ref="H981:H983" si="460">H982</f>
        <v>179.011</v>
      </c>
      <c r="I981" s="455">
        <f t="shared" si="457"/>
        <v>99.505836575875477</v>
      </c>
      <c r="J981" s="478"/>
      <c r="K981" s="117"/>
      <c r="L981" s="463"/>
      <c r="M981" s="108"/>
      <c r="N981" s="108"/>
      <c r="O981" s="108"/>
    </row>
    <row r="982" spans="1:15" ht="15.75" x14ac:dyDescent="0.25">
      <c r="A982" s="45" t="s">
        <v>527</v>
      </c>
      <c r="B982" s="452">
        <v>908</v>
      </c>
      <c r="C982" s="461" t="s">
        <v>234</v>
      </c>
      <c r="D982" s="461" t="s">
        <v>213</v>
      </c>
      <c r="E982" s="454" t="s">
        <v>975</v>
      </c>
      <c r="F982" s="461"/>
      <c r="G982" s="459">
        <f>G983</f>
        <v>179.9</v>
      </c>
      <c r="H982" s="459">
        <f t="shared" si="460"/>
        <v>179.011</v>
      </c>
      <c r="I982" s="459">
        <f t="shared" si="457"/>
        <v>99.505836575875477</v>
      </c>
      <c r="J982" s="478"/>
      <c r="K982" s="117"/>
      <c r="L982" s="463"/>
      <c r="M982" s="108"/>
      <c r="N982" s="108"/>
      <c r="O982" s="108"/>
    </row>
    <row r="983" spans="1:15" ht="31.5" x14ac:dyDescent="0.25">
      <c r="A983" s="31" t="s">
        <v>131</v>
      </c>
      <c r="B983" s="452">
        <v>908</v>
      </c>
      <c r="C983" s="461" t="s">
        <v>234</v>
      </c>
      <c r="D983" s="461" t="s">
        <v>213</v>
      </c>
      <c r="E983" s="454" t="s">
        <v>975</v>
      </c>
      <c r="F983" s="461" t="s">
        <v>132</v>
      </c>
      <c r="G983" s="459">
        <f>G984</f>
        <v>179.9</v>
      </c>
      <c r="H983" s="459">
        <f t="shared" si="460"/>
        <v>179.011</v>
      </c>
      <c r="I983" s="459">
        <f t="shared" si="457"/>
        <v>99.505836575875477</v>
      </c>
      <c r="J983" s="478"/>
      <c r="K983" s="117"/>
      <c r="L983" s="463"/>
      <c r="M983" s="108"/>
      <c r="N983" s="108"/>
      <c r="O983" s="108"/>
    </row>
    <row r="984" spans="1:15" ht="31.5" x14ac:dyDescent="0.25">
      <c r="A984" s="31" t="s">
        <v>133</v>
      </c>
      <c r="B984" s="452">
        <v>908</v>
      </c>
      <c r="C984" s="461" t="s">
        <v>234</v>
      </c>
      <c r="D984" s="461" t="s">
        <v>213</v>
      </c>
      <c r="E984" s="454" t="s">
        <v>975</v>
      </c>
      <c r="F984" s="461" t="s">
        <v>134</v>
      </c>
      <c r="G984" s="451">
        <v>179.9</v>
      </c>
      <c r="H984" s="451">
        <v>179.011</v>
      </c>
      <c r="I984" s="459">
        <f t="shared" si="457"/>
        <v>99.505836575875477</v>
      </c>
      <c r="J984" s="478"/>
      <c r="K984" s="117"/>
      <c r="L984" s="463"/>
      <c r="M984" s="108"/>
      <c r="N984" s="108"/>
      <c r="O984" s="108"/>
    </row>
    <row r="985" spans="1:15" s="201" customFormat="1" ht="31.7" hidden="1" customHeight="1" x14ac:dyDescent="0.25">
      <c r="A985" s="34" t="s">
        <v>1014</v>
      </c>
      <c r="B985" s="453">
        <v>908</v>
      </c>
      <c r="C985" s="7" t="s">
        <v>234</v>
      </c>
      <c r="D985" s="7" t="s">
        <v>213</v>
      </c>
      <c r="E985" s="457" t="s">
        <v>1015</v>
      </c>
      <c r="F985" s="7"/>
      <c r="G985" s="450">
        <f>G986</f>
        <v>0</v>
      </c>
      <c r="H985" s="450">
        <f t="shared" ref="H985:H987" si="461">H986</f>
        <v>0</v>
      </c>
      <c r="I985" s="455" t="e">
        <f t="shared" si="457"/>
        <v>#DIV/0!</v>
      </c>
      <c r="J985" s="478"/>
      <c r="K985" s="117"/>
      <c r="L985" s="463"/>
      <c r="M985" s="108"/>
      <c r="N985" s="108"/>
      <c r="O985" s="108"/>
    </row>
    <row r="986" spans="1:15" ht="15.75" hidden="1" x14ac:dyDescent="0.25">
      <c r="A986" s="45" t="s">
        <v>529</v>
      </c>
      <c r="B986" s="452">
        <v>908</v>
      </c>
      <c r="C986" s="461" t="s">
        <v>234</v>
      </c>
      <c r="D986" s="461" t="s">
        <v>213</v>
      </c>
      <c r="E986" s="454" t="s">
        <v>1018</v>
      </c>
      <c r="F986" s="461"/>
      <c r="G986" s="459">
        <f>G987</f>
        <v>0</v>
      </c>
      <c r="H986" s="459">
        <f t="shared" si="461"/>
        <v>0</v>
      </c>
      <c r="I986" s="455" t="e">
        <f t="shared" si="457"/>
        <v>#DIV/0!</v>
      </c>
      <c r="J986" s="478"/>
      <c r="K986" s="117"/>
      <c r="L986" s="463"/>
      <c r="M986" s="108"/>
      <c r="N986" s="108"/>
      <c r="O986" s="108"/>
    </row>
    <row r="987" spans="1:15" ht="31.5" hidden="1" x14ac:dyDescent="0.25">
      <c r="A987" s="31" t="s">
        <v>131</v>
      </c>
      <c r="B987" s="452">
        <v>908</v>
      </c>
      <c r="C987" s="461" t="s">
        <v>234</v>
      </c>
      <c r="D987" s="461" t="s">
        <v>213</v>
      </c>
      <c r="E987" s="454" t="s">
        <v>1018</v>
      </c>
      <c r="F987" s="461" t="s">
        <v>132</v>
      </c>
      <c r="G987" s="459">
        <f>G988</f>
        <v>0</v>
      </c>
      <c r="H987" s="459">
        <f t="shared" si="461"/>
        <v>0</v>
      </c>
      <c r="I987" s="455" t="e">
        <f t="shared" si="457"/>
        <v>#DIV/0!</v>
      </c>
      <c r="J987" s="478"/>
      <c r="K987" s="117"/>
      <c r="L987" s="463"/>
      <c r="M987" s="108"/>
      <c r="N987" s="108"/>
      <c r="O987" s="108"/>
    </row>
    <row r="988" spans="1:15" ht="31.5" hidden="1" x14ac:dyDescent="0.25">
      <c r="A988" s="31" t="s">
        <v>133</v>
      </c>
      <c r="B988" s="452">
        <v>908</v>
      </c>
      <c r="C988" s="461" t="s">
        <v>234</v>
      </c>
      <c r="D988" s="461" t="s">
        <v>213</v>
      </c>
      <c r="E988" s="454" t="s">
        <v>1018</v>
      </c>
      <c r="F988" s="461" t="s">
        <v>134</v>
      </c>
      <c r="G988" s="459">
        <v>0</v>
      </c>
      <c r="H988" s="459">
        <v>0</v>
      </c>
      <c r="I988" s="455" t="e">
        <f t="shared" si="457"/>
        <v>#DIV/0!</v>
      </c>
      <c r="J988" s="478"/>
      <c r="K988" s="117"/>
      <c r="L988" s="463"/>
      <c r="M988" s="108"/>
      <c r="N988" s="108"/>
      <c r="O988" s="108"/>
    </row>
    <row r="989" spans="1:15" s="201" customFormat="1" ht="31.5" hidden="1" x14ac:dyDescent="0.25">
      <c r="A989" s="215" t="s">
        <v>1016</v>
      </c>
      <c r="B989" s="453">
        <v>908</v>
      </c>
      <c r="C989" s="7" t="s">
        <v>234</v>
      </c>
      <c r="D989" s="7" t="s">
        <v>213</v>
      </c>
      <c r="E989" s="457" t="s">
        <v>1017</v>
      </c>
      <c r="F989" s="7"/>
      <c r="G989" s="455">
        <f>G990</f>
        <v>0</v>
      </c>
      <c r="H989" s="455">
        <f t="shared" ref="H989:H991" si="462">H990</f>
        <v>0</v>
      </c>
      <c r="I989" s="455" t="e">
        <f t="shared" si="457"/>
        <v>#DIV/0!</v>
      </c>
      <c r="J989" s="478"/>
      <c r="K989" s="117"/>
      <c r="L989" s="463"/>
      <c r="M989" s="108"/>
      <c r="N989" s="108"/>
      <c r="O989" s="108"/>
    </row>
    <row r="990" spans="1:15" ht="21.75" hidden="1" customHeight="1" x14ac:dyDescent="0.25">
      <c r="A990" s="174" t="s">
        <v>531</v>
      </c>
      <c r="B990" s="452">
        <v>908</v>
      </c>
      <c r="C990" s="461" t="s">
        <v>234</v>
      </c>
      <c r="D990" s="461" t="s">
        <v>213</v>
      </c>
      <c r="E990" s="454" t="s">
        <v>1019</v>
      </c>
      <c r="F990" s="461"/>
      <c r="G990" s="459">
        <f>G991</f>
        <v>0</v>
      </c>
      <c r="H990" s="459">
        <f t="shared" si="462"/>
        <v>0</v>
      </c>
      <c r="I990" s="455" t="e">
        <f t="shared" si="457"/>
        <v>#DIV/0!</v>
      </c>
      <c r="J990" s="478"/>
      <c r="K990" s="117"/>
      <c r="L990" s="463"/>
      <c r="M990" s="108"/>
      <c r="N990" s="108"/>
      <c r="O990" s="108"/>
    </row>
    <row r="991" spans="1:15" ht="31.7" hidden="1" customHeight="1" x14ac:dyDescent="0.25">
      <c r="A991" s="31" t="s">
        <v>131</v>
      </c>
      <c r="B991" s="452">
        <v>908</v>
      </c>
      <c r="C991" s="461" t="s">
        <v>234</v>
      </c>
      <c r="D991" s="461" t="s">
        <v>213</v>
      </c>
      <c r="E991" s="454" t="s">
        <v>1019</v>
      </c>
      <c r="F991" s="461" t="s">
        <v>132</v>
      </c>
      <c r="G991" s="459">
        <f>G992</f>
        <v>0</v>
      </c>
      <c r="H991" s="459">
        <f t="shared" si="462"/>
        <v>0</v>
      </c>
      <c r="I991" s="455" t="e">
        <f t="shared" si="457"/>
        <v>#DIV/0!</v>
      </c>
      <c r="J991" s="478"/>
      <c r="K991" s="117"/>
      <c r="L991" s="463"/>
      <c r="M991" s="108"/>
      <c r="N991" s="108"/>
      <c r="O991" s="108"/>
    </row>
    <row r="992" spans="1:15" ht="36" hidden="1" customHeight="1" x14ac:dyDescent="0.25">
      <c r="A992" s="31" t="s">
        <v>133</v>
      </c>
      <c r="B992" s="452">
        <v>908</v>
      </c>
      <c r="C992" s="461" t="s">
        <v>234</v>
      </c>
      <c r="D992" s="461" t="s">
        <v>213</v>
      </c>
      <c r="E992" s="454" t="s">
        <v>1019</v>
      </c>
      <c r="F992" s="461" t="s">
        <v>134</v>
      </c>
      <c r="G992" s="459">
        <v>0</v>
      </c>
      <c r="H992" s="459">
        <v>0</v>
      </c>
      <c r="I992" s="455" t="e">
        <f t="shared" si="457"/>
        <v>#DIV/0!</v>
      </c>
      <c r="J992" s="478"/>
      <c r="K992" s="117"/>
      <c r="L992" s="463"/>
      <c r="M992" s="108"/>
      <c r="N992" s="108"/>
      <c r="O992" s="108"/>
    </row>
    <row r="993" spans="1:15" s="201" customFormat="1" ht="31.7" customHeight="1" x14ac:dyDescent="0.25">
      <c r="A993" s="215" t="s">
        <v>977</v>
      </c>
      <c r="B993" s="453">
        <v>908</v>
      </c>
      <c r="C993" s="7" t="s">
        <v>234</v>
      </c>
      <c r="D993" s="7" t="s">
        <v>213</v>
      </c>
      <c r="E993" s="457" t="s">
        <v>978</v>
      </c>
      <c r="F993" s="7"/>
      <c r="G993" s="455">
        <f>G994</f>
        <v>464.90000000000003</v>
      </c>
      <c r="H993" s="455">
        <f t="shared" ref="H993:H995" si="463">H994</f>
        <v>193.23</v>
      </c>
      <c r="I993" s="455">
        <f t="shared" si="457"/>
        <v>41.563777156377711</v>
      </c>
      <c r="J993" s="478"/>
      <c r="K993" s="117"/>
      <c r="L993" s="463"/>
      <c r="M993" s="108"/>
      <c r="N993" s="108"/>
      <c r="O993" s="108"/>
    </row>
    <row r="994" spans="1:15" ht="15.75" x14ac:dyDescent="0.25">
      <c r="A994" s="174" t="s">
        <v>533</v>
      </c>
      <c r="B994" s="452">
        <v>908</v>
      </c>
      <c r="C994" s="461" t="s">
        <v>234</v>
      </c>
      <c r="D994" s="461" t="s">
        <v>213</v>
      </c>
      <c r="E994" s="454" t="s">
        <v>976</v>
      </c>
      <c r="F994" s="461"/>
      <c r="G994" s="459">
        <f>G995</f>
        <v>464.90000000000003</v>
      </c>
      <c r="H994" s="459">
        <f t="shared" si="463"/>
        <v>193.23</v>
      </c>
      <c r="I994" s="459">
        <f t="shared" si="457"/>
        <v>41.563777156377711</v>
      </c>
      <c r="J994" s="478"/>
      <c r="K994" s="117"/>
      <c r="L994" s="463"/>
    </row>
    <row r="995" spans="1:15" ht="31.5" x14ac:dyDescent="0.25">
      <c r="A995" s="458" t="s">
        <v>131</v>
      </c>
      <c r="B995" s="452">
        <v>908</v>
      </c>
      <c r="C995" s="461" t="s">
        <v>234</v>
      </c>
      <c r="D995" s="461" t="s">
        <v>213</v>
      </c>
      <c r="E995" s="454" t="s">
        <v>976</v>
      </c>
      <c r="F995" s="461" t="s">
        <v>132</v>
      </c>
      <c r="G995" s="459">
        <f>G996</f>
        <v>464.90000000000003</v>
      </c>
      <c r="H995" s="459">
        <f t="shared" si="463"/>
        <v>193.23</v>
      </c>
      <c r="I995" s="459">
        <f t="shared" si="457"/>
        <v>41.563777156377711</v>
      </c>
      <c r="J995" s="478"/>
      <c r="K995" s="117"/>
      <c r="L995" s="201"/>
    </row>
    <row r="996" spans="1:15" ht="31.5" x14ac:dyDescent="0.25">
      <c r="A996" s="458" t="s">
        <v>133</v>
      </c>
      <c r="B996" s="452">
        <v>908</v>
      </c>
      <c r="C996" s="461" t="s">
        <v>234</v>
      </c>
      <c r="D996" s="461" t="s">
        <v>213</v>
      </c>
      <c r="E996" s="454" t="s">
        <v>976</v>
      </c>
      <c r="F996" s="461" t="s">
        <v>134</v>
      </c>
      <c r="G996" s="459">
        <f>110+161.6+161.6+31.7</f>
        <v>464.90000000000003</v>
      </c>
      <c r="H996" s="459">
        <v>193.23</v>
      </c>
      <c r="I996" s="459">
        <f t="shared" si="457"/>
        <v>41.563777156377711</v>
      </c>
      <c r="J996" s="478"/>
      <c r="K996" s="117"/>
      <c r="L996" s="201"/>
    </row>
    <row r="997" spans="1:15" s="201" customFormat="1" ht="31.5" hidden="1" x14ac:dyDescent="0.25">
      <c r="A997" s="456" t="s">
        <v>1536</v>
      </c>
      <c r="B997" s="453">
        <v>908</v>
      </c>
      <c r="C997" s="7" t="s">
        <v>234</v>
      </c>
      <c r="D997" s="7" t="s">
        <v>213</v>
      </c>
      <c r="E997" s="457" t="s">
        <v>1142</v>
      </c>
      <c r="F997" s="7"/>
      <c r="G997" s="455">
        <f>G998</f>
        <v>0</v>
      </c>
      <c r="H997" s="455">
        <f t="shared" ref="H997:H1000" si="464">H998</f>
        <v>0</v>
      </c>
      <c r="I997" s="455" t="e">
        <f t="shared" si="457"/>
        <v>#DIV/0!</v>
      </c>
      <c r="J997" s="478"/>
      <c r="K997" s="117"/>
    </row>
    <row r="998" spans="1:15" s="201" customFormat="1" ht="31.5" hidden="1" x14ac:dyDescent="0.25">
      <c r="A998" s="456" t="s">
        <v>1143</v>
      </c>
      <c r="B998" s="453">
        <v>908</v>
      </c>
      <c r="C998" s="7" t="s">
        <v>234</v>
      </c>
      <c r="D998" s="7" t="s">
        <v>213</v>
      </c>
      <c r="E998" s="457" t="s">
        <v>1144</v>
      </c>
      <c r="F998" s="7"/>
      <c r="G998" s="455">
        <f>G999</f>
        <v>0</v>
      </c>
      <c r="H998" s="455">
        <f t="shared" si="464"/>
        <v>0</v>
      </c>
      <c r="I998" s="455" t="e">
        <f t="shared" si="457"/>
        <v>#DIV/0!</v>
      </c>
      <c r="J998" s="478"/>
      <c r="K998" s="117"/>
    </row>
    <row r="999" spans="1:15" s="201" customFormat="1" ht="15.75" hidden="1" x14ac:dyDescent="0.25">
      <c r="A999" s="458" t="s">
        <v>537</v>
      </c>
      <c r="B999" s="452">
        <v>908</v>
      </c>
      <c r="C999" s="461" t="s">
        <v>234</v>
      </c>
      <c r="D999" s="461" t="s">
        <v>213</v>
      </c>
      <c r="E999" s="454" t="s">
        <v>1145</v>
      </c>
      <c r="F999" s="461"/>
      <c r="G999" s="459">
        <f>G1000</f>
        <v>0</v>
      </c>
      <c r="H999" s="459">
        <f t="shared" si="464"/>
        <v>0</v>
      </c>
      <c r="I999" s="455" t="e">
        <f t="shared" si="457"/>
        <v>#DIV/0!</v>
      </c>
      <c r="J999" s="478"/>
      <c r="K999" s="117"/>
    </row>
    <row r="1000" spans="1:15" s="201" customFormat="1" ht="31.5" hidden="1" x14ac:dyDescent="0.25">
      <c r="A1000" s="458" t="s">
        <v>131</v>
      </c>
      <c r="B1000" s="452">
        <v>908</v>
      </c>
      <c r="C1000" s="461" t="s">
        <v>234</v>
      </c>
      <c r="D1000" s="461" t="s">
        <v>213</v>
      </c>
      <c r="E1000" s="454" t="s">
        <v>1145</v>
      </c>
      <c r="F1000" s="461" t="s">
        <v>132</v>
      </c>
      <c r="G1000" s="459">
        <f>G1001</f>
        <v>0</v>
      </c>
      <c r="H1000" s="459">
        <f t="shared" si="464"/>
        <v>0</v>
      </c>
      <c r="I1000" s="455" t="e">
        <f t="shared" si="457"/>
        <v>#DIV/0!</v>
      </c>
      <c r="J1000" s="478"/>
      <c r="K1000" s="117"/>
    </row>
    <row r="1001" spans="1:15" s="201" customFormat="1" ht="31.5" hidden="1" x14ac:dyDescent="0.25">
      <c r="A1001" s="458" t="s">
        <v>133</v>
      </c>
      <c r="B1001" s="452">
        <v>908</v>
      </c>
      <c r="C1001" s="461" t="s">
        <v>234</v>
      </c>
      <c r="D1001" s="461" t="s">
        <v>213</v>
      </c>
      <c r="E1001" s="454" t="s">
        <v>1145</v>
      </c>
      <c r="F1001" s="461" t="s">
        <v>134</v>
      </c>
      <c r="G1001" s="367">
        <f>235-235</f>
        <v>0</v>
      </c>
      <c r="H1001" s="367">
        <f t="shared" ref="H1001" si="465">235-235</f>
        <v>0</v>
      </c>
      <c r="I1001" s="455" t="e">
        <f t="shared" si="457"/>
        <v>#DIV/0!</v>
      </c>
      <c r="J1001" s="478"/>
      <c r="K1001" s="117"/>
    </row>
    <row r="1002" spans="1:15" ht="15.75" x14ac:dyDescent="0.25">
      <c r="A1002" s="456" t="s">
        <v>541</v>
      </c>
      <c r="B1002" s="453">
        <v>908</v>
      </c>
      <c r="C1002" s="457" t="s">
        <v>234</v>
      </c>
      <c r="D1002" s="457" t="s">
        <v>215</v>
      </c>
      <c r="E1002" s="457"/>
      <c r="F1002" s="457"/>
      <c r="G1002" s="455">
        <f>G1003+G1008+G1055</f>
        <v>36192.410000000003</v>
      </c>
      <c r="H1002" s="455">
        <f t="shared" ref="H1002" si="466">H1003+H1008+H1055</f>
        <v>24445.166000000001</v>
      </c>
      <c r="I1002" s="455">
        <f t="shared" si="457"/>
        <v>67.542244354548359</v>
      </c>
      <c r="J1002" s="478"/>
      <c r="K1002" s="463"/>
      <c r="L1002" s="201"/>
    </row>
    <row r="1003" spans="1:15" s="201" customFormat="1" ht="15.75" x14ac:dyDescent="0.25">
      <c r="A1003" s="456" t="s">
        <v>141</v>
      </c>
      <c r="B1003" s="453">
        <v>908</v>
      </c>
      <c r="C1003" s="457" t="s">
        <v>234</v>
      </c>
      <c r="D1003" s="457" t="s">
        <v>215</v>
      </c>
      <c r="E1003" s="457" t="s">
        <v>866</v>
      </c>
      <c r="F1003" s="457"/>
      <c r="G1003" s="455">
        <f>G1004</f>
        <v>390</v>
      </c>
      <c r="H1003" s="455">
        <f t="shared" ref="H1003:H1006" si="467">H1004</f>
        <v>0</v>
      </c>
      <c r="I1003" s="455">
        <f t="shared" si="457"/>
        <v>0</v>
      </c>
      <c r="J1003" s="478"/>
      <c r="K1003" s="463"/>
    </row>
    <row r="1004" spans="1:15" s="201" customFormat="1" ht="31.5" x14ac:dyDescent="0.25">
      <c r="A1004" s="456" t="s">
        <v>870</v>
      </c>
      <c r="B1004" s="453">
        <v>908</v>
      </c>
      <c r="C1004" s="457" t="s">
        <v>234</v>
      </c>
      <c r="D1004" s="457" t="s">
        <v>215</v>
      </c>
      <c r="E1004" s="457" t="s">
        <v>865</v>
      </c>
      <c r="F1004" s="457"/>
      <c r="G1004" s="455">
        <f>G1005</f>
        <v>390</v>
      </c>
      <c r="H1004" s="455">
        <f t="shared" si="467"/>
        <v>0</v>
      </c>
      <c r="I1004" s="455">
        <f t="shared" si="457"/>
        <v>0</v>
      </c>
      <c r="J1004" s="478"/>
      <c r="K1004" s="463"/>
    </row>
    <row r="1005" spans="1:15" s="201" customFormat="1" ht="15.75" x14ac:dyDescent="0.25">
      <c r="A1005" s="458" t="s">
        <v>564</v>
      </c>
      <c r="B1005" s="452">
        <v>908</v>
      </c>
      <c r="C1005" s="454" t="s">
        <v>234</v>
      </c>
      <c r="D1005" s="454" t="s">
        <v>215</v>
      </c>
      <c r="E1005" s="454" t="s">
        <v>1075</v>
      </c>
      <c r="F1005" s="454"/>
      <c r="G1005" s="459">
        <f>G1006</f>
        <v>390</v>
      </c>
      <c r="H1005" s="459">
        <f t="shared" si="467"/>
        <v>0</v>
      </c>
      <c r="I1005" s="459">
        <f t="shared" si="457"/>
        <v>0</v>
      </c>
      <c r="J1005" s="478"/>
      <c r="K1005" s="463"/>
    </row>
    <row r="1006" spans="1:15" s="201" customFormat="1" ht="31.5" x14ac:dyDescent="0.25">
      <c r="A1006" s="458" t="s">
        <v>131</v>
      </c>
      <c r="B1006" s="452">
        <v>908</v>
      </c>
      <c r="C1006" s="454" t="s">
        <v>234</v>
      </c>
      <c r="D1006" s="454" t="s">
        <v>215</v>
      </c>
      <c r="E1006" s="454" t="s">
        <v>1075</v>
      </c>
      <c r="F1006" s="454" t="s">
        <v>132</v>
      </c>
      <c r="G1006" s="459">
        <f>G1007</f>
        <v>390</v>
      </c>
      <c r="H1006" s="459">
        <f t="shared" si="467"/>
        <v>0</v>
      </c>
      <c r="I1006" s="459">
        <f t="shared" si="457"/>
        <v>0</v>
      </c>
      <c r="J1006" s="478"/>
      <c r="K1006" s="117"/>
    </row>
    <row r="1007" spans="1:15" s="201" customFormat="1" ht="31.5" x14ac:dyDescent="0.25">
      <c r="A1007" s="458" t="s">
        <v>133</v>
      </c>
      <c r="B1007" s="452">
        <v>908</v>
      </c>
      <c r="C1007" s="454" t="s">
        <v>234</v>
      </c>
      <c r="D1007" s="454" t="s">
        <v>215</v>
      </c>
      <c r="E1007" s="454" t="s">
        <v>1075</v>
      </c>
      <c r="F1007" s="454" t="s">
        <v>134</v>
      </c>
      <c r="G1007" s="27">
        <f>390+1000-1000</f>
        <v>390</v>
      </c>
      <c r="H1007" s="27">
        <v>0</v>
      </c>
      <c r="I1007" s="459">
        <f t="shared" si="457"/>
        <v>0</v>
      </c>
      <c r="J1007" s="478"/>
      <c r="K1007" s="463"/>
    </row>
    <row r="1008" spans="1:15" ht="34.5" customHeight="1" x14ac:dyDescent="0.25">
      <c r="A1008" s="456" t="s">
        <v>1365</v>
      </c>
      <c r="B1008" s="453">
        <v>908</v>
      </c>
      <c r="C1008" s="457" t="s">
        <v>234</v>
      </c>
      <c r="D1008" s="457" t="s">
        <v>215</v>
      </c>
      <c r="E1008" s="457" t="s">
        <v>543</v>
      </c>
      <c r="F1008" s="457"/>
      <c r="G1008" s="455">
        <f>G1009+G1040+G1013+G1047+G1051</f>
        <v>11436.9</v>
      </c>
      <c r="H1008" s="455">
        <f t="shared" ref="H1008" si="468">H1009+H1040+H1013+H1047+H1051</f>
        <v>1636.4529999999997</v>
      </c>
      <c r="I1008" s="455">
        <f t="shared" si="457"/>
        <v>14.308536404095515</v>
      </c>
      <c r="J1008" s="478"/>
      <c r="K1008" s="463"/>
      <c r="L1008" s="201"/>
    </row>
    <row r="1009" spans="1:18" s="201" customFormat="1" ht="35.450000000000003" hidden="1" customHeight="1" x14ac:dyDescent="0.25">
      <c r="A1009" s="456" t="s">
        <v>1435</v>
      </c>
      <c r="B1009" s="453">
        <v>908</v>
      </c>
      <c r="C1009" s="457" t="s">
        <v>234</v>
      </c>
      <c r="D1009" s="457" t="s">
        <v>215</v>
      </c>
      <c r="E1009" s="457" t="s">
        <v>1274</v>
      </c>
      <c r="F1009" s="457"/>
      <c r="G1009" s="455">
        <f>G1010</f>
        <v>0</v>
      </c>
      <c r="H1009" s="455">
        <f t="shared" ref="H1009:H1011" si="469">H1010</f>
        <v>0</v>
      </c>
      <c r="I1009" s="455" t="e">
        <f t="shared" si="457"/>
        <v>#DIV/0!</v>
      </c>
      <c r="J1009" s="478"/>
      <c r="K1009" s="463"/>
    </row>
    <row r="1010" spans="1:18" s="201" customFormat="1" ht="21.2" hidden="1" customHeight="1" x14ac:dyDescent="0.25">
      <c r="A1010" s="309" t="s">
        <v>1436</v>
      </c>
      <c r="B1010" s="452">
        <v>908</v>
      </c>
      <c r="C1010" s="454" t="s">
        <v>234</v>
      </c>
      <c r="D1010" s="454" t="s">
        <v>215</v>
      </c>
      <c r="E1010" s="454" t="s">
        <v>1423</v>
      </c>
      <c r="F1010" s="454"/>
      <c r="G1010" s="459">
        <f>G1011</f>
        <v>0</v>
      </c>
      <c r="H1010" s="459">
        <f t="shared" si="469"/>
        <v>0</v>
      </c>
      <c r="I1010" s="455" t="e">
        <f t="shared" si="457"/>
        <v>#DIV/0!</v>
      </c>
      <c r="J1010" s="478"/>
      <c r="K1010" s="463"/>
    </row>
    <row r="1011" spans="1:18" s="201" customFormat="1" ht="35.450000000000003" hidden="1" customHeight="1" x14ac:dyDescent="0.25">
      <c r="A1011" s="458" t="s">
        <v>131</v>
      </c>
      <c r="B1011" s="452">
        <v>908</v>
      </c>
      <c r="C1011" s="454" t="s">
        <v>234</v>
      </c>
      <c r="D1011" s="454" t="s">
        <v>215</v>
      </c>
      <c r="E1011" s="454" t="s">
        <v>1423</v>
      </c>
      <c r="F1011" s="454" t="s">
        <v>132</v>
      </c>
      <c r="G1011" s="459">
        <f>G1012</f>
        <v>0</v>
      </c>
      <c r="H1011" s="459">
        <f t="shared" si="469"/>
        <v>0</v>
      </c>
      <c r="I1011" s="455" t="e">
        <f t="shared" si="457"/>
        <v>#DIV/0!</v>
      </c>
      <c r="J1011" s="478"/>
      <c r="K1011" s="463"/>
    </row>
    <row r="1012" spans="1:18" s="201" customFormat="1" ht="35.450000000000003" hidden="1" customHeight="1" x14ac:dyDescent="0.25">
      <c r="A1012" s="458" t="s">
        <v>133</v>
      </c>
      <c r="B1012" s="452">
        <v>908</v>
      </c>
      <c r="C1012" s="454" t="s">
        <v>234</v>
      </c>
      <c r="D1012" s="454" t="s">
        <v>215</v>
      </c>
      <c r="E1012" s="454" t="s">
        <v>1423</v>
      </c>
      <c r="F1012" s="454" t="s">
        <v>134</v>
      </c>
      <c r="G1012" s="459">
        <v>0</v>
      </c>
      <c r="H1012" s="459">
        <v>0</v>
      </c>
      <c r="I1012" s="455" t="e">
        <f t="shared" si="457"/>
        <v>#DIV/0!</v>
      </c>
      <c r="J1012" s="478"/>
      <c r="K1012" s="463"/>
    </row>
    <row r="1013" spans="1:18" s="201" customFormat="1" ht="35.450000000000003" customHeight="1" x14ac:dyDescent="0.25">
      <c r="A1013" s="456" t="s">
        <v>1455</v>
      </c>
      <c r="B1013" s="453">
        <v>908</v>
      </c>
      <c r="C1013" s="457" t="s">
        <v>234</v>
      </c>
      <c r="D1013" s="457" t="s">
        <v>215</v>
      </c>
      <c r="E1013" s="457" t="s">
        <v>1275</v>
      </c>
      <c r="F1013" s="457"/>
      <c r="G1013" s="455">
        <f>G1014+G1017+G1023+G1026+G1029+G1034+G1037</f>
        <v>4419.3</v>
      </c>
      <c r="H1013" s="455">
        <f t="shared" ref="H1013" si="470">H1014+H1017+H1023+H1026+H1029+H1034+H1037</f>
        <v>1464.8719999999998</v>
      </c>
      <c r="I1013" s="455">
        <f t="shared" si="457"/>
        <v>33.147150001131401</v>
      </c>
      <c r="J1013" s="478"/>
      <c r="K1013" s="463"/>
    </row>
    <row r="1014" spans="1:18" ht="19.5" customHeight="1" x14ac:dyDescent="0.25">
      <c r="A1014" s="458" t="s">
        <v>546</v>
      </c>
      <c r="B1014" s="452">
        <v>908</v>
      </c>
      <c r="C1014" s="454" t="s">
        <v>234</v>
      </c>
      <c r="D1014" s="454" t="s">
        <v>215</v>
      </c>
      <c r="E1014" s="454" t="s">
        <v>1434</v>
      </c>
      <c r="F1014" s="454"/>
      <c r="G1014" s="459">
        <f>G1015</f>
        <v>410.29999999999995</v>
      </c>
      <c r="H1014" s="459">
        <f t="shared" ref="H1014:H1015" si="471">H1015</f>
        <v>407.76</v>
      </c>
      <c r="I1014" s="459">
        <f t="shared" si="457"/>
        <v>99.38094077504266</v>
      </c>
      <c r="J1014" s="478"/>
      <c r="K1014" s="463"/>
      <c r="L1014" s="201"/>
    </row>
    <row r="1015" spans="1:18" ht="31.5" x14ac:dyDescent="0.25">
      <c r="A1015" s="458" t="s">
        <v>131</v>
      </c>
      <c r="B1015" s="452">
        <v>908</v>
      </c>
      <c r="C1015" s="454" t="s">
        <v>234</v>
      </c>
      <c r="D1015" s="454" t="s">
        <v>215</v>
      </c>
      <c r="E1015" s="454" t="s">
        <v>1434</v>
      </c>
      <c r="F1015" s="454" t="s">
        <v>132</v>
      </c>
      <c r="G1015" s="459">
        <f>G1016</f>
        <v>410.29999999999995</v>
      </c>
      <c r="H1015" s="459">
        <f t="shared" si="471"/>
        <v>407.76</v>
      </c>
      <c r="I1015" s="459">
        <f t="shared" si="457"/>
        <v>99.38094077504266</v>
      </c>
      <c r="J1015" s="478"/>
      <c r="K1015" s="463"/>
      <c r="L1015" s="201"/>
    </row>
    <row r="1016" spans="1:18" ht="31.5" x14ac:dyDescent="0.25">
      <c r="A1016" s="458" t="s">
        <v>133</v>
      </c>
      <c r="B1016" s="452">
        <v>908</v>
      </c>
      <c r="C1016" s="454" t="s">
        <v>234</v>
      </c>
      <c r="D1016" s="454" t="s">
        <v>215</v>
      </c>
      <c r="E1016" s="454" t="s">
        <v>1434</v>
      </c>
      <c r="F1016" s="454" t="s">
        <v>134</v>
      </c>
      <c r="G1016" s="459">
        <f>365-159.4-115+395.8-88.1+12</f>
        <v>410.29999999999995</v>
      </c>
      <c r="H1016" s="459">
        <v>407.76</v>
      </c>
      <c r="I1016" s="459">
        <f t="shared" si="457"/>
        <v>99.38094077504266</v>
      </c>
      <c r="J1016" s="478"/>
      <c r="K1016" s="463"/>
      <c r="L1016" s="489"/>
    </row>
    <row r="1017" spans="1:18" ht="15.75" x14ac:dyDescent="0.25">
      <c r="A1017" s="458" t="s">
        <v>1087</v>
      </c>
      <c r="B1017" s="452">
        <v>908</v>
      </c>
      <c r="C1017" s="454" t="s">
        <v>234</v>
      </c>
      <c r="D1017" s="454" t="s">
        <v>215</v>
      </c>
      <c r="E1017" s="454" t="s">
        <v>1422</v>
      </c>
      <c r="F1017" s="454"/>
      <c r="G1017" s="459">
        <f>G1018+G1020</f>
        <v>3514</v>
      </c>
      <c r="H1017" s="459">
        <f t="shared" ref="H1017" si="472">H1018+H1020</f>
        <v>742.63699999999994</v>
      </c>
      <c r="I1017" s="459">
        <f t="shared" si="457"/>
        <v>21.133665338645415</v>
      </c>
      <c r="J1017" s="478"/>
      <c r="K1017" s="463"/>
      <c r="L1017" s="201"/>
    </row>
    <row r="1018" spans="1:18" ht="31.5" x14ac:dyDescent="0.25">
      <c r="A1018" s="458" t="s">
        <v>131</v>
      </c>
      <c r="B1018" s="452">
        <v>908</v>
      </c>
      <c r="C1018" s="454" t="s">
        <v>234</v>
      </c>
      <c r="D1018" s="454" t="s">
        <v>215</v>
      </c>
      <c r="E1018" s="454" t="s">
        <v>1422</v>
      </c>
      <c r="F1018" s="454" t="s">
        <v>132</v>
      </c>
      <c r="G1018" s="459">
        <f>G1019</f>
        <v>3514</v>
      </c>
      <c r="H1018" s="459">
        <f t="shared" ref="H1018" si="473">H1019</f>
        <v>742.63699999999994</v>
      </c>
      <c r="I1018" s="459">
        <f t="shared" si="457"/>
        <v>21.133665338645415</v>
      </c>
      <c r="J1018" s="478"/>
      <c r="K1018" s="463"/>
      <c r="L1018" s="201"/>
    </row>
    <row r="1019" spans="1:18" ht="31.5" x14ac:dyDescent="0.25">
      <c r="A1019" s="458" t="s">
        <v>133</v>
      </c>
      <c r="B1019" s="452">
        <v>908</v>
      </c>
      <c r="C1019" s="454" t="s">
        <v>234</v>
      </c>
      <c r="D1019" s="454" t="s">
        <v>215</v>
      </c>
      <c r="E1019" s="454" t="s">
        <v>1422</v>
      </c>
      <c r="F1019" s="454" t="s">
        <v>134</v>
      </c>
      <c r="G1019" s="459">
        <f>1080+158+70+1700-123+105+524</f>
        <v>3514</v>
      </c>
      <c r="H1019" s="459">
        <v>742.63699999999994</v>
      </c>
      <c r="I1019" s="459">
        <f t="shared" si="457"/>
        <v>21.133665338645415</v>
      </c>
      <c r="J1019" s="478"/>
      <c r="K1019" s="463"/>
      <c r="L1019" s="201"/>
      <c r="O1019" s="489"/>
      <c r="P1019" s="201"/>
      <c r="R1019" s="489"/>
    </row>
    <row r="1020" spans="1:18" ht="15.75" hidden="1" x14ac:dyDescent="0.25">
      <c r="A1020" s="458" t="s">
        <v>135</v>
      </c>
      <c r="B1020" s="452">
        <v>908</v>
      </c>
      <c r="C1020" s="454" t="s">
        <v>234</v>
      </c>
      <c r="D1020" s="454" t="s">
        <v>215</v>
      </c>
      <c r="E1020" s="454" t="s">
        <v>1422</v>
      </c>
      <c r="F1020" s="454" t="s">
        <v>145</v>
      </c>
      <c r="G1020" s="459">
        <f>G1022+G1021</f>
        <v>0</v>
      </c>
      <c r="H1020" s="459">
        <f t="shared" ref="H1020" si="474">H1022+H1021</f>
        <v>0</v>
      </c>
      <c r="I1020" s="459" t="e">
        <f t="shared" si="457"/>
        <v>#DIV/0!</v>
      </c>
      <c r="J1020" s="478"/>
      <c r="K1020" s="463"/>
      <c r="L1020" s="201"/>
    </row>
    <row r="1021" spans="1:18" s="201" customFormat="1" ht="32.25" hidden="1" customHeight="1" x14ac:dyDescent="0.25">
      <c r="A1021" s="458" t="s">
        <v>836</v>
      </c>
      <c r="B1021" s="452">
        <v>908</v>
      </c>
      <c r="C1021" s="454" t="s">
        <v>234</v>
      </c>
      <c r="D1021" s="454" t="s">
        <v>215</v>
      </c>
      <c r="E1021" s="454" t="s">
        <v>1422</v>
      </c>
      <c r="F1021" s="454" t="s">
        <v>147</v>
      </c>
      <c r="G1021" s="459">
        <v>0</v>
      </c>
      <c r="H1021" s="459">
        <v>0</v>
      </c>
      <c r="I1021" s="459" t="e">
        <f t="shared" si="457"/>
        <v>#DIV/0!</v>
      </c>
      <c r="J1021" s="478"/>
      <c r="K1021" s="463"/>
    </row>
    <row r="1022" spans="1:18" ht="15.75" hidden="1" x14ac:dyDescent="0.25">
      <c r="A1022" s="458" t="s">
        <v>704</v>
      </c>
      <c r="B1022" s="452">
        <v>908</v>
      </c>
      <c r="C1022" s="454" t="s">
        <v>234</v>
      </c>
      <c r="D1022" s="454" t="s">
        <v>215</v>
      </c>
      <c r="E1022" s="454" t="s">
        <v>1422</v>
      </c>
      <c r="F1022" s="454" t="s">
        <v>138</v>
      </c>
      <c r="G1022" s="459">
        <f>3.4+37.5-40.9</f>
        <v>0</v>
      </c>
      <c r="H1022" s="459">
        <f t="shared" ref="H1022" si="475">3.4+37.5-40.9</f>
        <v>0</v>
      </c>
      <c r="I1022" s="459" t="e">
        <f t="shared" si="457"/>
        <v>#DIV/0!</v>
      </c>
      <c r="J1022" s="478"/>
      <c r="K1022" s="463"/>
      <c r="L1022" s="201"/>
    </row>
    <row r="1023" spans="1:18" ht="15.75" hidden="1" x14ac:dyDescent="0.25">
      <c r="A1023" s="458" t="s">
        <v>550</v>
      </c>
      <c r="B1023" s="452">
        <v>908</v>
      </c>
      <c r="C1023" s="454" t="s">
        <v>234</v>
      </c>
      <c r="D1023" s="454" t="s">
        <v>215</v>
      </c>
      <c r="E1023" s="454" t="s">
        <v>1299</v>
      </c>
      <c r="F1023" s="454"/>
      <c r="G1023" s="459">
        <f>G1024</f>
        <v>0</v>
      </c>
      <c r="H1023" s="459">
        <f t="shared" ref="H1023:H1024" si="476">H1024</f>
        <v>0</v>
      </c>
      <c r="I1023" s="459" t="e">
        <f t="shared" si="457"/>
        <v>#DIV/0!</v>
      </c>
      <c r="J1023" s="478"/>
      <c r="K1023" s="463"/>
      <c r="L1023" s="201"/>
    </row>
    <row r="1024" spans="1:18" ht="31.5" hidden="1" x14ac:dyDescent="0.25">
      <c r="A1024" s="458" t="s">
        <v>131</v>
      </c>
      <c r="B1024" s="452">
        <v>908</v>
      </c>
      <c r="C1024" s="454" t="s">
        <v>234</v>
      </c>
      <c r="D1024" s="454" t="s">
        <v>215</v>
      </c>
      <c r="E1024" s="454" t="s">
        <v>1299</v>
      </c>
      <c r="F1024" s="454" t="s">
        <v>132</v>
      </c>
      <c r="G1024" s="459">
        <f>G1025</f>
        <v>0</v>
      </c>
      <c r="H1024" s="459">
        <f t="shared" si="476"/>
        <v>0</v>
      </c>
      <c r="I1024" s="459" t="e">
        <f t="shared" si="457"/>
        <v>#DIV/0!</v>
      </c>
      <c r="J1024" s="478"/>
      <c r="K1024" s="463"/>
      <c r="L1024" s="201"/>
    </row>
    <row r="1025" spans="1:12" ht="31.5" hidden="1" x14ac:dyDescent="0.25">
      <c r="A1025" s="458" t="s">
        <v>133</v>
      </c>
      <c r="B1025" s="452">
        <v>908</v>
      </c>
      <c r="C1025" s="454" t="s">
        <v>234</v>
      </c>
      <c r="D1025" s="454" t="s">
        <v>215</v>
      </c>
      <c r="E1025" s="454" t="s">
        <v>1299</v>
      </c>
      <c r="F1025" s="454" t="s">
        <v>134</v>
      </c>
      <c r="G1025" s="459">
        <v>0</v>
      </c>
      <c r="H1025" s="459">
        <v>0</v>
      </c>
      <c r="I1025" s="459" t="e">
        <f t="shared" si="457"/>
        <v>#DIV/0!</v>
      </c>
      <c r="J1025" s="478"/>
      <c r="K1025" s="463"/>
      <c r="L1025" s="201"/>
    </row>
    <row r="1026" spans="1:12" ht="15.75" x14ac:dyDescent="0.25">
      <c r="A1026" s="458" t="s">
        <v>555</v>
      </c>
      <c r="B1026" s="452">
        <v>908</v>
      </c>
      <c r="C1026" s="454" t="s">
        <v>234</v>
      </c>
      <c r="D1026" s="454" t="s">
        <v>215</v>
      </c>
      <c r="E1026" s="454" t="s">
        <v>1276</v>
      </c>
      <c r="F1026" s="454"/>
      <c r="G1026" s="459">
        <f>G1027</f>
        <v>50</v>
      </c>
      <c r="H1026" s="459">
        <f t="shared" ref="H1026:H1027" si="477">H1027</f>
        <v>12.6</v>
      </c>
      <c r="I1026" s="459">
        <f t="shared" si="457"/>
        <v>25.2</v>
      </c>
      <c r="J1026" s="478"/>
      <c r="K1026" s="463"/>
      <c r="L1026" s="201"/>
    </row>
    <row r="1027" spans="1:12" ht="31.5" x14ac:dyDescent="0.25">
      <c r="A1027" s="458" t="s">
        <v>131</v>
      </c>
      <c r="B1027" s="452">
        <v>908</v>
      </c>
      <c r="C1027" s="454" t="s">
        <v>234</v>
      </c>
      <c r="D1027" s="454" t="s">
        <v>215</v>
      </c>
      <c r="E1027" s="454" t="s">
        <v>1276</v>
      </c>
      <c r="F1027" s="454" t="s">
        <v>132</v>
      </c>
      <c r="G1027" s="459">
        <f>G1028</f>
        <v>50</v>
      </c>
      <c r="H1027" s="459">
        <f t="shared" si="477"/>
        <v>12.6</v>
      </c>
      <c r="I1027" s="459">
        <f t="shared" si="457"/>
        <v>25.2</v>
      </c>
      <c r="J1027" s="478"/>
      <c r="K1027" s="463"/>
      <c r="L1027" s="201"/>
    </row>
    <row r="1028" spans="1:12" ht="36" customHeight="1" x14ac:dyDescent="0.25">
      <c r="A1028" s="458" t="s">
        <v>133</v>
      </c>
      <c r="B1028" s="452">
        <v>908</v>
      </c>
      <c r="C1028" s="454" t="s">
        <v>234</v>
      </c>
      <c r="D1028" s="454" t="s">
        <v>215</v>
      </c>
      <c r="E1028" s="454" t="s">
        <v>1276</v>
      </c>
      <c r="F1028" s="454" t="s">
        <v>134</v>
      </c>
      <c r="G1028" s="459">
        <v>50</v>
      </c>
      <c r="H1028" s="459">
        <v>12.6</v>
      </c>
      <c r="I1028" s="459">
        <f t="shared" si="457"/>
        <v>25.2</v>
      </c>
      <c r="J1028" s="478"/>
      <c r="K1028" s="463"/>
      <c r="L1028" s="201"/>
    </row>
    <row r="1029" spans="1:12" ht="30.75" customHeight="1" x14ac:dyDescent="0.25">
      <c r="A1029" s="307" t="s">
        <v>1437</v>
      </c>
      <c r="B1029" s="452">
        <v>908</v>
      </c>
      <c r="C1029" s="454" t="s">
        <v>234</v>
      </c>
      <c r="D1029" s="454" t="s">
        <v>215</v>
      </c>
      <c r="E1029" s="454" t="s">
        <v>1277</v>
      </c>
      <c r="F1029" s="454"/>
      <c r="G1029" s="459">
        <f>G1030+G1032</f>
        <v>21</v>
      </c>
      <c r="H1029" s="459">
        <f t="shared" ref="H1029" si="478">H1030+H1032</f>
        <v>20.420000000000002</v>
      </c>
      <c r="I1029" s="459">
        <f t="shared" si="457"/>
        <v>97.238095238095241</v>
      </c>
      <c r="J1029" s="478"/>
      <c r="K1029" s="463"/>
      <c r="L1029" s="201"/>
    </row>
    <row r="1030" spans="1:12" ht="31.5" x14ac:dyDescent="0.25">
      <c r="A1030" s="458" t="s">
        <v>131</v>
      </c>
      <c r="B1030" s="452">
        <v>908</v>
      </c>
      <c r="C1030" s="454" t="s">
        <v>234</v>
      </c>
      <c r="D1030" s="454" t="s">
        <v>215</v>
      </c>
      <c r="E1030" s="454" t="s">
        <v>1277</v>
      </c>
      <c r="F1030" s="454" t="s">
        <v>132</v>
      </c>
      <c r="G1030" s="459">
        <f>G1031</f>
        <v>21</v>
      </c>
      <c r="H1030" s="459">
        <f t="shared" ref="H1030" si="479">H1031</f>
        <v>20.420000000000002</v>
      </c>
      <c r="I1030" s="459">
        <f t="shared" si="457"/>
        <v>97.238095238095241</v>
      </c>
      <c r="J1030" s="478"/>
      <c r="K1030" s="463"/>
      <c r="L1030" s="201"/>
    </row>
    <row r="1031" spans="1:12" ht="31.5" x14ac:dyDescent="0.25">
      <c r="A1031" s="458" t="s">
        <v>133</v>
      </c>
      <c r="B1031" s="452">
        <v>908</v>
      </c>
      <c r="C1031" s="454" t="s">
        <v>234</v>
      </c>
      <c r="D1031" s="454" t="s">
        <v>215</v>
      </c>
      <c r="E1031" s="454" t="s">
        <v>1277</v>
      </c>
      <c r="F1031" s="454" t="s">
        <v>134</v>
      </c>
      <c r="G1031" s="459">
        <f>300-190.6-104.9-4.5+21</f>
        <v>21</v>
      </c>
      <c r="H1031" s="459">
        <v>20.420000000000002</v>
      </c>
      <c r="I1031" s="459">
        <f t="shared" si="457"/>
        <v>97.238095238095241</v>
      </c>
      <c r="J1031" s="478"/>
      <c r="K1031" s="463"/>
      <c r="L1031" s="201"/>
    </row>
    <row r="1032" spans="1:12" s="201" customFormat="1" ht="15.75" hidden="1" x14ac:dyDescent="0.25">
      <c r="A1032" s="458" t="s">
        <v>135</v>
      </c>
      <c r="B1032" s="452">
        <v>908</v>
      </c>
      <c r="C1032" s="454" t="s">
        <v>234</v>
      </c>
      <c r="D1032" s="454" t="s">
        <v>215</v>
      </c>
      <c r="E1032" s="454" t="s">
        <v>1277</v>
      </c>
      <c r="F1032" s="454" t="s">
        <v>145</v>
      </c>
      <c r="G1032" s="459">
        <f>G1033</f>
        <v>0</v>
      </c>
      <c r="H1032" s="459">
        <f t="shared" ref="H1032" si="480">H1033</f>
        <v>0</v>
      </c>
      <c r="I1032" s="459" t="e">
        <f t="shared" si="457"/>
        <v>#DIV/0!</v>
      </c>
      <c r="J1032" s="478"/>
      <c r="K1032" s="463"/>
    </row>
    <row r="1033" spans="1:12" s="201" customFormat="1" ht="15.75" hidden="1" x14ac:dyDescent="0.25">
      <c r="A1033" s="458" t="s">
        <v>704</v>
      </c>
      <c r="B1033" s="452">
        <v>908</v>
      </c>
      <c r="C1033" s="454" t="s">
        <v>234</v>
      </c>
      <c r="D1033" s="454" t="s">
        <v>215</v>
      </c>
      <c r="E1033" s="454" t="s">
        <v>1277</v>
      </c>
      <c r="F1033" s="454" t="s">
        <v>138</v>
      </c>
      <c r="G1033" s="459">
        <f>75-75</f>
        <v>0</v>
      </c>
      <c r="H1033" s="459">
        <f t="shared" ref="H1033" si="481">75-75</f>
        <v>0</v>
      </c>
      <c r="I1033" s="459" t="e">
        <f t="shared" si="457"/>
        <v>#DIV/0!</v>
      </c>
      <c r="J1033" s="478"/>
      <c r="K1033" s="463"/>
    </row>
    <row r="1034" spans="1:12" ht="15.75" hidden="1" x14ac:dyDescent="0.25">
      <c r="A1034" s="45" t="s">
        <v>559</v>
      </c>
      <c r="B1034" s="452">
        <v>908</v>
      </c>
      <c r="C1034" s="454" t="s">
        <v>234</v>
      </c>
      <c r="D1034" s="454" t="s">
        <v>215</v>
      </c>
      <c r="E1034" s="454" t="s">
        <v>1278</v>
      </c>
      <c r="F1034" s="454"/>
      <c r="G1034" s="459">
        <f>G1035</f>
        <v>0</v>
      </c>
      <c r="H1034" s="459">
        <f t="shared" ref="H1034:H1035" si="482">H1035</f>
        <v>0</v>
      </c>
      <c r="I1034" s="459" t="e">
        <f t="shared" si="457"/>
        <v>#DIV/0!</v>
      </c>
      <c r="J1034" s="478"/>
      <c r="K1034" s="463"/>
      <c r="L1034" s="201"/>
    </row>
    <row r="1035" spans="1:12" ht="31.5" hidden="1" x14ac:dyDescent="0.25">
      <c r="A1035" s="458" t="s">
        <v>131</v>
      </c>
      <c r="B1035" s="452">
        <v>908</v>
      </c>
      <c r="C1035" s="454" t="s">
        <v>234</v>
      </c>
      <c r="D1035" s="454" t="s">
        <v>215</v>
      </c>
      <c r="E1035" s="454" t="s">
        <v>1278</v>
      </c>
      <c r="F1035" s="454" t="s">
        <v>132</v>
      </c>
      <c r="G1035" s="459">
        <f>G1036</f>
        <v>0</v>
      </c>
      <c r="H1035" s="459">
        <f t="shared" si="482"/>
        <v>0</v>
      </c>
      <c r="I1035" s="459" t="e">
        <f t="shared" si="457"/>
        <v>#DIV/0!</v>
      </c>
      <c r="J1035" s="478"/>
      <c r="K1035" s="463"/>
      <c r="L1035" s="201"/>
    </row>
    <row r="1036" spans="1:12" ht="31.5" hidden="1" x14ac:dyDescent="0.25">
      <c r="A1036" s="458" t="s">
        <v>133</v>
      </c>
      <c r="B1036" s="452">
        <v>908</v>
      </c>
      <c r="C1036" s="454" t="s">
        <v>234</v>
      </c>
      <c r="D1036" s="454" t="s">
        <v>215</v>
      </c>
      <c r="E1036" s="454" t="s">
        <v>1278</v>
      </c>
      <c r="F1036" s="454" t="s">
        <v>134</v>
      </c>
      <c r="G1036" s="459">
        <v>0</v>
      </c>
      <c r="H1036" s="459">
        <v>0</v>
      </c>
      <c r="I1036" s="459" t="e">
        <f t="shared" ref="I1036:I1099" si="483">H1036/G1036*100</f>
        <v>#DIV/0!</v>
      </c>
      <c r="J1036" s="478"/>
      <c r="K1036" s="463"/>
      <c r="L1036" s="201"/>
    </row>
    <row r="1037" spans="1:12" s="201" customFormat="1" ht="31.5" x14ac:dyDescent="0.25">
      <c r="A1037" s="308" t="s">
        <v>1089</v>
      </c>
      <c r="B1037" s="452">
        <v>908</v>
      </c>
      <c r="C1037" s="454" t="s">
        <v>234</v>
      </c>
      <c r="D1037" s="454" t="s">
        <v>215</v>
      </c>
      <c r="E1037" s="454" t="s">
        <v>1279</v>
      </c>
      <c r="F1037" s="454"/>
      <c r="G1037" s="459">
        <f>G1038</f>
        <v>424</v>
      </c>
      <c r="H1037" s="459">
        <f t="shared" ref="H1037:H1038" si="484">H1038</f>
        <v>281.45499999999998</v>
      </c>
      <c r="I1037" s="459">
        <f t="shared" si="483"/>
        <v>66.380896226415089</v>
      </c>
      <c r="J1037" s="478"/>
      <c r="K1037" s="463"/>
    </row>
    <row r="1038" spans="1:12" s="201" customFormat="1" ht="31.5" x14ac:dyDescent="0.25">
      <c r="A1038" s="458" t="s">
        <v>131</v>
      </c>
      <c r="B1038" s="452">
        <v>908</v>
      </c>
      <c r="C1038" s="454" t="s">
        <v>234</v>
      </c>
      <c r="D1038" s="454" t="s">
        <v>215</v>
      </c>
      <c r="E1038" s="454" t="s">
        <v>1279</v>
      </c>
      <c r="F1038" s="454" t="s">
        <v>132</v>
      </c>
      <c r="G1038" s="459">
        <f>G1039</f>
        <v>424</v>
      </c>
      <c r="H1038" s="459">
        <f t="shared" si="484"/>
        <v>281.45499999999998</v>
      </c>
      <c r="I1038" s="459">
        <f t="shared" si="483"/>
        <v>66.380896226415089</v>
      </c>
      <c r="J1038" s="478"/>
      <c r="K1038" s="463"/>
    </row>
    <row r="1039" spans="1:12" s="201" customFormat="1" ht="31.5" x14ac:dyDescent="0.25">
      <c r="A1039" s="458" t="s">
        <v>133</v>
      </c>
      <c r="B1039" s="452">
        <v>908</v>
      </c>
      <c r="C1039" s="454" t="s">
        <v>234</v>
      </c>
      <c r="D1039" s="454" t="s">
        <v>215</v>
      </c>
      <c r="E1039" s="454" t="s">
        <v>1279</v>
      </c>
      <c r="F1039" s="454" t="s">
        <v>134</v>
      </c>
      <c r="G1039" s="459">
        <f>50+130+244</f>
        <v>424</v>
      </c>
      <c r="H1039" s="459">
        <v>281.45499999999998</v>
      </c>
      <c r="I1039" s="459">
        <f t="shared" si="483"/>
        <v>66.380896226415089</v>
      </c>
      <c r="J1039" s="478"/>
      <c r="K1039" s="463"/>
    </row>
    <row r="1040" spans="1:12" s="201" customFormat="1" ht="31.5" x14ac:dyDescent="0.25">
      <c r="A1040" s="456" t="s">
        <v>891</v>
      </c>
      <c r="B1040" s="453">
        <v>908</v>
      </c>
      <c r="C1040" s="457" t="s">
        <v>234</v>
      </c>
      <c r="D1040" s="457" t="s">
        <v>215</v>
      </c>
      <c r="E1040" s="457" t="s">
        <v>1297</v>
      </c>
      <c r="F1040" s="457"/>
      <c r="G1040" s="455">
        <f>G1041+G1044</f>
        <v>1857.2</v>
      </c>
      <c r="H1040" s="455">
        <f t="shared" ref="H1040" si="485">H1041+H1044</f>
        <v>171.58099999999999</v>
      </c>
      <c r="I1040" s="455">
        <f t="shared" si="483"/>
        <v>9.2386926556105955</v>
      </c>
      <c r="J1040" s="478"/>
      <c r="K1040" s="463"/>
    </row>
    <row r="1041" spans="1:12" s="201" customFormat="1" ht="31.5" hidden="1" x14ac:dyDescent="0.25">
      <c r="A1041" s="458" t="s">
        <v>690</v>
      </c>
      <c r="B1041" s="452">
        <v>908</v>
      </c>
      <c r="C1041" s="454" t="s">
        <v>234</v>
      </c>
      <c r="D1041" s="454" t="s">
        <v>215</v>
      </c>
      <c r="E1041" s="454" t="s">
        <v>1328</v>
      </c>
      <c r="F1041" s="454"/>
      <c r="G1041" s="459">
        <f>G1042</f>
        <v>0</v>
      </c>
      <c r="H1041" s="459">
        <f t="shared" ref="H1041:H1042" si="486">H1042</f>
        <v>0</v>
      </c>
      <c r="I1041" s="455" t="e">
        <f t="shared" si="483"/>
        <v>#DIV/0!</v>
      </c>
      <c r="J1041" s="478"/>
      <c r="K1041" s="463"/>
    </row>
    <row r="1042" spans="1:12" s="201" customFormat="1" ht="31.5" hidden="1" x14ac:dyDescent="0.25">
      <c r="A1042" s="458" t="s">
        <v>131</v>
      </c>
      <c r="B1042" s="452">
        <v>908</v>
      </c>
      <c r="C1042" s="454" t="s">
        <v>234</v>
      </c>
      <c r="D1042" s="454" t="s">
        <v>215</v>
      </c>
      <c r="E1042" s="454" t="s">
        <v>1328</v>
      </c>
      <c r="F1042" s="454" t="s">
        <v>132</v>
      </c>
      <c r="G1042" s="459">
        <f>G1043</f>
        <v>0</v>
      </c>
      <c r="H1042" s="459">
        <f t="shared" si="486"/>
        <v>0</v>
      </c>
      <c r="I1042" s="455" t="e">
        <f t="shared" si="483"/>
        <v>#DIV/0!</v>
      </c>
      <c r="J1042" s="478"/>
      <c r="K1042" s="463"/>
    </row>
    <row r="1043" spans="1:12" s="201" customFormat="1" ht="31.5" hidden="1" x14ac:dyDescent="0.25">
      <c r="A1043" s="458" t="s">
        <v>133</v>
      </c>
      <c r="B1043" s="452">
        <v>908</v>
      </c>
      <c r="C1043" s="454" t="s">
        <v>234</v>
      </c>
      <c r="D1043" s="454" t="s">
        <v>215</v>
      </c>
      <c r="E1043" s="454" t="s">
        <v>1328</v>
      </c>
      <c r="F1043" s="454" t="s">
        <v>134</v>
      </c>
      <c r="G1043" s="459">
        <v>0</v>
      </c>
      <c r="H1043" s="459">
        <v>0</v>
      </c>
      <c r="I1043" s="455" t="e">
        <f t="shared" si="483"/>
        <v>#DIV/0!</v>
      </c>
      <c r="J1043" s="478"/>
      <c r="K1043" s="463"/>
    </row>
    <row r="1044" spans="1:12" s="201" customFormat="1" ht="47.25" x14ac:dyDescent="0.25">
      <c r="A1044" s="458" t="s">
        <v>1071</v>
      </c>
      <c r="B1044" s="452">
        <v>908</v>
      </c>
      <c r="C1044" s="454" t="s">
        <v>234</v>
      </c>
      <c r="D1044" s="454" t="s">
        <v>215</v>
      </c>
      <c r="E1044" s="454" t="s">
        <v>1296</v>
      </c>
      <c r="F1044" s="454"/>
      <c r="G1044" s="459">
        <f>G1045</f>
        <v>1857.2</v>
      </c>
      <c r="H1044" s="459">
        <f t="shared" ref="H1044:H1045" si="487">H1045</f>
        <v>171.58099999999999</v>
      </c>
      <c r="I1044" s="459">
        <f t="shared" si="483"/>
        <v>9.2386926556105955</v>
      </c>
      <c r="J1044" s="478"/>
      <c r="K1044" s="463"/>
    </row>
    <row r="1045" spans="1:12" s="201" customFormat="1" ht="31.5" x14ac:dyDescent="0.25">
      <c r="A1045" s="458" t="s">
        <v>131</v>
      </c>
      <c r="B1045" s="452">
        <v>908</v>
      </c>
      <c r="C1045" s="454" t="s">
        <v>234</v>
      </c>
      <c r="D1045" s="454" t="s">
        <v>215</v>
      </c>
      <c r="E1045" s="454" t="s">
        <v>1296</v>
      </c>
      <c r="F1045" s="454" t="s">
        <v>132</v>
      </c>
      <c r="G1045" s="459">
        <f>G1046</f>
        <v>1857.2</v>
      </c>
      <c r="H1045" s="459">
        <f t="shared" si="487"/>
        <v>171.58099999999999</v>
      </c>
      <c r="I1045" s="459">
        <f t="shared" si="483"/>
        <v>9.2386926556105955</v>
      </c>
      <c r="J1045" s="478"/>
      <c r="K1045" s="463"/>
    </row>
    <row r="1046" spans="1:12" s="201" customFormat="1" ht="31.5" x14ac:dyDescent="0.25">
      <c r="A1046" s="458" t="s">
        <v>133</v>
      </c>
      <c r="B1046" s="452">
        <v>908</v>
      </c>
      <c r="C1046" s="454" t="s">
        <v>234</v>
      </c>
      <c r="D1046" s="454" t="s">
        <v>215</v>
      </c>
      <c r="E1046" s="454" t="s">
        <v>1296</v>
      </c>
      <c r="F1046" s="454" t="s">
        <v>134</v>
      </c>
      <c r="G1046" s="459">
        <v>1857.2</v>
      </c>
      <c r="H1046" s="459">
        <v>171.58099999999999</v>
      </c>
      <c r="I1046" s="459">
        <f t="shared" si="483"/>
        <v>9.2386926556105955</v>
      </c>
      <c r="J1046" s="478"/>
      <c r="K1046" s="463"/>
    </row>
    <row r="1047" spans="1:12" s="201" customFormat="1" ht="31.5" x14ac:dyDescent="0.25">
      <c r="A1047" s="34" t="s">
        <v>1688</v>
      </c>
      <c r="B1047" s="453">
        <v>908</v>
      </c>
      <c r="C1047" s="457" t="s">
        <v>234</v>
      </c>
      <c r="D1047" s="457" t="s">
        <v>215</v>
      </c>
      <c r="E1047" s="457" t="s">
        <v>1689</v>
      </c>
      <c r="F1047" s="457"/>
      <c r="G1047" s="455">
        <f>G1048</f>
        <v>523.20000000000005</v>
      </c>
      <c r="H1047" s="455">
        <f t="shared" ref="H1047:H1049" si="488">H1048</f>
        <v>0</v>
      </c>
      <c r="I1047" s="455">
        <f t="shared" si="483"/>
        <v>0</v>
      </c>
      <c r="J1047" s="478"/>
      <c r="K1047" s="463"/>
    </row>
    <row r="1048" spans="1:12" s="201" customFormat="1" ht="15.75" x14ac:dyDescent="0.25">
      <c r="A1048" s="31" t="s">
        <v>1687</v>
      </c>
      <c r="B1048" s="452">
        <v>908</v>
      </c>
      <c r="C1048" s="454" t="s">
        <v>234</v>
      </c>
      <c r="D1048" s="454" t="s">
        <v>215</v>
      </c>
      <c r="E1048" s="454" t="s">
        <v>1690</v>
      </c>
      <c r="F1048" s="454"/>
      <c r="G1048" s="459">
        <f>G1049</f>
        <v>523.20000000000005</v>
      </c>
      <c r="H1048" s="459">
        <f t="shared" si="488"/>
        <v>0</v>
      </c>
      <c r="I1048" s="459">
        <f t="shared" si="483"/>
        <v>0</v>
      </c>
      <c r="J1048" s="478"/>
      <c r="K1048" s="463"/>
    </row>
    <row r="1049" spans="1:12" s="201" customFormat="1" ht="31.5" x14ac:dyDescent="0.25">
      <c r="A1049" s="458" t="s">
        <v>131</v>
      </c>
      <c r="B1049" s="452">
        <v>908</v>
      </c>
      <c r="C1049" s="454" t="s">
        <v>234</v>
      </c>
      <c r="D1049" s="454" t="s">
        <v>215</v>
      </c>
      <c r="E1049" s="454" t="s">
        <v>1690</v>
      </c>
      <c r="F1049" s="454" t="s">
        <v>132</v>
      </c>
      <c r="G1049" s="459">
        <f>G1050</f>
        <v>523.20000000000005</v>
      </c>
      <c r="H1049" s="459">
        <f t="shared" si="488"/>
        <v>0</v>
      </c>
      <c r="I1049" s="459">
        <f t="shared" si="483"/>
        <v>0</v>
      </c>
      <c r="J1049" s="478"/>
      <c r="K1049" s="463"/>
    </row>
    <row r="1050" spans="1:12" s="201" customFormat="1" ht="31.5" x14ac:dyDescent="0.25">
      <c r="A1050" s="458" t="s">
        <v>133</v>
      </c>
      <c r="B1050" s="452">
        <v>908</v>
      </c>
      <c r="C1050" s="454" t="s">
        <v>234</v>
      </c>
      <c r="D1050" s="454" t="s">
        <v>215</v>
      </c>
      <c r="E1050" s="454" t="s">
        <v>1690</v>
      </c>
      <c r="F1050" s="454" t="s">
        <v>134</v>
      </c>
      <c r="G1050" s="459">
        <f>501.7+21.5</f>
        <v>523.20000000000005</v>
      </c>
      <c r="H1050" s="459">
        <v>0</v>
      </c>
      <c r="I1050" s="459">
        <f t="shared" si="483"/>
        <v>0</v>
      </c>
      <c r="J1050" s="487"/>
      <c r="K1050" s="463"/>
    </row>
    <row r="1051" spans="1:12" s="201" customFormat="1" ht="31.5" x14ac:dyDescent="0.25">
      <c r="A1051" s="34" t="s">
        <v>1720</v>
      </c>
      <c r="B1051" s="453">
        <v>908</v>
      </c>
      <c r="C1051" s="457" t="s">
        <v>234</v>
      </c>
      <c r="D1051" s="457" t="s">
        <v>215</v>
      </c>
      <c r="E1051" s="457" t="s">
        <v>1717</v>
      </c>
      <c r="F1051" s="457"/>
      <c r="G1051" s="455">
        <f>G1052</f>
        <v>4637.2</v>
      </c>
      <c r="H1051" s="455">
        <f t="shared" ref="H1051:H1053" si="489">H1052</f>
        <v>0</v>
      </c>
      <c r="I1051" s="455">
        <f t="shared" si="483"/>
        <v>0</v>
      </c>
      <c r="J1051" s="492"/>
      <c r="K1051" s="463"/>
    </row>
    <row r="1052" spans="1:12" s="201" customFormat="1" ht="31.5" x14ac:dyDescent="0.25">
      <c r="A1052" s="31" t="s">
        <v>1718</v>
      </c>
      <c r="B1052" s="452">
        <v>908</v>
      </c>
      <c r="C1052" s="454" t="s">
        <v>234</v>
      </c>
      <c r="D1052" s="454" t="s">
        <v>215</v>
      </c>
      <c r="E1052" s="454" t="s">
        <v>1731</v>
      </c>
      <c r="F1052" s="454"/>
      <c r="G1052" s="459">
        <f>G1053</f>
        <v>4637.2</v>
      </c>
      <c r="H1052" s="459">
        <f t="shared" si="489"/>
        <v>0</v>
      </c>
      <c r="I1052" s="459">
        <f t="shared" si="483"/>
        <v>0</v>
      </c>
      <c r="J1052" s="492"/>
      <c r="K1052" s="463"/>
    </row>
    <row r="1053" spans="1:12" s="201" customFormat="1" ht="31.5" x14ac:dyDescent="0.25">
      <c r="A1053" s="458" t="s">
        <v>131</v>
      </c>
      <c r="B1053" s="452">
        <v>908</v>
      </c>
      <c r="C1053" s="454" t="s">
        <v>234</v>
      </c>
      <c r="D1053" s="454" t="s">
        <v>215</v>
      </c>
      <c r="E1053" s="454" t="s">
        <v>1731</v>
      </c>
      <c r="F1053" s="454" t="s">
        <v>132</v>
      </c>
      <c r="G1053" s="459">
        <f>G1054</f>
        <v>4637.2</v>
      </c>
      <c r="H1053" s="459">
        <f t="shared" si="489"/>
        <v>0</v>
      </c>
      <c r="I1053" s="459">
        <f t="shared" si="483"/>
        <v>0</v>
      </c>
      <c r="J1053" s="492"/>
      <c r="K1053" s="463"/>
    </row>
    <row r="1054" spans="1:12" s="201" customFormat="1" ht="31.5" x14ac:dyDescent="0.25">
      <c r="A1054" s="458" t="s">
        <v>133</v>
      </c>
      <c r="B1054" s="452">
        <v>908</v>
      </c>
      <c r="C1054" s="454" t="s">
        <v>234</v>
      </c>
      <c r="D1054" s="454" t="s">
        <v>215</v>
      </c>
      <c r="E1054" s="454" t="s">
        <v>1731</v>
      </c>
      <c r="F1054" s="454" t="s">
        <v>134</v>
      </c>
      <c r="G1054" s="459">
        <f>4173.5+463.7</f>
        <v>4637.2</v>
      </c>
      <c r="H1054" s="459">
        <v>0</v>
      </c>
      <c r="I1054" s="459">
        <f t="shared" si="483"/>
        <v>0</v>
      </c>
      <c r="J1054" s="492"/>
      <c r="K1054" s="463"/>
    </row>
    <row r="1055" spans="1:12" ht="51" customHeight="1" x14ac:dyDescent="0.25">
      <c r="A1055" s="456" t="s">
        <v>1632</v>
      </c>
      <c r="B1055" s="453">
        <v>908</v>
      </c>
      <c r="C1055" s="457" t="s">
        <v>234</v>
      </c>
      <c r="D1055" s="457" t="s">
        <v>215</v>
      </c>
      <c r="E1055" s="457" t="s">
        <v>711</v>
      </c>
      <c r="F1055" s="457"/>
      <c r="G1055" s="455">
        <f>G1056+G1060</f>
        <v>24365.510000000002</v>
      </c>
      <c r="H1055" s="455">
        <f t="shared" ref="H1055" si="490">H1056+H1060</f>
        <v>22808.713</v>
      </c>
      <c r="I1055" s="455">
        <f t="shared" si="483"/>
        <v>93.610652927026763</v>
      </c>
      <c r="J1055" s="478"/>
      <c r="K1055" s="463"/>
      <c r="L1055" s="201"/>
    </row>
    <row r="1056" spans="1:12" s="201" customFormat="1" ht="34.5" customHeight="1" x14ac:dyDescent="0.25">
      <c r="A1056" s="456" t="s">
        <v>1067</v>
      </c>
      <c r="B1056" s="453">
        <v>908</v>
      </c>
      <c r="C1056" s="457" t="s">
        <v>234</v>
      </c>
      <c r="D1056" s="457" t="s">
        <v>215</v>
      </c>
      <c r="E1056" s="457" t="s">
        <v>1088</v>
      </c>
      <c r="F1056" s="457"/>
      <c r="G1056" s="455">
        <f>G1057</f>
        <v>22809.004000000001</v>
      </c>
      <c r="H1056" s="455">
        <f t="shared" ref="H1056:H1058" si="491">H1057</f>
        <v>22808.713</v>
      </c>
      <c r="I1056" s="455">
        <f t="shared" si="483"/>
        <v>99.998724188044335</v>
      </c>
      <c r="J1056" s="478"/>
      <c r="K1056" s="463"/>
    </row>
    <row r="1057" spans="1:12" ht="48.75" customHeight="1" x14ac:dyDescent="0.25">
      <c r="A1057" s="80" t="s">
        <v>693</v>
      </c>
      <c r="B1057" s="452">
        <v>908</v>
      </c>
      <c r="C1057" s="454" t="s">
        <v>234</v>
      </c>
      <c r="D1057" s="454" t="s">
        <v>215</v>
      </c>
      <c r="E1057" s="454" t="s">
        <v>835</v>
      </c>
      <c r="F1057" s="454"/>
      <c r="G1057" s="459">
        <f>G1058</f>
        <v>22809.004000000001</v>
      </c>
      <c r="H1057" s="459">
        <f t="shared" si="491"/>
        <v>22808.713</v>
      </c>
      <c r="I1057" s="459">
        <f t="shared" si="483"/>
        <v>99.998724188044335</v>
      </c>
      <c r="J1057" s="478"/>
      <c r="K1057" s="463"/>
      <c r="L1057" s="201"/>
    </row>
    <row r="1058" spans="1:12" ht="31.5" x14ac:dyDescent="0.25">
      <c r="A1058" s="458" t="s">
        <v>131</v>
      </c>
      <c r="B1058" s="452">
        <v>908</v>
      </c>
      <c r="C1058" s="454" t="s">
        <v>234</v>
      </c>
      <c r="D1058" s="454" t="s">
        <v>215</v>
      </c>
      <c r="E1058" s="454" t="s">
        <v>835</v>
      </c>
      <c r="F1058" s="454" t="s">
        <v>132</v>
      </c>
      <c r="G1058" s="459">
        <f>G1059</f>
        <v>22809.004000000001</v>
      </c>
      <c r="H1058" s="459">
        <f t="shared" si="491"/>
        <v>22808.713</v>
      </c>
      <c r="I1058" s="459">
        <f t="shared" si="483"/>
        <v>99.998724188044335</v>
      </c>
      <c r="J1058" s="478"/>
      <c r="K1058" s="463"/>
      <c r="L1058" s="201"/>
    </row>
    <row r="1059" spans="1:12" ht="31.5" x14ac:dyDescent="0.25">
      <c r="A1059" s="458" t="s">
        <v>133</v>
      </c>
      <c r="B1059" s="452">
        <v>908</v>
      </c>
      <c r="C1059" s="454" t="s">
        <v>234</v>
      </c>
      <c r="D1059" s="454" t="s">
        <v>215</v>
      </c>
      <c r="E1059" s="454" t="s">
        <v>835</v>
      </c>
      <c r="F1059" s="454" t="s">
        <v>134</v>
      </c>
      <c r="G1059" s="459">
        <f>500+874+21435.004</f>
        <v>22809.004000000001</v>
      </c>
      <c r="H1059" s="459">
        <v>22808.713</v>
      </c>
      <c r="I1059" s="459">
        <f t="shared" si="483"/>
        <v>99.998724188044335</v>
      </c>
      <c r="J1059" s="478"/>
      <c r="K1059" s="463"/>
      <c r="L1059" s="201"/>
    </row>
    <row r="1060" spans="1:12" s="201" customFormat="1" ht="98.25" customHeight="1" x14ac:dyDescent="0.25">
      <c r="A1060" s="456" t="s">
        <v>1725</v>
      </c>
      <c r="B1060" s="453">
        <v>908</v>
      </c>
      <c r="C1060" s="457" t="s">
        <v>234</v>
      </c>
      <c r="D1060" s="457" t="s">
        <v>215</v>
      </c>
      <c r="E1060" s="457" t="s">
        <v>1726</v>
      </c>
      <c r="F1060" s="457"/>
      <c r="G1060" s="455">
        <f>G1061</f>
        <v>1556.5060000000001</v>
      </c>
      <c r="H1060" s="455">
        <f t="shared" ref="H1060:H1062" si="492">H1061</f>
        <v>0</v>
      </c>
      <c r="I1060" s="455">
        <f t="shared" si="483"/>
        <v>0</v>
      </c>
      <c r="J1060" s="478"/>
      <c r="K1060" s="463"/>
    </row>
    <row r="1061" spans="1:12" s="201" customFormat="1" ht="48.75" customHeight="1" x14ac:dyDescent="0.25">
      <c r="A1061" s="80" t="s">
        <v>693</v>
      </c>
      <c r="B1061" s="452">
        <v>908</v>
      </c>
      <c r="C1061" s="454" t="s">
        <v>234</v>
      </c>
      <c r="D1061" s="454" t="s">
        <v>215</v>
      </c>
      <c r="E1061" s="454" t="s">
        <v>1727</v>
      </c>
      <c r="F1061" s="454"/>
      <c r="G1061" s="459">
        <f>G1062</f>
        <v>1556.5060000000001</v>
      </c>
      <c r="H1061" s="459">
        <f t="shared" si="492"/>
        <v>0</v>
      </c>
      <c r="I1061" s="459">
        <f t="shared" si="483"/>
        <v>0</v>
      </c>
      <c r="J1061" s="478"/>
      <c r="K1061" s="463"/>
    </row>
    <row r="1062" spans="1:12" s="201" customFormat="1" ht="31.5" x14ac:dyDescent="0.25">
      <c r="A1062" s="458" t="s">
        <v>131</v>
      </c>
      <c r="B1062" s="452">
        <v>908</v>
      </c>
      <c r="C1062" s="454" t="s">
        <v>234</v>
      </c>
      <c r="D1062" s="454" t="s">
        <v>215</v>
      </c>
      <c r="E1062" s="454" t="s">
        <v>1727</v>
      </c>
      <c r="F1062" s="454" t="s">
        <v>132</v>
      </c>
      <c r="G1062" s="459">
        <f>G1063</f>
        <v>1556.5060000000001</v>
      </c>
      <c r="H1062" s="459">
        <f t="shared" si="492"/>
        <v>0</v>
      </c>
      <c r="I1062" s="459">
        <f t="shared" si="483"/>
        <v>0</v>
      </c>
      <c r="J1062" s="478"/>
      <c r="K1062" s="463"/>
    </row>
    <row r="1063" spans="1:12" s="201" customFormat="1" ht="31.5" x14ac:dyDescent="0.25">
      <c r="A1063" s="458" t="s">
        <v>133</v>
      </c>
      <c r="B1063" s="452">
        <v>908</v>
      </c>
      <c r="C1063" s="454" t="s">
        <v>234</v>
      </c>
      <c r="D1063" s="454" t="s">
        <v>215</v>
      </c>
      <c r="E1063" s="454" t="s">
        <v>1727</v>
      </c>
      <c r="F1063" s="454" t="s">
        <v>134</v>
      </c>
      <c r="G1063" s="459">
        <v>1556.5060000000001</v>
      </c>
      <c r="H1063" s="459">
        <v>0</v>
      </c>
      <c r="I1063" s="459">
        <f t="shared" si="483"/>
        <v>0</v>
      </c>
      <c r="J1063" s="478"/>
      <c r="K1063" s="463"/>
    </row>
    <row r="1064" spans="1:12" ht="31.5" x14ac:dyDescent="0.25">
      <c r="A1064" s="456" t="s">
        <v>569</v>
      </c>
      <c r="B1064" s="453">
        <v>908</v>
      </c>
      <c r="C1064" s="457" t="s">
        <v>234</v>
      </c>
      <c r="D1064" s="457" t="s">
        <v>234</v>
      </c>
      <c r="E1064" s="457"/>
      <c r="F1064" s="457"/>
      <c r="G1064" s="455">
        <f>G1065+G1077+G1102</f>
        <v>43546.899999999994</v>
      </c>
      <c r="H1064" s="455">
        <f t="shared" ref="H1064" si="493">H1065+H1077+H1102</f>
        <v>33883.18649</v>
      </c>
      <c r="I1064" s="455">
        <f t="shared" si="483"/>
        <v>77.808492659638233</v>
      </c>
      <c r="J1064" s="478"/>
      <c r="K1064" s="463"/>
      <c r="L1064" s="201"/>
    </row>
    <row r="1065" spans="1:12" ht="31.5" x14ac:dyDescent="0.25">
      <c r="A1065" s="456" t="s">
        <v>917</v>
      </c>
      <c r="B1065" s="453">
        <v>908</v>
      </c>
      <c r="C1065" s="457" t="s">
        <v>234</v>
      </c>
      <c r="D1065" s="457" t="s">
        <v>234</v>
      </c>
      <c r="E1065" s="457" t="s">
        <v>858</v>
      </c>
      <c r="F1065" s="457"/>
      <c r="G1065" s="455">
        <f>G1066</f>
        <v>12041.099999999999</v>
      </c>
      <c r="H1065" s="455">
        <f t="shared" ref="H1065" si="494">H1066</f>
        <v>10250.901229999999</v>
      </c>
      <c r="I1065" s="455">
        <f t="shared" si="483"/>
        <v>85.132597769306798</v>
      </c>
      <c r="J1065" s="478"/>
      <c r="K1065" s="463"/>
      <c r="L1065" s="201"/>
    </row>
    <row r="1066" spans="1:12" ht="15.75" x14ac:dyDescent="0.25">
      <c r="A1066" s="456" t="s">
        <v>918</v>
      </c>
      <c r="B1066" s="453">
        <v>908</v>
      </c>
      <c r="C1066" s="457" t="s">
        <v>234</v>
      </c>
      <c r="D1066" s="457" t="s">
        <v>234</v>
      </c>
      <c r="E1066" s="457" t="s">
        <v>859</v>
      </c>
      <c r="F1066" s="457"/>
      <c r="G1066" s="455">
        <f>G1067+G1074</f>
        <v>12041.099999999999</v>
      </c>
      <c r="H1066" s="455">
        <f t="shared" ref="H1066" si="495">H1067+H1074</f>
        <v>10250.901229999999</v>
      </c>
      <c r="I1066" s="455">
        <f t="shared" si="483"/>
        <v>85.132597769306798</v>
      </c>
      <c r="J1066" s="478"/>
      <c r="K1066" s="463"/>
      <c r="L1066" s="201"/>
    </row>
    <row r="1067" spans="1:12" ht="31.9" customHeight="1" x14ac:dyDescent="0.25">
      <c r="A1067" s="458" t="s">
        <v>897</v>
      </c>
      <c r="B1067" s="452">
        <v>908</v>
      </c>
      <c r="C1067" s="454" t="s">
        <v>234</v>
      </c>
      <c r="D1067" s="454" t="s">
        <v>234</v>
      </c>
      <c r="E1067" s="454" t="s">
        <v>860</v>
      </c>
      <c r="F1067" s="454"/>
      <c r="G1067" s="459">
        <f>G1068+G1072+G1070</f>
        <v>11641.999999999998</v>
      </c>
      <c r="H1067" s="459">
        <f t="shared" ref="H1067" si="496">H1068+H1072+H1070</f>
        <v>9851.7623299999996</v>
      </c>
      <c r="I1067" s="459">
        <f t="shared" si="483"/>
        <v>84.622593454732879</v>
      </c>
      <c r="J1067" s="478"/>
      <c r="K1067" s="463"/>
      <c r="L1067" s="201"/>
    </row>
    <row r="1068" spans="1:12" ht="60.75" customHeight="1" x14ac:dyDescent="0.25">
      <c r="A1068" s="458" t="s">
        <v>127</v>
      </c>
      <c r="B1068" s="452">
        <v>908</v>
      </c>
      <c r="C1068" s="454" t="s">
        <v>234</v>
      </c>
      <c r="D1068" s="454" t="s">
        <v>234</v>
      </c>
      <c r="E1068" s="454" t="s">
        <v>860</v>
      </c>
      <c r="F1068" s="454" t="s">
        <v>128</v>
      </c>
      <c r="G1068" s="459">
        <f>G1069</f>
        <v>11571.099999999999</v>
      </c>
      <c r="H1068" s="459">
        <f t="shared" ref="H1068" si="497">H1069</f>
        <v>9823.9831799999993</v>
      </c>
      <c r="I1068" s="459">
        <f t="shared" si="483"/>
        <v>84.901030844085696</v>
      </c>
      <c r="J1068" s="478"/>
      <c r="K1068" s="463"/>
      <c r="L1068" s="201"/>
    </row>
    <row r="1069" spans="1:12" ht="31.5" x14ac:dyDescent="0.25">
      <c r="A1069" s="458" t="s">
        <v>129</v>
      </c>
      <c r="B1069" s="452">
        <v>908</v>
      </c>
      <c r="C1069" s="454" t="s">
        <v>234</v>
      </c>
      <c r="D1069" s="454" t="s">
        <v>234</v>
      </c>
      <c r="E1069" s="454" t="s">
        <v>860</v>
      </c>
      <c r="F1069" s="454" t="s">
        <v>130</v>
      </c>
      <c r="G1069" s="27">
        <f>12439.3-4500-815.5-196.2+3353.5+520-30+800</f>
        <v>11571.099999999999</v>
      </c>
      <c r="H1069" s="27">
        <v>9823.9831799999993</v>
      </c>
      <c r="I1069" s="459">
        <f t="shared" si="483"/>
        <v>84.901030844085696</v>
      </c>
      <c r="J1069" s="478"/>
      <c r="K1069" s="463"/>
      <c r="L1069" s="201"/>
    </row>
    <row r="1070" spans="1:12" ht="31.5" x14ac:dyDescent="0.25">
      <c r="A1070" s="458" t="s">
        <v>131</v>
      </c>
      <c r="B1070" s="452">
        <v>908</v>
      </c>
      <c r="C1070" s="454" t="s">
        <v>234</v>
      </c>
      <c r="D1070" s="454" t="s">
        <v>234</v>
      </c>
      <c r="E1070" s="454" t="s">
        <v>860</v>
      </c>
      <c r="F1070" s="454" t="s">
        <v>132</v>
      </c>
      <c r="G1070" s="459">
        <f>G1071</f>
        <v>25</v>
      </c>
      <c r="H1070" s="459">
        <f t="shared" ref="H1070" si="498">H1071</f>
        <v>0</v>
      </c>
      <c r="I1070" s="459">
        <f t="shared" si="483"/>
        <v>0</v>
      </c>
      <c r="J1070" s="478"/>
      <c r="K1070" s="463"/>
      <c r="L1070" s="201"/>
    </row>
    <row r="1071" spans="1:12" ht="36.75" customHeight="1" x14ac:dyDescent="0.25">
      <c r="A1071" s="458" t="s">
        <v>133</v>
      </c>
      <c r="B1071" s="452">
        <v>908</v>
      </c>
      <c r="C1071" s="454" t="s">
        <v>234</v>
      </c>
      <c r="D1071" s="454" t="s">
        <v>234</v>
      </c>
      <c r="E1071" s="454" t="s">
        <v>860</v>
      </c>
      <c r="F1071" s="454" t="s">
        <v>134</v>
      </c>
      <c r="G1071" s="27">
        <v>25</v>
      </c>
      <c r="H1071" s="27">
        <v>0</v>
      </c>
      <c r="I1071" s="459">
        <f t="shared" si="483"/>
        <v>0</v>
      </c>
      <c r="J1071" s="478"/>
      <c r="K1071" s="463"/>
      <c r="L1071" s="201"/>
    </row>
    <row r="1072" spans="1:12" ht="15.75" x14ac:dyDescent="0.25">
      <c r="A1072" s="458" t="s">
        <v>135</v>
      </c>
      <c r="B1072" s="452">
        <v>908</v>
      </c>
      <c r="C1072" s="454" t="s">
        <v>234</v>
      </c>
      <c r="D1072" s="454" t="s">
        <v>234</v>
      </c>
      <c r="E1072" s="454" t="s">
        <v>860</v>
      </c>
      <c r="F1072" s="454" t="s">
        <v>145</v>
      </c>
      <c r="G1072" s="459">
        <f>G1073</f>
        <v>45.9</v>
      </c>
      <c r="H1072" s="459">
        <f t="shared" ref="H1072" si="499">H1073</f>
        <v>27.779150000000001</v>
      </c>
      <c r="I1072" s="459">
        <f t="shared" si="483"/>
        <v>60.521023965141616</v>
      </c>
      <c r="J1072" s="478"/>
      <c r="K1072" s="463"/>
      <c r="L1072" s="201"/>
    </row>
    <row r="1073" spans="1:20" ht="15.75" x14ac:dyDescent="0.25">
      <c r="A1073" s="458" t="s">
        <v>568</v>
      </c>
      <c r="B1073" s="452">
        <v>908</v>
      </c>
      <c r="C1073" s="454" t="s">
        <v>234</v>
      </c>
      <c r="D1073" s="454" t="s">
        <v>234</v>
      </c>
      <c r="E1073" s="454" t="s">
        <v>860</v>
      </c>
      <c r="F1073" s="454" t="s">
        <v>138</v>
      </c>
      <c r="G1073" s="459">
        <f>47-1.1</f>
        <v>45.9</v>
      </c>
      <c r="H1073" s="459">
        <v>27.779150000000001</v>
      </c>
      <c r="I1073" s="459">
        <f t="shared" si="483"/>
        <v>60.521023965141616</v>
      </c>
      <c r="J1073" s="478"/>
      <c r="K1073" s="463"/>
      <c r="L1073" s="201"/>
    </row>
    <row r="1074" spans="1:20" s="201" customFormat="1" ht="31.5" x14ac:dyDescent="0.25">
      <c r="A1074" s="458" t="s">
        <v>839</v>
      </c>
      <c r="B1074" s="452">
        <v>908</v>
      </c>
      <c r="C1074" s="454" t="s">
        <v>234</v>
      </c>
      <c r="D1074" s="454" t="s">
        <v>234</v>
      </c>
      <c r="E1074" s="454" t="s">
        <v>862</v>
      </c>
      <c r="F1074" s="454"/>
      <c r="G1074" s="459">
        <f>G1075</f>
        <v>399.1</v>
      </c>
      <c r="H1074" s="459">
        <f t="shared" ref="H1074:H1075" si="500">H1075</f>
        <v>399.13889999999998</v>
      </c>
      <c r="I1074" s="459">
        <f t="shared" si="483"/>
        <v>100.00974693059383</v>
      </c>
      <c r="J1074" s="478"/>
      <c r="K1074" s="463"/>
    </row>
    <row r="1075" spans="1:20" s="201" customFormat="1" ht="78.75" x14ac:dyDescent="0.25">
      <c r="A1075" s="458" t="s">
        <v>127</v>
      </c>
      <c r="B1075" s="452">
        <v>908</v>
      </c>
      <c r="C1075" s="454" t="s">
        <v>234</v>
      </c>
      <c r="D1075" s="454" t="s">
        <v>234</v>
      </c>
      <c r="E1075" s="454" t="s">
        <v>862</v>
      </c>
      <c r="F1075" s="454" t="s">
        <v>128</v>
      </c>
      <c r="G1075" s="459">
        <f>G1076</f>
        <v>399.1</v>
      </c>
      <c r="H1075" s="459">
        <f t="shared" si="500"/>
        <v>399.13889999999998</v>
      </c>
      <c r="I1075" s="459">
        <f t="shared" si="483"/>
        <v>100.00974693059383</v>
      </c>
      <c r="J1075" s="478"/>
      <c r="K1075" s="463"/>
    </row>
    <row r="1076" spans="1:20" s="201" customFormat="1" ht="31.5" x14ac:dyDescent="0.25">
      <c r="A1076" s="458" t="s">
        <v>129</v>
      </c>
      <c r="B1076" s="452">
        <v>908</v>
      </c>
      <c r="C1076" s="454" t="s">
        <v>234</v>
      </c>
      <c r="D1076" s="454" t="s">
        <v>234</v>
      </c>
      <c r="E1076" s="454" t="s">
        <v>862</v>
      </c>
      <c r="F1076" s="454" t="s">
        <v>130</v>
      </c>
      <c r="G1076" s="459">
        <f>368+30+1.1</f>
        <v>399.1</v>
      </c>
      <c r="H1076" s="459">
        <v>399.13889999999998</v>
      </c>
      <c r="I1076" s="459">
        <f t="shared" si="483"/>
        <v>100.00974693059383</v>
      </c>
      <c r="J1076" s="478"/>
      <c r="K1076" s="463"/>
    </row>
    <row r="1077" spans="1:20" ht="15.75" x14ac:dyDescent="0.25">
      <c r="A1077" s="456" t="s">
        <v>141</v>
      </c>
      <c r="B1077" s="453">
        <v>908</v>
      </c>
      <c r="C1077" s="457" t="s">
        <v>234</v>
      </c>
      <c r="D1077" s="457" t="s">
        <v>234</v>
      </c>
      <c r="E1077" s="457" t="s">
        <v>866</v>
      </c>
      <c r="F1077" s="457"/>
      <c r="G1077" s="455">
        <f>G1078+G1093</f>
        <v>31505.8</v>
      </c>
      <c r="H1077" s="455">
        <f t="shared" ref="H1077" si="501">H1078+H1093</f>
        <v>23632.285260000001</v>
      </c>
      <c r="I1077" s="455">
        <f t="shared" si="483"/>
        <v>75.009316570282309</v>
      </c>
      <c r="J1077" s="478"/>
      <c r="K1077" s="463"/>
      <c r="L1077" s="201"/>
    </row>
    <row r="1078" spans="1:20" s="201" customFormat="1" ht="31.5" x14ac:dyDescent="0.25">
      <c r="A1078" s="456" t="s">
        <v>870</v>
      </c>
      <c r="B1078" s="453">
        <v>908</v>
      </c>
      <c r="C1078" s="457" t="s">
        <v>234</v>
      </c>
      <c r="D1078" s="457" t="s">
        <v>234</v>
      </c>
      <c r="E1078" s="457" t="s">
        <v>865</v>
      </c>
      <c r="F1078" s="457"/>
      <c r="G1078" s="455">
        <f>G1079+G1088</f>
        <v>21195.8</v>
      </c>
      <c r="H1078" s="455">
        <f t="shared" ref="H1078" si="502">H1079+H1088</f>
        <v>15806.682000000001</v>
      </c>
      <c r="I1078" s="455">
        <f t="shared" si="483"/>
        <v>74.574594966927421</v>
      </c>
      <c r="J1078" s="478"/>
      <c r="K1078" s="463"/>
    </row>
    <row r="1079" spans="1:20" ht="31.5" x14ac:dyDescent="0.25">
      <c r="A1079" s="458" t="s">
        <v>570</v>
      </c>
      <c r="B1079" s="452">
        <v>908</v>
      </c>
      <c r="C1079" s="454" t="s">
        <v>234</v>
      </c>
      <c r="D1079" s="454" t="s">
        <v>234</v>
      </c>
      <c r="E1079" s="454" t="s">
        <v>984</v>
      </c>
      <c r="F1079" s="454"/>
      <c r="G1079" s="27">
        <f>G1082+G1080</f>
        <v>12095.8</v>
      </c>
      <c r="H1079" s="27">
        <f t="shared" ref="H1079" si="503">H1082+H1080</f>
        <v>9706.6820000000007</v>
      </c>
      <c r="I1079" s="459">
        <f t="shared" si="483"/>
        <v>80.248367201838661</v>
      </c>
      <c r="J1079" s="478"/>
      <c r="K1079" s="463"/>
      <c r="L1079" s="201"/>
    </row>
    <row r="1080" spans="1:20" s="201" customFormat="1" ht="15.75" hidden="1" x14ac:dyDescent="0.25">
      <c r="A1080" s="458" t="s">
        <v>1543</v>
      </c>
      <c r="B1080" s="452">
        <v>908</v>
      </c>
      <c r="C1080" s="454" t="s">
        <v>234</v>
      </c>
      <c r="D1080" s="454" t="s">
        <v>234</v>
      </c>
      <c r="E1080" s="454" t="s">
        <v>984</v>
      </c>
      <c r="F1080" s="454" t="s">
        <v>249</v>
      </c>
      <c r="G1080" s="27">
        <f>G1081</f>
        <v>0</v>
      </c>
      <c r="H1080" s="27">
        <f t="shared" ref="H1080" si="504">H1081</f>
        <v>0</v>
      </c>
      <c r="I1080" s="459" t="e">
        <f t="shared" si="483"/>
        <v>#DIV/0!</v>
      </c>
      <c r="J1080" s="478"/>
      <c r="K1080" s="463"/>
    </row>
    <row r="1081" spans="1:20" s="201" customFormat="1" ht="15.75" hidden="1" x14ac:dyDescent="0.25">
      <c r="A1081" s="458" t="s">
        <v>1542</v>
      </c>
      <c r="B1081" s="452">
        <v>908</v>
      </c>
      <c r="C1081" s="454" t="s">
        <v>234</v>
      </c>
      <c r="D1081" s="454" t="s">
        <v>234</v>
      </c>
      <c r="E1081" s="454" t="s">
        <v>984</v>
      </c>
      <c r="F1081" s="454" t="s">
        <v>1544</v>
      </c>
      <c r="G1081" s="27">
        <f>4500-240-240-1748.75-2271.25</f>
        <v>0</v>
      </c>
      <c r="H1081" s="27">
        <f t="shared" ref="H1081" si="505">4500-240-240-1748.75-2271.25</f>
        <v>0</v>
      </c>
      <c r="I1081" s="459" t="e">
        <f t="shared" si="483"/>
        <v>#DIV/0!</v>
      </c>
      <c r="J1081" s="478"/>
      <c r="K1081" s="463"/>
    </row>
    <row r="1082" spans="1:20" ht="15.75" x14ac:dyDescent="0.25">
      <c r="A1082" s="458" t="s">
        <v>135</v>
      </c>
      <c r="B1082" s="452">
        <v>908</v>
      </c>
      <c r="C1082" s="454" t="s">
        <v>234</v>
      </c>
      <c r="D1082" s="454" t="s">
        <v>234</v>
      </c>
      <c r="E1082" s="454" t="s">
        <v>984</v>
      </c>
      <c r="F1082" s="454" t="s">
        <v>145</v>
      </c>
      <c r="G1082" s="27">
        <f>G1083+G1084+G1085</f>
        <v>12095.8</v>
      </c>
      <c r="H1082" s="27">
        <f t="shared" ref="H1082" si="506">H1083+H1084+H1085</f>
        <v>9706.6820000000007</v>
      </c>
      <c r="I1082" s="459">
        <f t="shared" si="483"/>
        <v>80.248367201838661</v>
      </c>
      <c r="J1082" s="478"/>
      <c r="K1082" s="463"/>
      <c r="L1082" s="201"/>
    </row>
    <row r="1083" spans="1:20" ht="47.25" customHeight="1" x14ac:dyDescent="0.25">
      <c r="A1083" s="458" t="s">
        <v>184</v>
      </c>
      <c r="B1083" s="452">
        <v>908</v>
      </c>
      <c r="C1083" s="454" t="s">
        <v>234</v>
      </c>
      <c r="D1083" s="454" t="s">
        <v>234</v>
      </c>
      <c r="E1083" s="454" t="s">
        <v>984</v>
      </c>
      <c r="F1083" s="454" t="s">
        <v>160</v>
      </c>
      <c r="G1083" s="27">
        <f>982</f>
        <v>982</v>
      </c>
      <c r="H1083" s="27">
        <v>695.923</v>
      </c>
      <c r="I1083" s="459">
        <f t="shared" si="483"/>
        <v>70.867922606924651</v>
      </c>
      <c r="J1083" s="478"/>
      <c r="K1083" s="463"/>
      <c r="L1083" s="201"/>
    </row>
    <row r="1084" spans="1:20" s="201" customFormat="1" ht="15.75" x14ac:dyDescent="0.25">
      <c r="A1084" s="458" t="s">
        <v>704</v>
      </c>
      <c r="B1084" s="452">
        <v>908</v>
      </c>
      <c r="C1084" s="454" t="s">
        <v>234</v>
      </c>
      <c r="D1084" s="454" t="s">
        <v>234</v>
      </c>
      <c r="E1084" s="454" t="s">
        <v>984</v>
      </c>
      <c r="F1084" s="454" t="s">
        <v>138</v>
      </c>
      <c r="G1084" s="27">
        <f>240-105+1748.75+2271.25+240+5000-881.2-700+3300</f>
        <v>11113.8</v>
      </c>
      <c r="H1084" s="27">
        <v>9010.759</v>
      </c>
      <c r="I1084" s="459">
        <f t="shared" si="483"/>
        <v>81.077210315103756</v>
      </c>
      <c r="J1084" s="486"/>
      <c r="K1084" s="463"/>
      <c r="L1084" s="489"/>
      <c r="O1084" s="489"/>
      <c r="R1084" s="489"/>
      <c r="T1084" s="489"/>
    </row>
    <row r="1085" spans="1:20" s="201" customFormat="1" ht="15.75" hidden="1" x14ac:dyDescent="0.25">
      <c r="A1085" s="458" t="s">
        <v>1694</v>
      </c>
      <c r="B1085" s="452">
        <v>908</v>
      </c>
      <c r="C1085" s="454" t="s">
        <v>234</v>
      </c>
      <c r="D1085" s="454" t="s">
        <v>234</v>
      </c>
      <c r="E1085" s="454" t="s">
        <v>984</v>
      </c>
      <c r="F1085" s="454" t="s">
        <v>1695</v>
      </c>
      <c r="G1085" s="27">
        <f>240-240</f>
        <v>0</v>
      </c>
      <c r="H1085" s="27">
        <f t="shared" ref="H1085" si="507">240-240</f>
        <v>0</v>
      </c>
      <c r="I1085" s="459" t="e">
        <f t="shared" si="483"/>
        <v>#DIV/0!</v>
      </c>
      <c r="J1085" s="478"/>
      <c r="K1085" s="463"/>
    </row>
    <row r="1086" spans="1:20" s="201" customFormat="1" ht="15.75" hidden="1" x14ac:dyDescent="0.25">
      <c r="A1086" s="458"/>
      <c r="B1086" s="452"/>
      <c r="C1086" s="454"/>
      <c r="D1086" s="454"/>
      <c r="E1086" s="454"/>
      <c r="F1086" s="454"/>
      <c r="G1086" s="27"/>
      <c r="H1086" s="27"/>
      <c r="I1086" s="459" t="e">
        <f t="shared" si="483"/>
        <v>#DIV/0!</v>
      </c>
      <c r="J1086" s="478"/>
      <c r="K1086" s="463"/>
    </row>
    <row r="1087" spans="1:20" s="201" customFormat="1" ht="15.75" hidden="1" x14ac:dyDescent="0.25">
      <c r="A1087" s="458"/>
      <c r="B1087" s="452"/>
      <c r="C1087" s="454"/>
      <c r="D1087" s="454"/>
      <c r="E1087" s="454"/>
      <c r="F1087" s="454"/>
      <c r="G1087" s="27"/>
      <c r="H1087" s="27"/>
      <c r="I1087" s="459" t="e">
        <f t="shared" si="483"/>
        <v>#DIV/0!</v>
      </c>
      <c r="J1087" s="478"/>
      <c r="K1087" s="463"/>
    </row>
    <row r="1088" spans="1:20" s="201" customFormat="1" ht="37.5" customHeight="1" x14ac:dyDescent="0.25">
      <c r="A1088" s="458" t="s">
        <v>1710</v>
      </c>
      <c r="B1088" s="452">
        <v>908</v>
      </c>
      <c r="C1088" s="454" t="s">
        <v>234</v>
      </c>
      <c r="D1088" s="454" t="s">
        <v>234</v>
      </c>
      <c r="E1088" s="454" t="s">
        <v>1711</v>
      </c>
      <c r="F1088" s="454"/>
      <c r="G1088" s="27">
        <f>G1089+G1091</f>
        <v>9100</v>
      </c>
      <c r="H1088" s="27">
        <f t="shared" ref="H1088" si="508">H1089+H1091</f>
        <v>6100</v>
      </c>
      <c r="I1088" s="459">
        <f t="shared" si="483"/>
        <v>67.032967032967022</v>
      </c>
      <c r="J1088" s="478"/>
      <c r="K1088" s="463"/>
    </row>
    <row r="1089" spans="1:12" s="201" customFormat="1" ht="21.75" customHeight="1" x14ac:dyDescent="0.25">
      <c r="A1089" s="458" t="s">
        <v>1713</v>
      </c>
      <c r="B1089" s="452">
        <v>908</v>
      </c>
      <c r="C1089" s="454" t="s">
        <v>234</v>
      </c>
      <c r="D1089" s="454" t="s">
        <v>234</v>
      </c>
      <c r="E1089" s="454" t="s">
        <v>1711</v>
      </c>
      <c r="F1089" s="454" t="s">
        <v>837</v>
      </c>
      <c r="G1089" s="27">
        <f>G1090</f>
        <v>100</v>
      </c>
      <c r="H1089" s="27">
        <f t="shared" ref="H1089" si="509">H1090</f>
        <v>100</v>
      </c>
      <c r="I1089" s="459">
        <f t="shared" si="483"/>
        <v>100</v>
      </c>
      <c r="J1089" s="478"/>
      <c r="K1089" s="463"/>
    </row>
    <row r="1090" spans="1:12" s="201" customFormat="1" ht="35.25" customHeight="1" x14ac:dyDescent="0.25">
      <c r="A1090" s="458" t="s">
        <v>838</v>
      </c>
      <c r="B1090" s="452">
        <v>908</v>
      </c>
      <c r="C1090" s="454" t="s">
        <v>234</v>
      </c>
      <c r="D1090" s="454" t="s">
        <v>234</v>
      </c>
      <c r="E1090" s="454" t="s">
        <v>1711</v>
      </c>
      <c r="F1090" s="454" t="s">
        <v>1714</v>
      </c>
      <c r="G1090" s="27">
        <f>9100-9000</f>
        <v>100</v>
      </c>
      <c r="H1090" s="27">
        <v>100</v>
      </c>
      <c r="I1090" s="459">
        <f t="shared" si="483"/>
        <v>100</v>
      </c>
      <c r="J1090" s="478"/>
      <c r="K1090" s="463"/>
    </row>
    <row r="1091" spans="1:12" s="201" customFormat="1" ht="21.75" customHeight="1" x14ac:dyDescent="0.25">
      <c r="A1091" s="458" t="s">
        <v>135</v>
      </c>
      <c r="B1091" s="452">
        <v>908</v>
      </c>
      <c r="C1091" s="454" t="s">
        <v>234</v>
      </c>
      <c r="D1091" s="454" t="s">
        <v>234</v>
      </c>
      <c r="E1091" s="454" t="s">
        <v>1711</v>
      </c>
      <c r="F1091" s="454" t="s">
        <v>145</v>
      </c>
      <c r="G1091" s="27">
        <f>G1092</f>
        <v>9000</v>
      </c>
      <c r="H1091" s="27">
        <f t="shared" ref="H1091" si="510">H1092</f>
        <v>6000</v>
      </c>
      <c r="I1091" s="459">
        <f t="shared" si="483"/>
        <v>66.666666666666657</v>
      </c>
      <c r="J1091" s="478"/>
      <c r="K1091" s="463"/>
    </row>
    <row r="1092" spans="1:12" s="201" customFormat="1" ht="39.75" customHeight="1" x14ac:dyDescent="0.25">
      <c r="A1092" s="458" t="s">
        <v>184</v>
      </c>
      <c r="B1092" s="452">
        <v>908</v>
      </c>
      <c r="C1092" s="454" t="s">
        <v>234</v>
      </c>
      <c r="D1092" s="454" t="s">
        <v>234</v>
      </c>
      <c r="E1092" s="454" t="s">
        <v>1711</v>
      </c>
      <c r="F1092" s="454" t="s">
        <v>160</v>
      </c>
      <c r="G1092" s="27">
        <v>9000</v>
      </c>
      <c r="H1092" s="27">
        <v>6000</v>
      </c>
      <c r="I1092" s="459">
        <f t="shared" si="483"/>
        <v>66.666666666666657</v>
      </c>
      <c r="J1092" s="478"/>
      <c r="K1092" s="463"/>
    </row>
    <row r="1093" spans="1:12" s="201" customFormat="1" ht="32.65" customHeight="1" x14ac:dyDescent="0.25">
      <c r="A1093" s="456" t="s">
        <v>929</v>
      </c>
      <c r="B1093" s="453">
        <v>908</v>
      </c>
      <c r="C1093" s="457" t="s">
        <v>234</v>
      </c>
      <c r="D1093" s="457" t="s">
        <v>234</v>
      </c>
      <c r="E1093" s="457" t="s">
        <v>914</v>
      </c>
      <c r="F1093" s="457"/>
      <c r="G1093" s="44">
        <f>G1094+G1099</f>
        <v>10310</v>
      </c>
      <c r="H1093" s="44">
        <f t="shared" ref="H1093" si="511">H1094+H1099</f>
        <v>7825.6032599999999</v>
      </c>
      <c r="I1093" s="455">
        <f t="shared" si="483"/>
        <v>75.90303840931135</v>
      </c>
      <c r="J1093" s="478"/>
      <c r="K1093" s="463"/>
    </row>
    <row r="1094" spans="1:12" ht="31.5" x14ac:dyDescent="0.25">
      <c r="A1094" s="458" t="s">
        <v>903</v>
      </c>
      <c r="B1094" s="452">
        <v>908</v>
      </c>
      <c r="C1094" s="454" t="s">
        <v>234</v>
      </c>
      <c r="D1094" s="454" t="s">
        <v>234</v>
      </c>
      <c r="E1094" s="454" t="s">
        <v>915</v>
      </c>
      <c r="F1094" s="454"/>
      <c r="G1094" s="459">
        <f>G1095+G1097</f>
        <v>9712</v>
      </c>
      <c r="H1094" s="459">
        <f t="shared" ref="H1094" si="512">H1095+H1097</f>
        <v>7482.0904499999997</v>
      </c>
      <c r="I1094" s="459">
        <f t="shared" si="483"/>
        <v>77.039646313838546</v>
      </c>
      <c r="J1094" s="478"/>
      <c r="K1094" s="463"/>
      <c r="L1094" s="201"/>
    </row>
    <row r="1095" spans="1:12" ht="69.75" customHeight="1" x14ac:dyDescent="0.25">
      <c r="A1095" s="458" t="s">
        <v>127</v>
      </c>
      <c r="B1095" s="452">
        <v>908</v>
      </c>
      <c r="C1095" s="454" t="s">
        <v>234</v>
      </c>
      <c r="D1095" s="454" t="s">
        <v>234</v>
      </c>
      <c r="E1095" s="454" t="s">
        <v>915</v>
      </c>
      <c r="F1095" s="454" t="s">
        <v>128</v>
      </c>
      <c r="G1095" s="459">
        <f>G1096</f>
        <v>7850.6</v>
      </c>
      <c r="H1095" s="459">
        <f t="shared" ref="H1095" si="513">H1096</f>
        <v>6176.2529100000002</v>
      </c>
      <c r="I1095" s="459">
        <f t="shared" si="483"/>
        <v>78.672367844495966</v>
      </c>
      <c r="J1095" s="478"/>
      <c r="K1095" s="463"/>
      <c r="L1095" s="201"/>
    </row>
    <row r="1096" spans="1:12" ht="29.25" customHeight="1" x14ac:dyDescent="0.25">
      <c r="A1096" s="458" t="s">
        <v>342</v>
      </c>
      <c r="B1096" s="452">
        <v>908</v>
      </c>
      <c r="C1096" s="454" t="s">
        <v>234</v>
      </c>
      <c r="D1096" s="454" t="s">
        <v>234</v>
      </c>
      <c r="E1096" s="454" t="s">
        <v>915</v>
      </c>
      <c r="F1096" s="454" t="s">
        <v>209</v>
      </c>
      <c r="G1096" s="27">
        <f>9193-1342.4</f>
        <v>7850.6</v>
      </c>
      <c r="H1096" s="27">
        <v>6176.2529100000002</v>
      </c>
      <c r="I1096" s="459">
        <f t="shared" si="483"/>
        <v>78.672367844495966</v>
      </c>
      <c r="J1096" s="478"/>
      <c r="K1096" s="463"/>
      <c r="L1096" s="201"/>
    </row>
    <row r="1097" spans="1:12" ht="31.5" x14ac:dyDescent="0.25">
      <c r="A1097" s="458" t="s">
        <v>131</v>
      </c>
      <c r="B1097" s="452">
        <v>908</v>
      </c>
      <c r="C1097" s="454" t="s">
        <v>234</v>
      </c>
      <c r="D1097" s="454" t="s">
        <v>234</v>
      </c>
      <c r="E1097" s="454" t="s">
        <v>915</v>
      </c>
      <c r="F1097" s="454" t="s">
        <v>132</v>
      </c>
      <c r="G1097" s="459">
        <f>G1098</f>
        <v>1861.4</v>
      </c>
      <c r="H1097" s="459">
        <f t="shared" ref="H1097" si="514">H1098</f>
        <v>1305.83754</v>
      </c>
      <c r="I1097" s="459">
        <f t="shared" si="483"/>
        <v>70.153515633394221</v>
      </c>
      <c r="J1097" s="478"/>
      <c r="K1097" s="463"/>
      <c r="L1097" s="201"/>
    </row>
    <row r="1098" spans="1:12" ht="31.5" x14ac:dyDescent="0.25">
      <c r="A1098" s="458" t="s">
        <v>133</v>
      </c>
      <c r="B1098" s="452">
        <v>908</v>
      </c>
      <c r="C1098" s="454" t="s">
        <v>234</v>
      </c>
      <c r="D1098" s="454" t="s">
        <v>234</v>
      </c>
      <c r="E1098" s="454" t="s">
        <v>915</v>
      </c>
      <c r="F1098" s="454" t="s">
        <v>134</v>
      </c>
      <c r="G1098" s="27">
        <f>1592.9+59.3+209.2</f>
        <v>1861.4</v>
      </c>
      <c r="H1098" s="27">
        <v>1305.83754</v>
      </c>
      <c r="I1098" s="459">
        <f t="shared" si="483"/>
        <v>70.153515633394221</v>
      </c>
      <c r="J1098" s="478"/>
      <c r="K1098" s="463"/>
      <c r="L1098" s="201"/>
    </row>
    <row r="1099" spans="1:12" s="201" customFormat="1" ht="31.5" x14ac:dyDescent="0.25">
      <c r="A1099" s="458" t="s">
        <v>839</v>
      </c>
      <c r="B1099" s="452">
        <v>908</v>
      </c>
      <c r="C1099" s="454" t="s">
        <v>234</v>
      </c>
      <c r="D1099" s="454" t="s">
        <v>234</v>
      </c>
      <c r="E1099" s="454" t="s">
        <v>916</v>
      </c>
      <c r="F1099" s="454"/>
      <c r="G1099" s="459">
        <f>G1100</f>
        <v>598</v>
      </c>
      <c r="H1099" s="459">
        <f t="shared" ref="H1099:H1100" si="515">H1100</f>
        <v>343.51281</v>
      </c>
      <c r="I1099" s="459">
        <f t="shared" si="483"/>
        <v>57.443613712374585</v>
      </c>
      <c r="J1099" s="478"/>
      <c r="K1099" s="463"/>
    </row>
    <row r="1100" spans="1:12" s="201" customFormat="1" ht="78.75" x14ac:dyDescent="0.25">
      <c r="A1100" s="458" t="s">
        <v>127</v>
      </c>
      <c r="B1100" s="452">
        <v>908</v>
      </c>
      <c r="C1100" s="454" t="s">
        <v>234</v>
      </c>
      <c r="D1100" s="454" t="s">
        <v>234</v>
      </c>
      <c r="E1100" s="454" t="s">
        <v>916</v>
      </c>
      <c r="F1100" s="454" t="s">
        <v>128</v>
      </c>
      <c r="G1100" s="459">
        <f>G1101</f>
        <v>598</v>
      </c>
      <c r="H1100" s="459">
        <f t="shared" si="515"/>
        <v>343.51281</v>
      </c>
      <c r="I1100" s="459">
        <f t="shared" ref="I1100:I1144" si="516">H1100/G1100*100</f>
        <v>57.443613712374585</v>
      </c>
      <c r="J1100" s="478"/>
      <c r="K1100" s="463"/>
    </row>
    <row r="1101" spans="1:12" s="201" customFormat="1" ht="15.75" x14ac:dyDescent="0.25">
      <c r="A1101" s="458" t="s">
        <v>342</v>
      </c>
      <c r="B1101" s="452">
        <v>908</v>
      </c>
      <c r="C1101" s="454" t="s">
        <v>234</v>
      </c>
      <c r="D1101" s="454" t="s">
        <v>234</v>
      </c>
      <c r="E1101" s="454" t="s">
        <v>916</v>
      </c>
      <c r="F1101" s="454" t="s">
        <v>209</v>
      </c>
      <c r="G1101" s="459">
        <v>598</v>
      </c>
      <c r="H1101" s="459">
        <v>343.51281</v>
      </c>
      <c r="I1101" s="459">
        <f t="shared" si="516"/>
        <v>57.443613712374585</v>
      </c>
      <c r="J1101" s="478"/>
      <c r="K1101" s="463"/>
    </row>
    <row r="1102" spans="1:12" s="201" customFormat="1" ht="47.25" hidden="1" x14ac:dyDescent="0.25">
      <c r="A1102" s="34" t="s">
        <v>1360</v>
      </c>
      <c r="B1102" s="453">
        <v>908</v>
      </c>
      <c r="C1102" s="457" t="s">
        <v>234</v>
      </c>
      <c r="D1102" s="457" t="s">
        <v>234</v>
      </c>
      <c r="E1102" s="457" t="s">
        <v>324</v>
      </c>
      <c r="F1102" s="457"/>
      <c r="G1102" s="455">
        <f>G1103</f>
        <v>0</v>
      </c>
      <c r="H1102" s="455">
        <f t="shared" ref="H1102:H1105" si="517">H1103</f>
        <v>0</v>
      </c>
      <c r="I1102" s="455" t="e">
        <f t="shared" si="516"/>
        <v>#DIV/0!</v>
      </c>
      <c r="J1102" s="478"/>
      <c r="K1102" s="463"/>
    </row>
    <row r="1103" spans="1:12" s="201" customFormat="1" ht="47.25" hidden="1" x14ac:dyDescent="0.25">
      <c r="A1103" s="34" t="s">
        <v>1009</v>
      </c>
      <c r="B1103" s="453">
        <v>908</v>
      </c>
      <c r="C1103" s="457" t="s">
        <v>234</v>
      </c>
      <c r="D1103" s="457" t="s">
        <v>234</v>
      </c>
      <c r="E1103" s="457" t="s">
        <v>934</v>
      </c>
      <c r="F1103" s="457"/>
      <c r="G1103" s="455">
        <f>G1104</f>
        <v>0</v>
      </c>
      <c r="H1103" s="455">
        <f t="shared" si="517"/>
        <v>0</v>
      </c>
      <c r="I1103" s="455" t="e">
        <f t="shared" si="516"/>
        <v>#DIV/0!</v>
      </c>
      <c r="J1103" s="478"/>
      <c r="K1103" s="463"/>
    </row>
    <row r="1104" spans="1:12" s="201" customFormat="1" ht="47.25" hidden="1" x14ac:dyDescent="0.25">
      <c r="A1104" s="31" t="s">
        <v>1081</v>
      </c>
      <c r="B1104" s="452">
        <v>908</v>
      </c>
      <c r="C1104" s="454" t="s">
        <v>234</v>
      </c>
      <c r="D1104" s="454" t="s">
        <v>234</v>
      </c>
      <c r="E1104" s="454" t="s">
        <v>1026</v>
      </c>
      <c r="F1104" s="454"/>
      <c r="G1104" s="459">
        <f>G1105</f>
        <v>0</v>
      </c>
      <c r="H1104" s="459">
        <f t="shared" si="517"/>
        <v>0</v>
      </c>
      <c r="I1104" s="455" t="e">
        <f t="shared" si="516"/>
        <v>#DIV/0!</v>
      </c>
      <c r="J1104" s="478"/>
      <c r="K1104" s="463"/>
    </row>
    <row r="1105" spans="1:12" s="201" customFormat="1" ht="31.5" hidden="1" x14ac:dyDescent="0.25">
      <c r="A1105" s="458" t="s">
        <v>131</v>
      </c>
      <c r="B1105" s="452">
        <v>908</v>
      </c>
      <c r="C1105" s="454" t="s">
        <v>234</v>
      </c>
      <c r="D1105" s="454" t="s">
        <v>234</v>
      </c>
      <c r="E1105" s="454" t="s">
        <v>1026</v>
      </c>
      <c r="F1105" s="454" t="s">
        <v>132</v>
      </c>
      <c r="G1105" s="459">
        <f>G1106</f>
        <v>0</v>
      </c>
      <c r="H1105" s="459">
        <f t="shared" si="517"/>
        <v>0</v>
      </c>
      <c r="I1105" s="455" t="e">
        <f t="shared" si="516"/>
        <v>#DIV/0!</v>
      </c>
      <c r="J1105" s="478"/>
      <c r="K1105" s="463"/>
    </row>
    <row r="1106" spans="1:12" s="201" customFormat="1" ht="31.5" hidden="1" x14ac:dyDescent="0.25">
      <c r="A1106" s="458" t="s">
        <v>133</v>
      </c>
      <c r="B1106" s="452">
        <v>908</v>
      </c>
      <c r="C1106" s="454" t="s">
        <v>234</v>
      </c>
      <c r="D1106" s="454" t="s">
        <v>234</v>
      </c>
      <c r="E1106" s="454" t="s">
        <v>1026</v>
      </c>
      <c r="F1106" s="454" t="s">
        <v>134</v>
      </c>
      <c r="G1106" s="459">
        <v>0</v>
      </c>
      <c r="H1106" s="459">
        <v>0</v>
      </c>
      <c r="I1106" s="455" t="e">
        <f t="shared" si="516"/>
        <v>#DIV/0!</v>
      </c>
      <c r="J1106" s="478"/>
      <c r="K1106" s="463"/>
    </row>
    <row r="1107" spans="1:12" ht="15.75" x14ac:dyDescent="0.25">
      <c r="A1107" s="456" t="s">
        <v>243</v>
      </c>
      <c r="B1107" s="453">
        <v>908</v>
      </c>
      <c r="C1107" s="457" t="s">
        <v>244</v>
      </c>
      <c r="D1107" s="457"/>
      <c r="E1107" s="457"/>
      <c r="F1107" s="457"/>
      <c r="G1107" s="455">
        <f t="shared" ref="G1107:H1113" si="518">G1108</f>
        <v>71</v>
      </c>
      <c r="H1107" s="455">
        <f t="shared" si="518"/>
        <v>0</v>
      </c>
      <c r="I1107" s="455">
        <f t="shared" si="516"/>
        <v>0</v>
      </c>
      <c r="J1107" s="478"/>
      <c r="K1107" s="463"/>
      <c r="L1107" s="201"/>
    </row>
    <row r="1108" spans="1:12" ht="15.75" x14ac:dyDescent="0.25">
      <c r="A1108" s="456" t="s">
        <v>258</v>
      </c>
      <c r="B1108" s="453">
        <v>908</v>
      </c>
      <c r="C1108" s="457" t="s">
        <v>244</v>
      </c>
      <c r="D1108" s="457" t="s">
        <v>120</v>
      </c>
      <c r="E1108" s="457"/>
      <c r="F1108" s="457"/>
      <c r="G1108" s="455">
        <f t="shared" si="518"/>
        <v>71</v>
      </c>
      <c r="H1108" s="455">
        <f t="shared" si="518"/>
        <v>0</v>
      </c>
      <c r="I1108" s="455">
        <f t="shared" si="516"/>
        <v>0</v>
      </c>
      <c r="J1108" s="478"/>
      <c r="K1108" s="463"/>
      <c r="L1108" s="201"/>
    </row>
    <row r="1109" spans="1:12" ht="15.75" x14ac:dyDescent="0.25">
      <c r="A1109" s="456" t="s">
        <v>141</v>
      </c>
      <c r="B1109" s="453">
        <v>908</v>
      </c>
      <c r="C1109" s="457" t="s">
        <v>244</v>
      </c>
      <c r="D1109" s="457" t="s">
        <v>120</v>
      </c>
      <c r="E1109" s="457" t="s">
        <v>866</v>
      </c>
      <c r="F1109" s="457"/>
      <c r="G1109" s="455">
        <f>G1110</f>
        <v>71</v>
      </c>
      <c r="H1109" s="455">
        <f t="shared" si="518"/>
        <v>0</v>
      </c>
      <c r="I1109" s="455">
        <f t="shared" si="516"/>
        <v>0</v>
      </c>
      <c r="J1109" s="478"/>
      <c r="K1109" s="463"/>
      <c r="L1109" s="201"/>
    </row>
    <row r="1110" spans="1:12" ht="15.75" x14ac:dyDescent="0.25">
      <c r="A1110" s="456" t="s">
        <v>141</v>
      </c>
      <c r="B1110" s="453">
        <v>908</v>
      </c>
      <c r="C1110" s="457" t="s">
        <v>244</v>
      </c>
      <c r="D1110" s="457" t="s">
        <v>120</v>
      </c>
      <c r="E1110" s="457" t="s">
        <v>865</v>
      </c>
      <c r="F1110" s="457"/>
      <c r="G1110" s="455">
        <f>G1111</f>
        <v>71</v>
      </c>
      <c r="H1110" s="455">
        <f t="shared" si="518"/>
        <v>0</v>
      </c>
      <c r="I1110" s="455">
        <f t="shared" si="516"/>
        <v>0</v>
      </c>
      <c r="J1110" s="478"/>
      <c r="K1110" s="463"/>
      <c r="L1110" s="201"/>
    </row>
    <row r="1111" spans="1:12" ht="31.5" x14ac:dyDescent="0.25">
      <c r="A1111" s="456" t="s">
        <v>870</v>
      </c>
      <c r="B1111" s="453">
        <v>908</v>
      </c>
      <c r="C1111" s="457" t="s">
        <v>244</v>
      </c>
      <c r="D1111" s="457" t="s">
        <v>120</v>
      </c>
      <c r="E1111" s="457" t="s">
        <v>865</v>
      </c>
      <c r="F1111" s="457"/>
      <c r="G1111" s="455">
        <f>G1112</f>
        <v>71</v>
      </c>
      <c r="H1111" s="455">
        <f t="shared" si="518"/>
        <v>0</v>
      </c>
      <c r="I1111" s="455">
        <f t="shared" si="516"/>
        <v>0</v>
      </c>
      <c r="J1111" s="478"/>
      <c r="K1111" s="463"/>
      <c r="L1111" s="201"/>
    </row>
    <row r="1112" spans="1:12" ht="15.75" x14ac:dyDescent="0.25">
      <c r="A1112" s="458" t="s">
        <v>572</v>
      </c>
      <c r="B1112" s="452">
        <v>908</v>
      </c>
      <c r="C1112" s="454" t="s">
        <v>244</v>
      </c>
      <c r="D1112" s="454" t="s">
        <v>120</v>
      </c>
      <c r="E1112" s="454" t="s">
        <v>985</v>
      </c>
      <c r="F1112" s="454"/>
      <c r="G1112" s="459">
        <f>G1113</f>
        <v>71</v>
      </c>
      <c r="H1112" s="459">
        <f t="shared" si="518"/>
        <v>0</v>
      </c>
      <c r="I1112" s="459">
        <f t="shared" si="516"/>
        <v>0</v>
      </c>
      <c r="J1112" s="478"/>
      <c r="K1112" s="463"/>
      <c r="L1112" s="201"/>
    </row>
    <row r="1113" spans="1:12" ht="31.5" x14ac:dyDescent="0.25">
      <c r="A1113" s="458" t="s">
        <v>131</v>
      </c>
      <c r="B1113" s="452">
        <v>908</v>
      </c>
      <c r="C1113" s="454" t="s">
        <v>244</v>
      </c>
      <c r="D1113" s="454" t="s">
        <v>120</v>
      </c>
      <c r="E1113" s="454" t="s">
        <v>985</v>
      </c>
      <c r="F1113" s="454" t="s">
        <v>132</v>
      </c>
      <c r="G1113" s="459">
        <f>G1114</f>
        <v>71</v>
      </c>
      <c r="H1113" s="459">
        <f t="shared" si="518"/>
        <v>0</v>
      </c>
      <c r="I1113" s="459">
        <f t="shared" si="516"/>
        <v>0</v>
      </c>
      <c r="J1113" s="478"/>
      <c r="K1113" s="463"/>
      <c r="L1113" s="201"/>
    </row>
    <row r="1114" spans="1:12" ht="31.5" x14ac:dyDescent="0.25">
      <c r="A1114" s="458" t="s">
        <v>133</v>
      </c>
      <c r="B1114" s="452">
        <v>908</v>
      </c>
      <c r="C1114" s="454" t="s">
        <v>244</v>
      </c>
      <c r="D1114" s="454" t="s">
        <v>120</v>
      </c>
      <c r="E1114" s="454" t="s">
        <v>985</v>
      </c>
      <c r="F1114" s="454" t="s">
        <v>134</v>
      </c>
      <c r="G1114" s="459">
        <f>87-16</f>
        <v>71</v>
      </c>
      <c r="H1114" s="459">
        <v>0</v>
      </c>
      <c r="I1114" s="459">
        <f t="shared" si="516"/>
        <v>0</v>
      </c>
      <c r="J1114" s="478"/>
      <c r="K1114" s="463"/>
      <c r="L1114" s="201"/>
    </row>
    <row r="1115" spans="1:12" ht="33.950000000000003" customHeight="1" x14ac:dyDescent="0.25">
      <c r="A1115" s="453" t="s">
        <v>574</v>
      </c>
      <c r="B1115" s="453">
        <v>910</v>
      </c>
      <c r="C1115" s="47"/>
      <c r="D1115" s="47"/>
      <c r="E1115" s="47"/>
      <c r="F1115" s="47"/>
      <c r="G1115" s="455">
        <f>G1116</f>
        <v>8120.5</v>
      </c>
      <c r="H1115" s="455">
        <f t="shared" ref="H1115" si="519">H1116</f>
        <v>5919.7920000000004</v>
      </c>
      <c r="I1115" s="455">
        <f t="shared" si="516"/>
        <v>72.899353488085723</v>
      </c>
      <c r="J1115" s="478"/>
      <c r="K1115" s="463"/>
      <c r="L1115" s="201"/>
    </row>
    <row r="1116" spans="1:12" ht="15.75" x14ac:dyDescent="0.25">
      <c r="A1116" s="456" t="s">
        <v>117</v>
      </c>
      <c r="B1116" s="453">
        <v>910</v>
      </c>
      <c r="C1116" s="457" t="s">
        <v>118</v>
      </c>
      <c r="D1116" s="457"/>
      <c r="E1116" s="457"/>
      <c r="F1116" s="457"/>
      <c r="G1116" s="455">
        <f>G1117+G1133</f>
        <v>8120.5</v>
      </c>
      <c r="H1116" s="455">
        <f t="shared" ref="H1116" si="520">H1117+H1133</f>
        <v>5919.7920000000004</v>
      </c>
      <c r="I1116" s="455">
        <f t="shared" si="516"/>
        <v>72.899353488085723</v>
      </c>
      <c r="J1116" s="478"/>
      <c r="K1116" s="463"/>
      <c r="L1116" s="201"/>
    </row>
    <row r="1117" spans="1:12" ht="47.25" customHeight="1" x14ac:dyDescent="0.25">
      <c r="A1117" s="456" t="s">
        <v>578</v>
      </c>
      <c r="B1117" s="453">
        <v>910</v>
      </c>
      <c r="C1117" s="457" t="s">
        <v>118</v>
      </c>
      <c r="D1117" s="457" t="s">
        <v>215</v>
      </c>
      <c r="E1117" s="457"/>
      <c r="F1117" s="457"/>
      <c r="G1117" s="455">
        <f>G1118</f>
        <v>6194</v>
      </c>
      <c r="H1117" s="455">
        <f t="shared" ref="H1117:H1118" si="521">H1118</f>
        <v>4449.1880000000001</v>
      </c>
      <c r="I1117" s="455">
        <f t="shared" si="516"/>
        <v>71.830610268001294</v>
      </c>
      <c r="J1117" s="478"/>
      <c r="K1117" s="463"/>
      <c r="L1117" s="201"/>
    </row>
    <row r="1118" spans="1:12" ht="31.5" x14ac:dyDescent="0.25">
      <c r="A1118" s="456" t="s">
        <v>917</v>
      </c>
      <c r="B1118" s="453">
        <v>910</v>
      </c>
      <c r="C1118" s="457" t="s">
        <v>118</v>
      </c>
      <c r="D1118" s="457" t="s">
        <v>215</v>
      </c>
      <c r="E1118" s="457" t="s">
        <v>858</v>
      </c>
      <c r="F1118" s="457"/>
      <c r="G1118" s="455">
        <f>G1119</f>
        <v>6194</v>
      </c>
      <c r="H1118" s="455">
        <f t="shared" si="521"/>
        <v>4449.1880000000001</v>
      </c>
      <c r="I1118" s="455">
        <f t="shared" si="516"/>
        <v>71.830610268001294</v>
      </c>
      <c r="J1118" s="478"/>
      <c r="K1118" s="463"/>
      <c r="L1118" s="201"/>
    </row>
    <row r="1119" spans="1:12" ht="15.75" x14ac:dyDescent="0.25">
      <c r="A1119" s="456" t="s">
        <v>986</v>
      </c>
      <c r="B1119" s="453">
        <v>910</v>
      </c>
      <c r="C1119" s="457" t="s">
        <v>118</v>
      </c>
      <c r="D1119" s="457" t="s">
        <v>215</v>
      </c>
      <c r="E1119" s="457" t="s">
        <v>987</v>
      </c>
      <c r="F1119" s="457"/>
      <c r="G1119" s="455">
        <f>G1125+G1130+G1120</f>
        <v>6194</v>
      </c>
      <c r="H1119" s="455">
        <f t="shared" ref="H1119" si="522">H1125+H1130+H1120</f>
        <v>4449.1880000000001</v>
      </c>
      <c r="I1119" s="455">
        <f t="shared" si="516"/>
        <v>71.830610268001294</v>
      </c>
      <c r="J1119" s="478"/>
      <c r="K1119" s="463"/>
      <c r="L1119" s="201"/>
    </row>
    <row r="1120" spans="1:12" s="201" customFormat="1" ht="31.5" x14ac:dyDescent="0.25">
      <c r="A1120" s="284" t="s">
        <v>1366</v>
      </c>
      <c r="B1120" s="452">
        <v>910</v>
      </c>
      <c r="C1120" s="454" t="s">
        <v>118</v>
      </c>
      <c r="D1120" s="454" t="s">
        <v>215</v>
      </c>
      <c r="E1120" s="454" t="s">
        <v>1404</v>
      </c>
      <c r="F1120" s="457"/>
      <c r="G1120" s="459">
        <f>G1121+G1123</f>
        <v>4795.6000000000004</v>
      </c>
      <c r="H1120" s="459">
        <f t="shared" ref="H1120" si="523">H1121+H1123</f>
        <v>3406.9190000000003</v>
      </c>
      <c r="I1120" s="459">
        <f t="shared" si="516"/>
        <v>71.042601551422138</v>
      </c>
      <c r="J1120" s="478"/>
      <c r="K1120" s="463"/>
    </row>
    <row r="1121" spans="1:44" s="201" customFormat="1" ht="78.75" x14ac:dyDescent="0.25">
      <c r="A1121" s="458" t="s">
        <v>127</v>
      </c>
      <c r="B1121" s="452">
        <v>910</v>
      </c>
      <c r="C1121" s="454" t="s">
        <v>118</v>
      </c>
      <c r="D1121" s="454" t="s">
        <v>215</v>
      </c>
      <c r="E1121" s="454" t="s">
        <v>1404</v>
      </c>
      <c r="F1121" s="454" t="s">
        <v>128</v>
      </c>
      <c r="G1121" s="459">
        <f>G1122</f>
        <v>4527.6000000000004</v>
      </c>
      <c r="H1121" s="459">
        <f t="shared" ref="H1121" si="524">H1122</f>
        <v>3187.1190000000001</v>
      </c>
      <c r="I1121" s="459">
        <f t="shared" si="516"/>
        <v>70.393122183938502</v>
      </c>
      <c r="J1121" s="478"/>
      <c r="K1121" s="463"/>
    </row>
    <row r="1122" spans="1:44" s="201" customFormat="1" ht="31.5" x14ac:dyDescent="0.25">
      <c r="A1122" s="458" t="s">
        <v>129</v>
      </c>
      <c r="B1122" s="452">
        <v>910</v>
      </c>
      <c r="C1122" s="454" t="s">
        <v>118</v>
      </c>
      <c r="D1122" s="454" t="s">
        <v>215</v>
      </c>
      <c r="E1122" s="454" t="s">
        <v>1404</v>
      </c>
      <c r="F1122" s="454" t="s">
        <v>130</v>
      </c>
      <c r="G1122" s="459">
        <f>4154.6-35+13+300+95</f>
        <v>4527.6000000000004</v>
      </c>
      <c r="H1122" s="459">
        <v>3187.1190000000001</v>
      </c>
      <c r="I1122" s="459">
        <f t="shared" si="516"/>
        <v>70.393122183938502</v>
      </c>
      <c r="J1122" s="478"/>
      <c r="K1122" s="463"/>
    </row>
    <row r="1123" spans="1:44" s="201" customFormat="1" ht="31.5" x14ac:dyDescent="0.25">
      <c r="A1123" s="458" t="s">
        <v>198</v>
      </c>
      <c r="B1123" s="452">
        <v>910</v>
      </c>
      <c r="C1123" s="454" t="s">
        <v>118</v>
      </c>
      <c r="D1123" s="454" t="s">
        <v>215</v>
      </c>
      <c r="E1123" s="454" t="s">
        <v>1404</v>
      </c>
      <c r="F1123" s="454" t="s">
        <v>132</v>
      </c>
      <c r="G1123" s="459">
        <f>G1124</f>
        <v>268</v>
      </c>
      <c r="H1123" s="459">
        <f t="shared" ref="H1123" si="525">H1124</f>
        <v>219.8</v>
      </c>
      <c r="I1123" s="459">
        <f t="shared" si="516"/>
        <v>82.014925373134332</v>
      </c>
      <c r="J1123" s="478"/>
      <c r="K1123" s="463"/>
    </row>
    <row r="1124" spans="1:44" s="201" customFormat="1" ht="31.5" x14ac:dyDescent="0.25">
      <c r="A1124" s="458" t="s">
        <v>133</v>
      </c>
      <c r="B1124" s="452">
        <v>910</v>
      </c>
      <c r="C1124" s="454" t="s">
        <v>118</v>
      </c>
      <c r="D1124" s="454" t="s">
        <v>215</v>
      </c>
      <c r="E1124" s="454" t="s">
        <v>1404</v>
      </c>
      <c r="F1124" s="454" t="s">
        <v>134</v>
      </c>
      <c r="G1124" s="459">
        <f>93+175</f>
        <v>268</v>
      </c>
      <c r="H1124" s="459">
        <v>219.8</v>
      </c>
      <c r="I1124" s="459">
        <f t="shared" si="516"/>
        <v>82.014925373134332</v>
      </c>
      <c r="J1124" s="478"/>
      <c r="K1124" s="463"/>
    </row>
    <row r="1125" spans="1:44" ht="37.35" customHeight="1" x14ac:dyDescent="0.25">
      <c r="A1125" s="458" t="s">
        <v>990</v>
      </c>
      <c r="B1125" s="452">
        <v>910</v>
      </c>
      <c r="C1125" s="454" t="s">
        <v>118</v>
      </c>
      <c r="D1125" s="454" t="s">
        <v>215</v>
      </c>
      <c r="E1125" s="454" t="s">
        <v>991</v>
      </c>
      <c r="F1125" s="454"/>
      <c r="G1125" s="459">
        <f>G1126+G1128</f>
        <v>1346.4</v>
      </c>
      <c r="H1125" s="459">
        <f t="shared" ref="H1125" si="526">H1126+H1128</f>
        <v>990.279</v>
      </c>
      <c r="I1125" s="459">
        <f t="shared" si="516"/>
        <v>73.550133689839569</v>
      </c>
      <c r="J1125" s="478"/>
      <c r="K1125" s="463"/>
      <c r="L1125" s="201"/>
    </row>
    <row r="1126" spans="1:44" ht="78.75" x14ac:dyDescent="0.25">
      <c r="A1126" s="458" t="s">
        <v>127</v>
      </c>
      <c r="B1126" s="452">
        <v>910</v>
      </c>
      <c r="C1126" s="454" t="s">
        <v>118</v>
      </c>
      <c r="D1126" s="454" t="s">
        <v>215</v>
      </c>
      <c r="E1126" s="454" t="s">
        <v>991</v>
      </c>
      <c r="F1126" s="454" t="s">
        <v>128</v>
      </c>
      <c r="G1126" s="459">
        <f>G1127</f>
        <v>1346.4</v>
      </c>
      <c r="H1126" s="459">
        <f t="shared" ref="H1126" si="527">H1127</f>
        <v>990.279</v>
      </c>
      <c r="I1126" s="459">
        <f t="shared" si="516"/>
        <v>73.550133689839569</v>
      </c>
      <c r="J1126" s="478"/>
      <c r="K1126" s="463"/>
      <c r="L1126" s="201"/>
    </row>
    <row r="1127" spans="1:44" ht="31.5" x14ac:dyDescent="0.25">
      <c r="A1127" s="458" t="s">
        <v>129</v>
      </c>
      <c r="B1127" s="452">
        <v>910</v>
      </c>
      <c r="C1127" s="454" t="s">
        <v>118</v>
      </c>
      <c r="D1127" s="454" t="s">
        <v>215</v>
      </c>
      <c r="E1127" s="454" t="s">
        <v>991</v>
      </c>
      <c r="F1127" s="454" t="s">
        <v>130</v>
      </c>
      <c r="G1127" s="459">
        <f>1240.4+81+25</f>
        <v>1346.4</v>
      </c>
      <c r="H1127" s="459">
        <v>990.279</v>
      </c>
      <c r="I1127" s="459">
        <f t="shared" si="516"/>
        <v>73.550133689839569</v>
      </c>
      <c r="J1127" s="478"/>
      <c r="K1127" s="463"/>
      <c r="L1127" s="201"/>
    </row>
    <row r="1128" spans="1:44" ht="31.5" hidden="1" x14ac:dyDescent="0.25">
      <c r="A1128" s="458" t="s">
        <v>198</v>
      </c>
      <c r="B1128" s="452">
        <v>910</v>
      </c>
      <c r="C1128" s="454" t="s">
        <v>118</v>
      </c>
      <c r="D1128" s="454" t="s">
        <v>215</v>
      </c>
      <c r="E1128" s="454" t="s">
        <v>991</v>
      </c>
      <c r="F1128" s="454" t="s">
        <v>132</v>
      </c>
      <c r="G1128" s="459">
        <f>G1129</f>
        <v>0</v>
      </c>
      <c r="H1128" s="459">
        <f t="shared" ref="H1128" si="528">H1129</f>
        <v>0</v>
      </c>
      <c r="I1128" s="459" t="e">
        <f t="shared" si="516"/>
        <v>#DIV/0!</v>
      </c>
      <c r="J1128" s="478"/>
      <c r="K1128" s="463"/>
      <c r="L1128" s="201"/>
    </row>
    <row r="1129" spans="1:44" ht="31.5" hidden="1" x14ac:dyDescent="0.25">
      <c r="A1129" s="458" t="s">
        <v>133</v>
      </c>
      <c r="B1129" s="452">
        <v>910</v>
      </c>
      <c r="C1129" s="454" t="s">
        <v>118</v>
      </c>
      <c r="D1129" s="454" t="s">
        <v>215</v>
      </c>
      <c r="E1129" s="454" t="s">
        <v>991</v>
      </c>
      <c r="F1129" s="454" t="s">
        <v>134</v>
      </c>
      <c r="G1129" s="459">
        <v>0</v>
      </c>
      <c r="H1129" s="459">
        <v>0</v>
      </c>
      <c r="I1129" s="459" t="e">
        <f t="shared" si="516"/>
        <v>#DIV/0!</v>
      </c>
      <c r="J1129" s="478"/>
      <c r="K1129" s="463"/>
      <c r="L1129" s="201"/>
    </row>
    <row r="1130" spans="1:44" s="201" customFormat="1" ht="39.75" customHeight="1" x14ac:dyDescent="0.25">
      <c r="A1130" s="458" t="s">
        <v>839</v>
      </c>
      <c r="B1130" s="452">
        <v>910</v>
      </c>
      <c r="C1130" s="454" t="s">
        <v>118</v>
      </c>
      <c r="D1130" s="454" t="s">
        <v>215</v>
      </c>
      <c r="E1130" s="454" t="s">
        <v>989</v>
      </c>
      <c r="F1130" s="454"/>
      <c r="G1130" s="459">
        <f>G1131</f>
        <v>52</v>
      </c>
      <c r="H1130" s="459">
        <f t="shared" ref="H1130:H1131" si="529">H1131</f>
        <v>51.99</v>
      </c>
      <c r="I1130" s="459">
        <f t="shared" si="516"/>
        <v>99.980769230769241</v>
      </c>
      <c r="J1130" s="478"/>
      <c r="K1130" s="463"/>
    </row>
    <row r="1131" spans="1:44" s="201" customFormat="1" ht="69.75" customHeight="1" x14ac:dyDescent="0.25">
      <c r="A1131" s="458" t="s">
        <v>127</v>
      </c>
      <c r="B1131" s="452">
        <v>910</v>
      </c>
      <c r="C1131" s="454" t="s">
        <v>118</v>
      </c>
      <c r="D1131" s="454" t="s">
        <v>215</v>
      </c>
      <c r="E1131" s="454" t="s">
        <v>989</v>
      </c>
      <c r="F1131" s="454" t="s">
        <v>128</v>
      </c>
      <c r="G1131" s="459">
        <f>G1132</f>
        <v>52</v>
      </c>
      <c r="H1131" s="459">
        <f t="shared" si="529"/>
        <v>51.99</v>
      </c>
      <c r="I1131" s="459">
        <f t="shared" si="516"/>
        <v>99.980769230769241</v>
      </c>
      <c r="J1131" s="478"/>
      <c r="K1131" s="463"/>
    </row>
    <row r="1132" spans="1:44" s="201" customFormat="1" ht="35.450000000000003" customHeight="1" x14ac:dyDescent="0.25">
      <c r="A1132" s="458" t="s">
        <v>129</v>
      </c>
      <c r="B1132" s="452">
        <v>910</v>
      </c>
      <c r="C1132" s="454" t="s">
        <v>118</v>
      </c>
      <c r="D1132" s="454" t="s">
        <v>215</v>
      </c>
      <c r="E1132" s="454" t="s">
        <v>989</v>
      </c>
      <c r="F1132" s="454" t="s">
        <v>130</v>
      </c>
      <c r="G1132" s="459">
        <f>35+17</f>
        <v>52</v>
      </c>
      <c r="H1132" s="459">
        <v>51.99</v>
      </c>
      <c r="I1132" s="459">
        <f t="shared" si="516"/>
        <v>99.980769230769241</v>
      </c>
      <c r="J1132" s="478"/>
      <c r="K1132" s="463"/>
    </row>
    <row r="1133" spans="1:44" ht="47.25" x14ac:dyDescent="0.25">
      <c r="A1133" s="456" t="s">
        <v>119</v>
      </c>
      <c r="B1133" s="453">
        <v>910</v>
      </c>
      <c r="C1133" s="457" t="s">
        <v>118</v>
      </c>
      <c r="D1133" s="457" t="s">
        <v>120</v>
      </c>
      <c r="E1133" s="457"/>
      <c r="F1133" s="457"/>
      <c r="G1133" s="455">
        <f>G1134</f>
        <v>1926.5</v>
      </c>
      <c r="H1133" s="455">
        <f t="shared" ref="H1133:H1134" si="530">H1134</f>
        <v>1470.604</v>
      </c>
      <c r="I1133" s="455">
        <f t="shared" si="516"/>
        <v>76.335530755255647</v>
      </c>
      <c r="J1133" s="478"/>
      <c r="K1133" s="463"/>
      <c r="L1133" s="201"/>
    </row>
    <row r="1134" spans="1:44" s="111" customFormat="1" ht="31.5" x14ac:dyDescent="0.25">
      <c r="A1134" s="456" t="s">
        <v>917</v>
      </c>
      <c r="B1134" s="453">
        <v>910</v>
      </c>
      <c r="C1134" s="457" t="s">
        <v>118</v>
      </c>
      <c r="D1134" s="457" t="s">
        <v>120</v>
      </c>
      <c r="E1134" s="457" t="s">
        <v>858</v>
      </c>
      <c r="F1134" s="457"/>
      <c r="G1134" s="455">
        <f>G1135</f>
        <v>1926.5</v>
      </c>
      <c r="H1134" s="455">
        <f t="shared" si="530"/>
        <v>1470.604</v>
      </c>
      <c r="I1134" s="455">
        <f t="shared" si="516"/>
        <v>76.335530755255647</v>
      </c>
      <c r="J1134" s="481"/>
      <c r="K1134" s="127"/>
      <c r="L1134" s="202"/>
      <c r="AE1134" s="202"/>
      <c r="AF1134" s="202"/>
      <c r="AG1134" s="202"/>
      <c r="AH1134" s="202"/>
      <c r="AI1134" s="202"/>
      <c r="AJ1134" s="202"/>
      <c r="AK1134" s="202"/>
      <c r="AL1134" s="202"/>
      <c r="AO1134" s="202"/>
      <c r="AP1134" s="202"/>
      <c r="AR1134" s="202"/>
    </row>
    <row r="1135" spans="1:44" s="111" customFormat="1" ht="15.75" x14ac:dyDescent="0.25">
      <c r="A1135" s="456" t="s">
        <v>986</v>
      </c>
      <c r="B1135" s="453">
        <v>910</v>
      </c>
      <c r="C1135" s="457" t="s">
        <v>118</v>
      </c>
      <c r="D1135" s="457" t="s">
        <v>120</v>
      </c>
      <c r="E1135" s="457" t="s">
        <v>987</v>
      </c>
      <c r="F1135" s="457"/>
      <c r="G1135" s="455">
        <f>G1136+G1141</f>
        <v>1926.5</v>
      </c>
      <c r="H1135" s="455">
        <f t="shared" ref="H1135" si="531">H1136+H1141</f>
        <v>1470.604</v>
      </c>
      <c r="I1135" s="455">
        <f t="shared" si="516"/>
        <v>76.335530755255647</v>
      </c>
      <c r="J1135" s="481"/>
      <c r="K1135" s="127"/>
      <c r="L1135" s="202"/>
      <c r="AE1135" s="202"/>
      <c r="AF1135" s="202"/>
      <c r="AG1135" s="202"/>
      <c r="AH1135" s="202"/>
      <c r="AI1135" s="202"/>
      <c r="AJ1135" s="202"/>
      <c r="AK1135" s="202"/>
      <c r="AL1135" s="202"/>
      <c r="AO1135" s="202"/>
      <c r="AP1135" s="202"/>
      <c r="AR1135" s="202"/>
    </row>
    <row r="1136" spans="1:44" s="111" customFormat="1" ht="32.65" customHeight="1" x14ac:dyDescent="0.25">
      <c r="A1136" s="458" t="s">
        <v>897</v>
      </c>
      <c r="B1136" s="452">
        <v>910</v>
      </c>
      <c r="C1136" s="454" t="s">
        <v>118</v>
      </c>
      <c r="D1136" s="454" t="s">
        <v>120</v>
      </c>
      <c r="E1136" s="454" t="s">
        <v>991</v>
      </c>
      <c r="F1136" s="454"/>
      <c r="G1136" s="459">
        <f>G1137+G1139</f>
        <v>1830.5</v>
      </c>
      <c r="H1136" s="459">
        <f t="shared" ref="H1136" si="532">H1137+H1139</f>
        <v>1376.104</v>
      </c>
      <c r="I1136" s="459">
        <f t="shared" si="516"/>
        <v>75.176399890740242</v>
      </c>
      <c r="J1136" s="481"/>
      <c r="K1136" s="127"/>
      <c r="L1136" s="202"/>
      <c r="AE1136" s="202"/>
      <c r="AF1136" s="202"/>
      <c r="AG1136" s="202"/>
      <c r="AH1136" s="202"/>
      <c r="AI1136" s="202"/>
      <c r="AJ1136" s="202"/>
      <c r="AK1136" s="202"/>
      <c r="AL1136" s="202"/>
      <c r="AO1136" s="202"/>
      <c r="AP1136" s="202"/>
      <c r="AR1136" s="202"/>
    </row>
    <row r="1137" spans="1:28" ht="78.75" x14ac:dyDescent="0.25">
      <c r="A1137" s="458" t="s">
        <v>127</v>
      </c>
      <c r="B1137" s="452">
        <v>910</v>
      </c>
      <c r="C1137" s="454" t="s">
        <v>118</v>
      </c>
      <c r="D1137" s="454" t="s">
        <v>120</v>
      </c>
      <c r="E1137" s="454" t="s">
        <v>991</v>
      </c>
      <c r="F1137" s="454" t="s">
        <v>128</v>
      </c>
      <c r="G1137" s="459">
        <f>G1138</f>
        <v>1812.5</v>
      </c>
      <c r="H1137" s="459">
        <f t="shared" ref="H1137" si="533">H1138</f>
        <v>1376.104</v>
      </c>
      <c r="I1137" s="459">
        <f t="shared" si="516"/>
        <v>75.922979310344829</v>
      </c>
      <c r="J1137" s="478"/>
      <c r="K1137" s="463"/>
      <c r="L1137" s="201"/>
    </row>
    <row r="1138" spans="1:28" ht="31.5" x14ac:dyDescent="0.25">
      <c r="A1138" s="458" t="s">
        <v>129</v>
      </c>
      <c r="B1138" s="452">
        <v>910</v>
      </c>
      <c r="C1138" s="454" t="s">
        <v>118</v>
      </c>
      <c r="D1138" s="454" t="s">
        <v>120</v>
      </c>
      <c r="E1138" s="454" t="s">
        <v>991</v>
      </c>
      <c r="F1138" s="454" t="s">
        <v>130</v>
      </c>
      <c r="G1138" s="459">
        <f>1734.5-13+91</f>
        <v>1812.5</v>
      </c>
      <c r="H1138" s="459">
        <v>1376.104</v>
      </c>
      <c r="I1138" s="459">
        <f t="shared" si="516"/>
        <v>75.922979310344829</v>
      </c>
      <c r="J1138" s="478"/>
      <c r="K1138" s="463"/>
      <c r="L1138" s="201"/>
    </row>
    <row r="1139" spans="1:28" ht="31.5" x14ac:dyDescent="0.25">
      <c r="A1139" s="458" t="s">
        <v>198</v>
      </c>
      <c r="B1139" s="452">
        <v>910</v>
      </c>
      <c r="C1139" s="454" t="s">
        <v>118</v>
      </c>
      <c r="D1139" s="454" t="s">
        <v>120</v>
      </c>
      <c r="E1139" s="454" t="s">
        <v>991</v>
      </c>
      <c r="F1139" s="454" t="s">
        <v>132</v>
      </c>
      <c r="G1139" s="459">
        <f>G1140</f>
        <v>18</v>
      </c>
      <c r="H1139" s="459">
        <f t="shared" ref="H1139" si="534">H1140</f>
        <v>0</v>
      </c>
      <c r="I1139" s="459">
        <f t="shared" si="516"/>
        <v>0</v>
      </c>
      <c r="J1139" s="478"/>
      <c r="K1139" s="463"/>
      <c r="L1139" s="201"/>
    </row>
    <row r="1140" spans="1:28" ht="31.5" x14ac:dyDescent="0.25">
      <c r="A1140" s="458" t="s">
        <v>133</v>
      </c>
      <c r="B1140" s="452">
        <v>910</v>
      </c>
      <c r="C1140" s="454" t="s">
        <v>118</v>
      </c>
      <c r="D1140" s="454" t="s">
        <v>120</v>
      </c>
      <c r="E1140" s="454" t="s">
        <v>991</v>
      </c>
      <c r="F1140" s="454" t="s">
        <v>134</v>
      </c>
      <c r="G1140" s="459">
        <v>18</v>
      </c>
      <c r="H1140" s="459">
        <v>0</v>
      </c>
      <c r="I1140" s="459">
        <f t="shared" si="516"/>
        <v>0</v>
      </c>
      <c r="J1140" s="478"/>
      <c r="K1140" s="463"/>
      <c r="L1140" s="201"/>
    </row>
    <row r="1141" spans="1:28" s="201" customFormat="1" ht="31.5" x14ac:dyDescent="0.25">
      <c r="A1141" s="458" t="s">
        <v>839</v>
      </c>
      <c r="B1141" s="452">
        <v>910</v>
      </c>
      <c r="C1141" s="454" t="s">
        <v>118</v>
      </c>
      <c r="D1141" s="454" t="s">
        <v>120</v>
      </c>
      <c r="E1141" s="454" t="s">
        <v>989</v>
      </c>
      <c r="F1141" s="454"/>
      <c r="G1141" s="459">
        <f>G1142</f>
        <v>96</v>
      </c>
      <c r="H1141" s="459">
        <f t="shared" ref="H1141:H1142" si="535">H1142</f>
        <v>94.5</v>
      </c>
      <c r="I1141" s="459">
        <f t="shared" si="516"/>
        <v>98.4375</v>
      </c>
      <c r="J1141" s="478"/>
      <c r="K1141" s="463"/>
    </row>
    <row r="1142" spans="1:28" s="201" customFormat="1" ht="78.75" x14ac:dyDescent="0.25">
      <c r="A1142" s="458" t="s">
        <v>127</v>
      </c>
      <c r="B1142" s="452">
        <v>910</v>
      </c>
      <c r="C1142" s="454" t="s">
        <v>118</v>
      </c>
      <c r="D1142" s="454" t="s">
        <v>120</v>
      </c>
      <c r="E1142" s="454" t="s">
        <v>989</v>
      </c>
      <c r="F1142" s="454" t="s">
        <v>128</v>
      </c>
      <c r="G1142" s="459">
        <f>G1143</f>
        <v>96</v>
      </c>
      <c r="H1142" s="459">
        <f t="shared" si="535"/>
        <v>94.5</v>
      </c>
      <c r="I1142" s="459">
        <f t="shared" si="516"/>
        <v>98.4375</v>
      </c>
      <c r="J1142" s="478"/>
      <c r="K1142" s="463"/>
    </row>
    <row r="1143" spans="1:28" s="201" customFormat="1" ht="31.5" x14ac:dyDescent="0.25">
      <c r="A1143" s="458" t="s">
        <v>129</v>
      </c>
      <c r="B1143" s="452">
        <v>910</v>
      </c>
      <c r="C1143" s="454" t="s">
        <v>118</v>
      </c>
      <c r="D1143" s="454" t="s">
        <v>120</v>
      </c>
      <c r="E1143" s="454" t="s">
        <v>989</v>
      </c>
      <c r="F1143" s="454" t="s">
        <v>130</v>
      </c>
      <c r="G1143" s="459">
        <f>46+50</f>
        <v>96</v>
      </c>
      <c r="H1143" s="459">
        <v>94.5</v>
      </c>
      <c r="I1143" s="459">
        <f t="shared" si="516"/>
        <v>98.4375</v>
      </c>
      <c r="J1143" s="478"/>
      <c r="K1143" s="463"/>
    </row>
    <row r="1144" spans="1:28" ht="15.75" x14ac:dyDescent="0.25">
      <c r="A1144" s="48" t="s">
        <v>587</v>
      </c>
      <c r="B1144" s="48"/>
      <c r="C1144" s="457"/>
      <c r="D1144" s="457"/>
      <c r="E1144" s="457"/>
      <c r="F1144" s="457"/>
      <c r="G1144" s="368">
        <f>G1115+G876+G796+G561+G510+G240+G32+G11</f>
        <v>963354.73499999999</v>
      </c>
      <c r="H1144" s="368">
        <f t="shared" ref="H1144" si="536">H1115+H876+H796+H561+H510+H240+H32+H11</f>
        <v>634551.37690000003</v>
      </c>
      <c r="I1144" s="455">
        <f t="shared" si="516"/>
        <v>65.868921784040438</v>
      </c>
      <c r="K1144" s="201"/>
      <c r="L1144" s="201"/>
    </row>
    <row r="1145" spans="1:28" s="201" customFormat="1" ht="15.75" x14ac:dyDescent="0.25">
      <c r="A1145" s="277"/>
      <c r="B1145" s="277"/>
      <c r="C1145" s="278"/>
      <c r="D1145" s="278"/>
      <c r="E1145" s="278"/>
      <c r="F1145" s="278"/>
      <c r="G1145" s="279"/>
      <c r="H1145" s="279"/>
      <c r="I1145" s="279"/>
      <c r="J1145" s="479"/>
      <c r="K1145" s="567" t="s">
        <v>1336</v>
      </c>
      <c r="L1145" s="568"/>
      <c r="M1145" s="568"/>
      <c r="N1145" s="568"/>
      <c r="O1145" s="568"/>
      <c r="P1145" s="568"/>
      <c r="Q1145" s="568"/>
      <c r="R1145" s="568"/>
      <c r="S1145" s="568"/>
      <c r="T1145" s="569"/>
    </row>
    <row r="1146" spans="1:28" ht="28.5" customHeight="1" x14ac:dyDescent="0.25">
      <c r="A1146" s="50"/>
      <c r="B1146" s="50"/>
      <c r="C1146" s="50"/>
      <c r="D1146" s="50"/>
      <c r="E1146" s="50">
        <f>пр.1дох.21!C86-пр.1дох.21!C88</f>
        <v>393038.14</v>
      </c>
      <c r="F1146" s="50"/>
      <c r="K1146" s="300" t="s">
        <v>1281</v>
      </c>
      <c r="L1146" s="300" t="s">
        <v>1282</v>
      </c>
      <c r="M1146" s="300" t="s">
        <v>1283</v>
      </c>
      <c r="N1146" s="300" t="s">
        <v>1284</v>
      </c>
      <c r="O1146" s="300" t="s">
        <v>1335</v>
      </c>
      <c r="P1146" s="300" t="s">
        <v>1411</v>
      </c>
      <c r="Q1146" s="300" t="s">
        <v>1431</v>
      </c>
      <c r="R1146" s="300" t="s">
        <v>1482</v>
      </c>
      <c r="S1146" s="300" t="s">
        <v>1483</v>
      </c>
      <c r="T1146" s="300" t="s">
        <v>1484</v>
      </c>
      <c r="U1146" s="201"/>
      <c r="V1146" s="201"/>
      <c r="W1146" s="201"/>
      <c r="X1146" s="201"/>
      <c r="Y1146" s="201"/>
      <c r="Z1146" s="201"/>
      <c r="AA1146" s="201"/>
      <c r="AB1146" s="201"/>
    </row>
    <row r="1147" spans="1:28" ht="18.75" x14ac:dyDescent="0.3">
      <c r="A1147" s="50"/>
      <c r="B1147" s="50"/>
      <c r="C1147" s="51"/>
      <c r="D1147" s="51"/>
      <c r="E1147" s="51"/>
      <c r="F1147" s="371" t="s">
        <v>588</v>
      </c>
      <c r="G1147" s="369">
        <f>G1144-G1148</f>
        <v>570316.59100000001</v>
      </c>
      <c r="H1147" s="369">
        <f t="shared" ref="H1147:I1147" si="537">H1144-H1148</f>
        <v>345064.00035000005</v>
      </c>
      <c r="I1147" s="369" t="e">
        <f t="shared" si="537"/>
        <v>#DIV/0!</v>
      </c>
      <c r="J1147" s="488" t="s">
        <v>588</v>
      </c>
      <c r="K1147" s="383">
        <f>500+874</f>
        <v>1374</v>
      </c>
      <c r="L1147" s="470">
        <f>92.26-31</f>
        <v>61.260000000000005</v>
      </c>
      <c r="M1147" s="383">
        <v>0</v>
      </c>
      <c r="N1147" s="383">
        <v>0</v>
      </c>
      <c r="O1147" s="383">
        <v>0</v>
      </c>
      <c r="P1147" s="383">
        <v>217.2</v>
      </c>
      <c r="Q1147" s="383">
        <v>0</v>
      </c>
      <c r="R1147" s="383">
        <v>110.4</v>
      </c>
      <c r="S1147" s="383">
        <v>64.400000000000006</v>
      </c>
      <c r="T1147" s="401">
        <f>63+6.23</f>
        <v>69.23</v>
      </c>
      <c r="U1147" s="201"/>
      <c r="V1147" s="201"/>
      <c r="W1147" s="201"/>
      <c r="X1147" s="201"/>
      <c r="Y1147" s="201"/>
      <c r="Z1147" s="201"/>
      <c r="AA1147" s="201"/>
      <c r="AB1147" s="201"/>
    </row>
    <row r="1148" spans="1:28" ht="18.75" x14ac:dyDescent="0.3">
      <c r="A1148" s="50"/>
      <c r="B1148" s="50"/>
      <c r="C1148" s="51"/>
      <c r="D1148" s="51"/>
      <c r="E1148" s="51"/>
      <c r="F1148" s="371" t="s">
        <v>589</v>
      </c>
      <c r="G1148" s="369">
        <f>G49+G68+G201+G208+G218+G231+G234+G248+G251+G285+G305+G321+G377+G390+G401+G525+G544+G557+G576+G609+G613+G644+G686+G690+G694+G698+G702+G706+G714+G718+G737+G738+G766+G831+G839+G936+G954+G1040+G1059-K1147-L1147-P1147-R1147-S1147-T1147-AM1157+G623+G710+G408+G1050+G627+G189+G442+G365+G835+G1054+G192+G1063</f>
        <v>393038.14399999991</v>
      </c>
      <c r="H1148" s="369">
        <f t="shared" ref="H1148:I1148" si="538">H49+H68+H201+H208+H218+H231+H234+H248+H251+H285+H305+H321+H377+H390+H401+H525+H544+H557+H576+H609+H613+H644+H686+H690+H694+H698+H702+H706+H714+H718+H737+H738+H766+H831+H839+H936+H954+H1040+H1059-L1147-M1147-Q1147-S1147-T1147-U1147-AN1157+H623+H710+H408+H1050+H627+H189+H442+H365+H835+H1054+H192+H1063</f>
        <v>289487.37654999999</v>
      </c>
      <c r="I1148" s="369" t="e">
        <f t="shared" si="538"/>
        <v>#DIV/0!</v>
      </c>
      <c r="J1148" s="488" t="s">
        <v>589</v>
      </c>
      <c r="K1148" s="383">
        <v>21435.004000000001</v>
      </c>
      <c r="L1148" s="383">
        <f>922.6-354.1</f>
        <v>568.5</v>
      </c>
      <c r="M1148" s="383">
        <v>0</v>
      </c>
      <c r="N1148" s="383">
        <v>0</v>
      </c>
      <c r="O1148" s="383">
        <v>0</v>
      </c>
      <c r="P1148" s="383">
        <v>5079.3999999999996</v>
      </c>
      <c r="Q1148" s="383">
        <v>0</v>
      </c>
      <c r="R1148" s="401">
        <v>2581.6999999999998</v>
      </c>
      <c r="S1148" s="383">
        <v>1506.3</v>
      </c>
      <c r="T1148" s="401">
        <v>700</v>
      </c>
      <c r="U1148" s="201"/>
      <c r="V1148" s="201"/>
      <c r="W1148" s="201"/>
      <c r="X1148" s="201"/>
      <c r="Y1148" s="201"/>
      <c r="Z1148" s="201"/>
      <c r="AA1148" s="201"/>
      <c r="AB1148" s="201"/>
    </row>
    <row r="1149" spans="1:28" s="201" customFormat="1" ht="18.75" x14ac:dyDescent="0.3">
      <c r="A1149" s="50"/>
      <c r="B1149" s="50"/>
      <c r="C1149" s="51"/>
      <c r="D1149" s="51"/>
      <c r="E1149" s="51"/>
      <c r="F1149" s="371"/>
      <c r="G1149" s="369">
        <f>H1147+H1148-G1147-G1148</f>
        <v>-328803.3580999999</v>
      </c>
      <c r="H1149" s="369" t="e">
        <f t="shared" ref="H1149:I1149" si="539">I1147+I1148-H1147-H1148</f>
        <v>#DIV/0!</v>
      </c>
      <c r="I1149" s="369" t="e">
        <f t="shared" si="539"/>
        <v>#VALUE!</v>
      </c>
      <c r="J1149" s="486" t="s">
        <v>1541</v>
      </c>
      <c r="K1149" s="383">
        <f>K1147+K1148</f>
        <v>22809.004000000001</v>
      </c>
      <c r="L1149" s="470">
        <f t="shared" ref="L1149:T1149" si="540">L1147+L1148</f>
        <v>629.76</v>
      </c>
      <c r="M1149" s="383">
        <f t="shared" si="540"/>
        <v>0</v>
      </c>
      <c r="N1149" s="383">
        <f t="shared" si="540"/>
        <v>0</v>
      </c>
      <c r="O1149" s="383">
        <f t="shared" si="540"/>
        <v>0</v>
      </c>
      <c r="P1149" s="383">
        <f t="shared" si="540"/>
        <v>5296.5999999999995</v>
      </c>
      <c r="Q1149" s="383">
        <f t="shared" si="540"/>
        <v>0</v>
      </c>
      <c r="R1149" s="383">
        <f t="shared" si="540"/>
        <v>2692.1</v>
      </c>
      <c r="S1149" s="383">
        <f t="shared" si="540"/>
        <v>1570.7</v>
      </c>
      <c r="T1149" s="383">
        <f t="shared" si="540"/>
        <v>769.23</v>
      </c>
      <c r="U1149" s="225">
        <f>SUM(K1149:T1149)</f>
        <v>33767.394</v>
      </c>
    </row>
    <row r="1150" spans="1:28" ht="15.75" x14ac:dyDescent="0.25">
      <c r="A1150" s="50"/>
      <c r="B1150" s="50"/>
      <c r="C1150" s="51"/>
      <c r="D1150" s="53"/>
      <c r="E1150" s="53"/>
      <c r="F1150" s="372" t="s">
        <v>674</v>
      </c>
      <c r="G1150" s="102">
        <f>пр.1дох.21!C186-'Пр.4 ведом.21'!G1144</f>
        <v>-35838.954000000027</v>
      </c>
      <c r="H1150" s="102">
        <f>пр.1дох.21!D186-'Пр.4 ведом.21'!H1144</f>
        <v>22090.325889999978</v>
      </c>
      <c r="I1150" s="102">
        <f>пр.1дох.21!E186-'Пр.4 ведом.21'!I1144</f>
        <v>4.926822745722987</v>
      </c>
      <c r="K1150" s="400" t="s">
        <v>1432</v>
      </c>
      <c r="L1150" s="400" t="s">
        <v>1287</v>
      </c>
      <c r="M1150" s="400" t="s">
        <v>1288</v>
      </c>
      <c r="N1150" s="400" t="s">
        <v>1289</v>
      </c>
      <c r="O1150" s="400" t="s">
        <v>1288</v>
      </c>
      <c r="P1150" s="400" t="s">
        <v>1412</v>
      </c>
      <c r="Q1150" s="400" t="s">
        <v>1432</v>
      </c>
      <c r="R1150" s="400" t="s">
        <v>1412</v>
      </c>
      <c r="S1150" s="445" t="s">
        <v>1412</v>
      </c>
      <c r="T1150" s="400" t="s">
        <v>1485</v>
      </c>
      <c r="U1150" s="201"/>
      <c r="V1150" s="201"/>
      <c r="W1150" s="201"/>
      <c r="X1150" s="201"/>
      <c r="Y1150" s="201"/>
      <c r="Z1150" s="201"/>
      <c r="AA1150" s="201"/>
      <c r="AB1150" s="201"/>
    </row>
    <row r="1151" spans="1:28" ht="15.75" x14ac:dyDescent="0.25">
      <c r="A1151" s="50"/>
      <c r="B1151" s="50"/>
      <c r="C1151" s="51"/>
      <c r="D1151" s="53"/>
      <c r="E1151" s="53"/>
      <c r="F1151" s="53"/>
      <c r="G1151" s="102"/>
      <c r="H1151" s="102"/>
      <c r="I1151" s="102"/>
      <c r="K1151" s="115" t="str">
        <f>E1057</f>
        <v>65 0 F2 55550</v>
      </c>
      <c r="L1151" s="115" t="str">
        <f>E551</f>
        <v>02 0 02 01330</v>
      </c>
      <c r="M1151" s="201"/>
      <c r="N1151" s="201"/>
      <c r="O1151" s="201"/>
      <c r="P1151" s="115" t="str">
        <f>E705</f>
        <v>52 0 14 S3100</v>
      </c>
      <c r="Q1151" s="201"/>
      <c r="R1151" s="115"/>
      <c r="S1151" s="115"/>
      <c r="T1151" s="115"/>
      <c r="U1151" s="201"/>
      <c r="V1151" s="201"/>
      <c r="W1151" s="201"/>
      <c r="X1151" s="201"/>
      <c r="Y1151" s="201"/>
      <c r="Z1151" s="201"/>
      <c r="AA1151" s="201"/>
      <c r="AB1151" s="201"/>
    </row>
    <row r="1152" spans="1:28" ht="15.75" x14ac:dyDescent="0.25">
      <c r="A1152" s="50"/>
      <c r="B1152" s="50"/>
      <c r="C1152" s="51"/>
      <c r="D1152" s="53"/>
      <c r="E1152" s="53"/>
      <c r="F1152" s="53"/>
      <c r="G1152" s="102"/>
      <c r="H1152" s="102"/>
      <c r="I1152" s="102"/>
      <c r="K1152" s="393"/>
      <c r="L1152" s="225"/>
      <c r="M1152" s="201"/>
      <c r="N1152" s="201"/>
      <c r="O1152" s="201"/>
      <c r="P1152" s="201"/>
      <c r="Q1152" s="201"/>
      <c r="R1152" s="201"/>
      <c r="S1152" s="201"/>
      <c r="T1152" s="225">
        <f>K1148+L1148+M1148+N1148+O1148+P1148+Q1148+R1148+S1148+T1148</f>
        <v>31870.904000000002</v>
      </c>
      <c r="U1152" s="201"/>
      <c r="V1152" s="201"/>
      <c r="W1152" s="201"/>
      <c r="X1152" s="201"/>
      <c r="Y1152" s="201"/>
      <c r="Z1152" s="201"/>
      <c r="AA1152" s="201"/>
      <c r="AB1152" s="201"/>
    </row>
    <row r="1153" spans="1:41" ht="15.75" x14ac:dyDescent="0.25">
      <c r="A1153" s="50"/>
      <c r="B1153" s="50"/>
      <c r="C1153" s="54">
        <v>1</v>
      </c>
      <c r="D1153" s="53"/>
      <c r="E1153" s="53"/>
      <c r="F1153" s="53"/>
      <c r="G1153" s="102">
        <f>G12+G33+G241+G511+G562+G877+G1116+G797</f>
        <v>169648.56</v>
      </c>
      <c r="H1153" s="102">
        <f t="shared" ref="H1153:I1153" si="541">H12+H33+H241+H511+H562+H877+H1116+H797</f>
        <v>117053.17253</v>
      </c>
      <c r="I1153" s="102" t="e">
        <f t="shared" si="541"/>
        <v>#DIV/0!</v>
      </c>
      <c r="K1153" s="393"/>
      <c r="L1153" s="201"/>
      <c r="M1153" s="201"/>
      <c r="N1153" s="201"/>
      <c r="O1153" s="201"/>
      <c r="P1153" s="201"/>
      <c r="Q1153" s="201"/>
      <c r="R1153" s="201"/>
      <c r="S1153" s="201"/>
      <c r="T1153" s="115" t="e">
        <f>E1057+E843+E719+E715+E703+E549</f>
        <v>#VALUE!</v>
      </c>
      <c r="U1153" s="201"/>
      <c r="V1153" s="201"/>
      <c r="W1153" s="201"/>
      <c r="X1153" s="201"/>
      <c r="Y1153" s="201"/>
      <c r="Z1153" s="201"/>
      <c r="AA1153" s="201"/>
      <c r="AB1153" s="201"/>
    </row>
    <row r="1154" spans="1:41" ht="15.75" customHeight="1" x14ac:dyDescent="0.25">
      <c r="A1154" s="50"/>
      <c r="B1154" s="50"/>
      <c r="C1154" s="54" t="s">
        <v>588</v>
      </c>
      <c r="D1154" s="53"/>
      <c r="E1154" s="53"/>
      <c r="F1154" s="53"/>
      <c r="G1154" s="102">
        <f>G1153-G1155</f>
        <v>165233.26</v>
      </c>
      <c r="H1154" s="102">
        <f t="shared" ref="H1154:I1154" si="542">H1153-H1155</f>
        <v>114817.40153</v>
      </c>
      <c r="I1154" s="102" t="e">
        <f t="shared" si="542"/>
        <v>#DIV/0!</v>
      </c>
      <c r="J1154" s="486"/>
      <c r="K1154" s="393"/>
      <c r="L1154" s="201"/>
      <c r="M1154" s="201"/>
      <c r="N1154" s="201"/>
      <c r="O1154" s="201"/>
      <c r="P1154" s="201"/>
      <c r="Q1154" s="201"/>
      <c r="R1154" s="201"/>
      <c r="S1154" s="201"/>
      <c r="T1154" s="201"/>
      <c r="U1154" s="201"/>
      <c r="V1154" s="201"/>
      <c r="W1154" s="201"/>
      <c r="X1154" s="201"/>
      <c r="Y1154" s="201"/>
      <c r="Z1154" s="201"/>
      <c r="AA1154" s="201"/>
      <c r="AB1154" s="201"/>
    </row>
    <row r="1155" spans="1:41" ht="15.75" x14ac:dyDescent="0.25">
      <c r="A1155" s="50"/>
      <c r="B1155" s="50"/>
      <c r="C1155" s="54" t="s">
        <v>589</v>
      </c>
      <c r="D1155" s="53"/>
      <c r="E1155" s="53"/>
      <c r="F1155" s="53"/>
      <c r="G1155" s="102">
        <f>G541+G108+G68+G525-L1147+G110-Y1157+G46+G246-Z1157-AB1157+G251</f>
        <v>4415.3</v>
      </c>
      <c r="H1155" s="102">
        <f t="shared" ref="H1155:I1155" si="543">H541+H108+H68+H525-M1147+H110-Z1157+H46+H246-AA1157-AC1157+H251</f>
        <v>2235.7710000000002</v>
      </c>
      <c r="I1155" s="102" t="e">
        <f t="shared" si="543"/>
        <v>#DIV/0!</v>
      </c>
      <c r="J1155" s="486"/>
      <c r="K1155" s="570" t="s">
        <v>1548</v>
      </c>
      <c r="L1155" s="571"/>
      <c r="M1155" s="571"/>
      <c r="N1155" s="571"/>
      <c r="O1155" s="571"/>
      <c r="P1155" s="571"/>
      <c r="Q1155" s="571"/>
      <c r="R1155" s="571"/>
      <c r="S1155" s="571"/>
      <c r="T1155" s="571"/>
      <c r="U1155" s="571"/>
      <c r="V1155" s="571"/>
      <c r="W1155" s="571"/>
      <c r="X1155" s="571"/>
      <c r="Y1155" s="571"/>
      <c r="Z1155" s="571"/>
      <c r="AA1155" s="571"/>
      <c r="AB1155" s="571"/>
      <c r="AC1155" s="571"/>
      <c r="AD1155" s="571"/>
      <c r="AE1155" s="571"/>
      <c r="AF1155" s="571"/>
      <c r="AG1155" s="468"/>
      <c r="AH1155" s="471"/>
      <c r="AI1155" s="473"/>
      <c r="AJ1155" s="476"/>
      <c r="AK1155" s="491"/>
      <c r="AL1155" s="493"/>
    </row>
    <row r="1156" spans="1:41" ht="96" x14ac:dyDescent="0.25">
      <c r="A1156" s="50"/>
      <c r="B1156" s="50"/>
      <c r="C1156" s="54">
        <v>2</v>
      </c>
      <c r="D1156" s="53"/>
      <c r="E1156" s="53"/>
      <c r="F1156" s="53"/>
      <c r="G1156" s="102">
        <f>G158</f>
        <v>0</v>
      </c>
      <c r="H1156" s="102">
        <f t="shared" ref="H1156:I1156" si="544">H158</f>
        <v>0</v>
      </c>
      <c r="I1156" s="102" t="e">
        <f t="shared" si="544"/>
        <v>#DIV/0!</v>
      </c>
      <c r="K1156" s="444" t="s">
        <v>1490</v>
      </c>
      <c r="L1156" s="444" t="s">
        <v>1491</v>
      </c>
      <c r="M1156" s="444" t="s">
        <v>1493</v>
      </c>
      <c r="N1156" s="444" t="s">
        <v>1494</v>
      </c>
      <c r="O1156" s="444" t="s">
        <v>1495</v>
      </c>
      <c r="P1156" s="444" t="s">
        <v>1496</v>
      </c>
      <c r="Q1156" s="444" t="s">
        <v>1499</v>
      </c>
      <c r="R1156" s="444" t="s">
        <v>1501</v>
      </c>
      <c r="S1156" s="564" t="s">
        <v>1502</v>
      </c>
      <c r="T1156" s="565"/>
      <c r="U1156" s="566"/>
      <c r="V1156" s="444" t="s">
        <v>1505</v>
      </c>
      <c r="W1156" s="444" t="s">
        <v>1549</v>
      </c>
      <c r="X1156" s="444" t="s">
        <v>1550</v>
      </c>
      <c r="Y1156" s="444" t="s">
        <v>1506</v>
      </c>
      <c r="Z1156" s="444" t="s">
        <v>1552</v>
      </c>
      <c r="AA1156" s="444" t="s">
        <v>1510</v>
      </c>
      <c r="AB1156" s="444" t="s">
        <v>1650</v>
      </c>
      <c r="AC1156" s="444" t="s">
        <v>1651</v>
      </c>
      <c r="AD1156" s="444" t="s">
        <v>1652</v>
      </c>
      <c r="AE1156" s="444" t="s">
        <v>1665</v>
      </c>
      <c r="AF1156" s="444" t="s">
        <v>1665</v>
      </c>
      <c r="AG1156" s="444" t="s">
        <v>1673</v>
      </c>
      <c r="AH1156" s="444" t="s">
        <v>1691</v>
      </c>
      <c r="AI1156" s="444" t="s">
        <v>1698</v>
      </c>
      <c r="AJ1156" s="444" t="s">
        <v>1709</v>
      </c>
      <c r="AK1156" s="444" t="s">
        <v>1724</v>
      </c>
      <c r="AL1156" s="504" t="s">
        <v>1729</v>
      </c>
    </row>
    <row r="1157" spans="1:41" ht="15.75" x14ac:dyDescent="0.25">
      <c r="A1157" s="50"/>
      <c r="B1157" s="50"/>
      <c r="C1157" s="54">
        <v>3</v>
      </c>
      <c r="D1157" s="53"/>
      <c r="E1157" s="53"/>
      <c r="F1157" s="53"/>
      <c r="G1157" s="102">
        <f>G891+G165</f>
        <v>7257.9250000000002</v>
      </c>
      <c r="H1157" s="102">
        <f t="shared" ref="H1157:I1157" si="545">H891+H165</f>
        <v>4831.482</v>
      </c>
      <c r="I1157" s="102">
        <f t="shared" si="545"/>
        <v>66.985529047620702</v>
      </c>
      <c r="J1157" s="488" t="s">
        <v>588</v>
      </c>
      <c r="K1157" s="330">
        <v>3.5</v>
      </c>
      <c r="L1157" s="330">
        <v>3400</v>
      </c>
      <c r="M1157" s="392">
        <v>2000</v>
      </c>
      <c r="N1157" s="330">
        <v>84</v>
      </c>
      <c r="O1157" s="330">
        <v>868</v>
      </c>
      <c r="P1157" s="330">
        <v>124.4</v>
      </c>
      <c r="Q1157" s="330">
        <v>71.400000000000006</v>
      </c>
      <c r="R1157" s="330">
        <v>678</v>
      </c>
      <c r="S1157" s="391">
        <f>S1159-S1158</f>
        <v>19746.400000000001</v>
      </c>
      <c r="T1157" s="391">
        <f>T1159-T1158</f>
        <v>5694.4000000000015</v>
      </c>
      <c r="U1157" s="391">
        <f>U1159-U1158</f>
        <v>38396</v>
      </c>
      <c r="V1157" s="330">
        <v>19</v>
      </c>
      <c r="W1157" s="392">
        <v>10</v>
      </c>
      <c r="X1157" s="392">
        <v>150</v>
      </c>
      <c r="Y1157" s="392">
        <v>1.64</v>
      </c>
      <c r="Z1157" s="392">
        <v>200</v>
      </c>
      <c r="AA1157" s="330">
        <v>0</v>
      </c>
      <c r="AB1157" s="330">
        <v>10</v>
      </c>
      <c r="AC1157" s="330">
        <v>135.5</v>
      </c>
      <c r="AD1157" s="330">
        <v>690.8</v>
      </c>
      <c r="AE1157" s="330">
        <v>9.8149999999999995</v>
      </c>
      <c r="AF1157" s="330">
        <v>12.185</v>
      </c>
      <c r="AG1157" s="330">
        <v>106.89</v>
      </c>
      <c r="AH1157" s="330">
        <v>21.5</v>
      </c>
      <c r="AI1157" s="330">
        <v>100</v>
      </c>
      <c r="AJ1157" s="330">
        <v>205.9</v>
      </c>
      <c r="AK1157" s="330">
        <v>463.7</v>
      </c>
      <c r="AL1157" s="392">
        <v>63.805999999999997</v>
      </c>
      <c r="AM1157" s="1">
        <f>SUM(K1157:AL1157)</f>
        <v>73266.835999999996</v>
      </c>
    </row>
    <row r="1158" spans="1:41" s="201" customFormat="1" ht="15.75" x14ac:dyDescent="0.25">
      <c r="A1158" s="50"/>
      <c r="B1158" s="50"/>
      <c r="C1158" s="54" t="s">
        <v>588</v>
      </c>
      <c r="D1158" s="53"/>
      <c r="E1158" s="53"/>
      <c r="F1158" s="53"/>
      <c r="G1158" s="102">
        <f>G1157-G1159</f>
        <v>6809.9250000000002</v>
      </c>
      <c r="H1158" s="102">
        <f t="shared" ref="H1158:I1158" si="546">H1157-H1159</f>
        <v>5037.3819999999996</v>
      </c>
      <c r="I1158" s="102">
        <f t="shared" si="546"/>
        <v>530.68552904762066</v>
      </c>
      <c r="J1158" s="488" t="s">
        <v>589</v>
      </c>
      <c r="K1158" s="330">
        <v>65.2</v>
      </c>
      <c r="L1158" s="330">
        <f>2161.1+498.9</f>
        <v>2660</v>
      </c>
      <c r="M1158" s="330">
        <f>1731.8-730</f>
        <v>1001.8</v>
      </c>
      <c r="N1158" s="330">
        <v>1630</v>
      </c>
      <c r="O1158" s="330">
        <v>516.6</v>
      </c>
      <c r="P1158" s="330">
        <v>166.7</v>
      </c>
      <c r="Q1158" s="330">
        <v>1666.6</v>
      </c>
      <c r="R1158" s="330">
        <v>74.900000000000006</v>
      </c>
      <c r="S1158" s="392">
        <v>4071.2</v>
      </c>
      <c r="T1158" s="392">
        <v>1155.4000000000001</v>
      </c>
      <c r="U1158" s="392">
        <v>3375.3</v>
      </c>
      <c r="V1158" s="330">
        <f>пр.1дох.21!C124</f>
        <v>0</v>
      </c>
      <c r="W1158" s="392">
        <v>0</v>
      </c>
      <c r="X1158" s="392">
        <v>0</v>
      </c>
      <c r="Y1158" s="330">
        <v>40</v>
      </c>
      <c r="Z1158" s="330">
        <f>пр.1дох.21!C131</f>
        <v>247.3</v>
      </c>
      <c r="AA1158" s="330">
        <v>0</v>
      </c>
      <c r="AB1158" s="330">
        <f>пр.1дох.21!C134</f>
        <v>180.6</v>
      </c>
      <c r="AC1158" s="330">
        <f>пр.1дох.21!C133</f>
        <v>3168.8</v>
      </c>
      <c r="AD1158" s="330">
        <f>пр.1дох.21!C132</f>
        <v>16158.4</v>
      </c>
      <c r="AE1158" s="330">
        <v>228.8</v>
      </c>
      <c r="AF1158" s="330">
        <v>285</v>
      </c>
      <c r="AG1158" s="330">
        <v>2500</v>
      </c>
      <c r="AH1158" s="330">
        <v>501.7</v>
      </c>
      <c r="AI1158" s="330">
        <v>448</v>
      </c>
      <c r="AJ1158" s="330">
        <v>4816.3</v>
      </c>
      <c r="AK1158" s="330">
        <v>4173.5</v>
      </c>
      <c r="AL1158" s="392">
        <v>1492.7</v>
      </c>
      <c r="AM1158" s="201">
        <f t="shared" ref="AM1158:AM1159" si="547">SUM(K1158:AL1158)</f>
        <v>50624.799999999996</v>
      </c>
      <c r="AO1158" s="225">
        <f>T1152+AM1158</f>
        <v>82495.703999999998</v>
      </c>
    </row>
    <row r="1159" spans="1:41" s="201" customFormat="1" ht="15.75" x14ac:dyDescent="0.25">
      <c r="A1159" s="50"/>
      <c r="B1159" s="50"/>
      <c r="C1159" s="54" t="s">
        <v>589</v>
      </c>
      <c r="D1159" s="53"/>
      <c r="E1159" s="53"/>
      <c r="F1159" s="53"/>
      <c r="G1159" s="102">
        <f>G194-AI1157</f>
        <v>448</v>
      </c>
      <c r="H1159" s="102">
        <f t="shared" ref="H1159:I1159" si="548">H194-AJ1157</f>
        <v>-205.9</v>
      </c>
      <c r="I1159" s="102">
        <f t="shared" si="548"/>
        <v>-463.7</v>
      </c>
      <c r="J1159" s="486" t="s">
        <v>1541</v>
      </c>
      <c r="K1159" s="383">
        <f t="shared" ref="K1159:R1159" si="549">K1157+K1158</f>
        <v>68.7</v>
      </c>
      <c r="L1159" s="383">
        <f t="shared" si="549"/>
        <v>6060</v>
      </c>
      <c r="M1159" s="383">
        <f t="shared" si="549"/>
        <v>3001.8</v>
      </c>
      <c r="N1159" s="383">
        <f t="shared" si="549"/>
        <v>1714</v>
      </c>
      <c r="O1159" s="383">
        <f t="shared" si="549"/>
        <v>1384.6</v>
      </c>
      <c r="P1159" s="383">
        <f t="shared" si="549"/>
        <v>291.10000000000002</v>
      </c>
      <c r="Q1159" s="383">
        <f t="shared" si="549"/>
        <v>1738</v>
      </c>
      <c r="R1159" s="383">
        <f t="shared" si="549"/>
        <v>752.9</v>
      </c>
      <c r="S1159" s="383">
        <f>G735</f>
        <v>23817.600000000002</v>
      </c>
      <c r="T1159" s="383">
        <f>G305</f>
        <v>6849.8000000000011</v>
      </c>
      <c r="U1159" s="383">
        <f>G377</f>
        <v>41771.300000000003</v>
      </c>
      <c r="V1159" s="383">
        <f t="shared" ref="V1159:AL1159" si="550">V1157+V1158</f>
        <v>19</v>
      </c>
      <c r="W1159" s="383">
        <f t="shared" si="550"/>
        <v>10</v>
      </c>
      <c r="X1159" s="383">
        <f t="shared" si="550"/>
        <v>150</v>
      </c>
      <c r="Y1159" s="383">
        <f t="shared" si="550"/>
        <v>41.64</v>
      </c>
      <c r="Z1159" s="383">
        <f t="shared" si="550"/>
        <v>447.3</v>
      </c>
      <c r="AA1159" s="383">
        <f t="shared" si="550"/>
        <v>0</v>
      </c>
      <c r="AB1159" s="383">
        <f t="shared" si="550"/>
        <v>190.6</v>
      </c>
      <c r="AC1159" s="383">
        <f t="shared" si="550"/>
        <v>3304.3</v>
      </c>
      <c r="AD1159" s="383">
        <f t="shared" si="550"/>
        <v>16849.2</v>
      </c>
      <c r="AE1159" s="383">
        <f t="shared" si="550"/>
        <v>238.61500000000001</v>
      </c>
      <c r="AF1159" s="383">
        <f t="shared" si="550"/>
        <v>297.185</v>
      </c>
      <c r="AG1159" s="383">
        <f t="shared" si="550"/>
        <v>2606.89</v>
      </c>
      <c r="AH1159" s="383">
        <f t="shared" si="550"/>
        <v>523.20000000000005</v>
      </c>
      <c r="AI1159" s="383">
        <f t="shared" si="550"/>
        <v>548</v>
      </c>
      <c r="AJ1159" s="383">
        <f t="shared" si="550"/>
        <v>5022.2</v>
      </c>
      <c r="AK1159" s="383">
        <f t="shared" si="550"/>
        <v>4637.2</v>
      </c>
      <c r="AL1159" s="505">
        <f t="shared" si="550"/>
        <v>1556.5060000000001</v>
      </c>
      <c r="AM1159" s="201">
        <f t="shared" si="547"/>
        <v>123891.63600000001</v>
      </c>
    </row>
    <row r="1160" spans="1:41" ht="15.75" x14ac:dyDescent="0.25">
      <c r="A1160" s="50"/>
      <c r="B1160" s="50"/>
      <c r="C1160" s="54">
        <v>4</v>
      </c>
      <c r="D1160" s="53"/>
      <c r="E1160" s="53"/>
      <c r="F1160" s="53"/>
      <c r="G1160" s="102">
        <f>G898+G274+G195</f>
        <v>7960</v>
      </c>
      <c r="H1160" s="102">
        <f t="shared" ref="H1160:I1160" si="551">H898+H274+H195</f>
        <v>5423.4207000000006</v>
      </c>
      <c r="I1160" s="102" t="e">
        <f t="shared" si="551"/>
        <v>#DIV/0!</v>
      </c>
      <c r="K1160" s="400" t="s">
        <v>1288</v>
      </c>
      <c r="L1160" s="400" t="s">
        <v>1492</v>
      </c>
      <c r="M1160" s="400" t="s">
        <v>1412</v>
      </c>
      <c r="N1160" s="400" t="s">
        <v>1412</v>
      </c>
      <c r="O1160" s="400" t="s">
        <v>1412</v>
      </c>
      <c r="P1160" s="400" t="s">
        <v>1497</v>
      </c>
      <c r="Q1160" s="400" t="s">
        <v>1500</v>
      </c>
      <c r="R1160" s="400" t="s">
        <v>1412</v>
      </c>
      <c r="S1160" s="445" t="s">
        <v>1503</v>
      </c>
      <c r="T1160" s="400" t="s">
        <v>1504</v>
      </c>
      <c r="U1160" s="445" t="s">
        <v>1288</v>
      </c>
      <c r="V1160" s="400" t="s">
        <v>1507</v>
      </c>
      <c r="W1160" s="400" t="s">
        <v>1289</v>
      </c>
      <c r="X1160" s="400" t="s">
        <v>1551</v>
      </c>
      <c r="Y1160" s="400" t="s">
        <v>1508</v>
      </c>
      <c r="Z1160" s="400" t="s">
        <v>1287</v>
      </c>
      <c r="AA1160" s="400" t="s">
        <v>1511</v>
      </c>
      <c r="AB1160" s="400" t="s">
        <v>1287</v>
      </c>
      <c r="AC1160" s="400" t="s">
        <v>1412</v>
      </c>
      <c r="AD1160" s="400" t="s">
        <v>1653</v>
      </c>
      <c r="AE1160" s="400" t="s">
        <v>1497</v>
      </c>
      <c r="AF1160" s="400" t="s">
        <v>1412</v>
      </c>
      <c r="AG1160" s="400" t="s">
        <v>1497</v>
      </c>
      <c r="AH1160" s="400" t="s">
        <v>1432</v>
      </c>
      <c r="AI1160" s="400" t="s">
        <v>1699</v>
      </c>
      <c r="AJ1160" s="400" t="s">
        <v>1716</v>
      </c>
      <c r="AK1160" s="400" t="s">
        <v>1432</v>
      </c>
      <c r="AL1160" s="506" t="s">
        <v>1432</v>
      </c>
    </row>
    <row r="1161" spans="1:41" ht="15.75" x14ac:dyDescent="0.25">
      <c r="A1161" s="50"/>
      <c r="B1161" s="50"/>
      <c r="C1161" s="54" t="s">
        <v>588</v>
      </c>
      <c r="D1161" s="53"/>
      <c r="E1161" s="53"/>
      <c r="F1161" s="53"/>
      <c r="G1161" s="102">
        <f>G1160-G1162</f>
        <v>7695.8</v>
      </c>
      <c r="H1161" s="102">
        <f t="shared" ref="H1161:I1161" si="552">H1160-H1162</f>
        <v>5295.8307000000004</v>
      </c>
      <c r="I1161" s="102" t="e">
        <f t="shared" si="552"/>
        <v>#DIV/0!</v>
      </c>
      <c r="AE1161" s="1"/>
      <c r="AF1161" s="1"/>
      <c r="AG1161" s="1"/>
      <c r="AH1161" s="1"/>
      <c r="AI1161" s="1"/>
    </row>
    <row r="1162" spans="1:41" ht="15.75" x14ac:dyDescent="0.25">
      <c r="A1162" s="50"/>
      <c r="B1162" s="50"/>
      <c r="C1162" s="54" t="s">
        <v>589</v>
      </c>
      <c r="D1162" s="53"/>
      <c r="E1162" s="53"/>
      <c r="F1162" s="53"/>
      <c r="G1162" s="102">
        <f>G283+G216+G208+G199-V1157-X1157-AA1157</f>
        <v>264.2</v>
      </c>
      <c r="H1162" s="102">
        <f t="shared" ref="H1162:I1162" si="553">H283+H216+H208+H199-W1157-Y1157-AB1157</f>
        <v>127.59</v>
      </c>
      <c r="I1162" s="102" t="e">
        <f t="shared" si="553"/>
        <v>#DIV/0!</v>
      </c>
      <c r="AE1162" s="1"/>
      <c r="AF1162" s="1"/>
      <c r="AG1162" s="1"/>
      <c r="AH1162" s="1"/>
      <c r="AI1162" s="1"/>
    </row>
    <row r="1163" spans="1:41" ht="15.75" x14ac:dyDescent="0.25">
      <c r="A1163" s="50"/>
      <c r="B1163" s="50"/>
      <c r="C1163" s="54">
        <v>5</v>
      </c>
      <c r="D1163" s="53"/>
      <c r="E1163" s="53"/>
      <c r="F1163" s="53"/>
      <c r="G1163" s="102">
        <f>G919+G545</f>
        <v>192532.82</v>
      </c>
      <c r="H1163" s="102">
        <f t="shared" ref="H1163:I1163" si="554">H919+H545</f>
        <v>96807.142719999989</v>
      </c>
      <c r="I1163" s="102">
        <f t="shared" si="554"/>
        <v>125.53260530486665</v>
      </c>
      <c r="K1163" s="201" t="s">
        <v>1703</v>
      </c>
      <c r="L1163" s="115"/>
      <c r="M1163" s="201"/>
      <c r="N1163" s="201"/>
      <c r="O1163" s="201"/>
      <c r="P1163" s="201"/>
      <c r="Q1163" s="201"/>
      <c r="R1163" s="201"/>
      <c r="S1163" s="201"/>
      <c r="T1163" s="201"/>
      <c r="U1163" s="201"/>
      <c r="V1163" s="201"/>
      <c r="W1163" s="201"/>
      <c r="X1163" s="201"/>
      <c r="Y1163" s="201"/>
      <c r="Z1163" s="201"/>
      <c r="AA1163" s="201"/>
      <c r="AB1163" s="225"/>
    </row>
    <row r="1164" spans="1:41" ht="15.75" x14ac:dyDescent="0.25">
      <c r="A1164" s="50"/>
      <c r="B1164" s="50"/>
      <c r="C1164" s="54" t="s">
        <v>588</v>
      </c>
      <c r="D1164" s="53"/>
      <c r="E1164" s="53"/>
      <c r="F1164" s="53"/>
      <c r="G1164" s="102">
        <f>G1163-G1165</f>
        <v>91264.516000000018</v>
      </c>
      <c r="H1164" s="102">
        <f t="shared" ref="H1164:I1164" si="555">H1163-H1165</f>
        <v>135729.18201999998</v>
      </c>
      <c r="I1164" s="102" t="e">
        <f t="shared" si="555"/>
        <v>#DIV/0!</v>
      </c>
      <c r="J1164" s="479" t="s">
        <v>118</v>
      </c>
      <c r="K1164" s="115">
        <f>L1148+Y1158+Z1158+AB1158+G68</f>
        <v>4415.3</v>
      </c>
      <c r="L1164" s="115"/>
      <c r="M1164" s="115"/>
      <c r="N1164" s="115"/>
      <c r="O1164" s="115"/>
      <c r="P1164" s="115"/>
      <c r="Q1164" s="115"/>
      <c r="R1164" s="115"/>
      <c r="S1164" s="201"/>
      <c r="T1164" s="201"/>
      <c r="U1164" s="115"/>
      <c r="V1164" s="115" t="str">
        <f>E210</f>
        <v>01 0 03 74040</v>
      </c>
      <c r="W1164" s="115">
        <f>E240</f>
        <v>0</v>
      </c>
      <c r="X1164" s="115" t="str">
        <f>E227</f>
        <v>55 0 00 00000</v>
      </c>
      <c r="Y1164" s="115" t="e">
        <f>E116+E58</f>
        <v>#VALUE!</v>
      </c>
      <c r="Z1164" s="115" t="str">
        <f>E258</f>
        <v>63 0 01 01590</v>
      </c>
      <c r="AA1164" s="115">
        <f>E294</f>
        <v>0</v>
      </c>
      <c r="AB1164" s="201"/>
    </row>
    <row r="1165" spans="1:41" ht="15.75" x14ac:dyDescent="0.25">
      <c r="A1165" s="50"/>
      <c r="B1165" s="50"/>
      <c r="C1165" s="54" t="s">
        <v>589</v>
      </c>
      <c r="D1165" s="53"/>
      <c r="E1165" s="53"/>
      <c r="F1165" s="53"/>
      <c r="G1165" s="102">
        <f>G951+G1040+G1057-K1147+G1012-Q1147-AH1157-AD1157+G1050+G936+G1054-AK1157+G1063-AL1157</f>
        <v>101268.30399999999</v>
      </c>
      <c r="H1165" s="102">
        <f t="shared" ref="H1165:I1165" si="556">H951+H1040+H1057-L1147+H1012-R1147-AI1157-AE1157+H1050+H936+H1054-AL1157+H1063-AM1157</f>
        <v>-38922.039299999989</v>
      </c>
      <c r="I1165" s="102" t="e">
        <f t="shared" si="556"/>
        <v>#DIV/0!</v>
      </c>
      <c r="J1165" s="479" t="s">
        <v>215</v>
      </c>
      <c r="K1165" s="201">
        <f>AI1158</f>
        <v>448</v>
      </c>
      <c r="L1165" s="201"/>
      <c r="M1165" s="201"/>
      <c r="N1165" s="201"/>
      <c r="O1165" s="201"/>
      <c r="P1165" s="201"/>
      <c r="Q1165" s="201"/>
      <c r="R1165" s="201"/>
      <c r="S1165" s="201"/>
      <c r="T1165" s="201"/>
      <c r="U1165" s="201"/>
      <c r="V1165" s="201"/>
      <c r="W1165" s="201"/>
      <c r="X1165" s="201"/>
      <c r="Y1165" s="201"/>
      <c r="Z1165" s="201"/>
      <c r="AA1165" s="201"/>
    </row>
    <row r="1166" spans="1:41" ht="15.75" x14ac:dyDescent="0.25">
      <c r="A1166" s="50"/>
      <c r="B1166" s="50"/>
      <c r="C1166" s="54">
        <v>7</v>
      </c>
      <c r="D1166" s="53"/>
      <c r="E1166" s="53"/>
      <c r="F1166" s="53"/>
      <c r="G1166" s="102">
        <f>G569+G294</f>
        <v>411387.5</v>
      </c>
      <c r="H1166" s="102">
        <f t="shared" ref="H1166:I1166" si="557">H569+H294</f>
        <v>292392.85154</v>
      </c>
      <c r="I1166" s="102">
        <f t="shared" si="557"/>
        <v>135.76347616676964</v>
      </c>
      <c r="J1166" s="479" t="s">
        <v>150</v>
      </c>
      <c r="K1166" s="115">
        <f>X1158+AA1158+G208</f>
        <v>264.2</v>
      </c>
    </row>
    <row r="1167" spans="1:41" ht="15.75" x14ac:dyDescent="0.25">
      <c r="A1167" s="50"/>
      <c r="B1167" s="50"/>
      <c r="C1167" s="54" t="s">
        <v>588</v>
      </c>
      <c r="D1167" s="53"/>
      <c r="E1167" s="53"/>
      <c r="F1167" s="53"/>
      <c r="G1167" s="102">
        <f>G1166-G1168</f>
        <v>141711.66000000015</v>
      </c>
      <c r="H1167" s="102">
        <f t="shared" ref="H1167:I1167" si="558">H1166-H1168</f>
        <v>141250.16118999998</v>
      </c>
      <c r="I1167" s="102" t="e">
        <f t="shared" si="558"/>
        <v>#DIV/0!</v>
      </c>
      <c r="J1167" s="479" t="s">
        <v>234</v>
      </c>
      <c r="K1167" s="225">
        <f>K1148+Q1148+AD1158+AH1158+G1046+G954</f>
        <v>95602.103999999992</v>
      </c>
      <c r="L1167" s="225">
        <f>G1165-K1167</f>
        <v>5666.1999999999971</v>
      </c>
    </row>
    <row r="1168" spans="1:41" ht="15.75" x14ac:dyDescent="0.25">
      <c r="A1168" s="50"/>
      <c r="B1168" s="50"/>
      <c r="C1168" s="54" t="s">
        <v>589</v>
      </c>
      <c r="D1168" s="53"/>
      <c r="E1168" s="53"/>
      <c r="F1168" s="53"/>
      <c r="G1168" s="102">
        <f>G738+G644+G576+G321+G711+G617+G696-P1147+G715-R1147-S1147+G764+G735+G700+G692+G688+G684+G614+G610+G305-L1157-M1157-N1157-O1157-P1157-Q1157-R1157-S1157-T1157-AC1157-AE1157-AF1157-AG1157+G623+G627+G703+G707+G362</f>
        <v>269675.83999999985</v>
      </c>
      <c r="H1168" s="102">
        <f t="shared" ref="H1168:I1168" si="559">H738+H644+H576+H321+H711+H617+H696-Q1147+H715-S1147-T1147+H764+H735+H700+H692+H688+H684+H614+H610+H305-M1157-N1157-O1157-P1157-Q1157-R1157-S1157-T1157-U1157-AD1157-AF1157-AG1157-AH1157+H623+H627+H703+H707+H362</f>
        <v>151142.69035000002</v>
      </c>
      <c r="I1168" s="102" t="e">
        <f t="shared" si="559"/>
        <v>#DIV/0!</v>
      </c>
      <c r="J1168" s="479" t="s">
        <v>264</v>
      </c>
      <c r="K1168" s="225">
        <f>P1148+R1148+S1148+L1158+M1158+N1158+O1158+P1158+Q1158+R1158+S1158+T1158+AE1158+AF1158+AG1158+G321+G365+G576+G644+G738+AC1158</f>
        <v>269675.84000000003</v>
      </c>
      <c r="L1168" s="225">
        <f>G1168-K1168</f>
        <v>0</v>
      </c>
    </row>
    <row r="1169" spans="1:11" ht="15.75" x14ac:dyDescent="0.25">
      <c r="A1169" s="50"/>
      <c r="B1169" s="50"/>
      <c r="C1169" s="54">
        <v>8</v>
      </c>
      <c r="D1169" s="53"/>
      <c r="E1169" s="53"/>
      <c r="F1169" s="53"/>
      <c r="G1169" s="102">
        <f>G366</f>
        <v>82056.5</v>
      </c>
      <c r="H1169" s="102">
        <f t="shared" ref="H1169:I1169" si="560">H366</f>
        <v>54484.695320000006</v>
      </c>
      <c r="I1169" s="102">
        <f t="shared" si="560"/>
        <v>66.398999859852665</v>
      </c>
      <c r="J1169" s="479" t="s">
        <v>299</v>
      </c>
      <c r="K1169" s="115">
        <f>K1158+U1158+G390+G442</f>
        <v>7067.5</v>
      </c>
    </row>
    <row r="1170" spans="1:11" ht="15.75" x14ac:dyDescent="0.25">
      <c r="A1170" s="50"/>
      <c r="B1170" s="50"/>
      <c r="C1170" s="54" t="s">
        <v>588</v>
      </c>
      <c r="D1170" s="53"/>
      <c r="E1170" s="53"/>
      <c r="F1170" s="53"/>
      <c r="G1170" s="102">
        <f>G1169-G1171</f>
        <v>74989</v>
      </c>
      <c r="H1170" s="102">
        <f t="shared" ref="H1170:I1170" si="561">H1169-H1171</f>
        <v>28809.415820000006</v>
      </c>
      <c r="I1170" s="102" t="e">
        <f t="shared" si="561"/>
        <v>#DIV/0!</v>
      </c>
      <c r="J1170" s="479" t="s">
        <v>244</v>
      </c>
      <c r="K1170" s="115">
        <f>G232</f>
        <v>3619.2000000000007</v>
      </c>
    </row>
    <row r="1171" spans="1:11" ht="15.75" x14ac:dyDescent="0.25">
      <c r="A1171" s="50"/>
      <c r="B1171" s="50"/>
      <c r="C1171" s="54" t="s">
        <v>589</v>
      </c>
      <c r="D1171" s="53"/>
      <c r="E1171" s="53"/>
      <c r="F1171" s="53"/>
      <c r="G1171" s="102">
        <f>G390+G409+G413-M1147-O1147+G402+G377-K1157-U1157+G408+G442</f>
        <v>7067.5</v>
      </c>
      <c r="H1171" s="102">
        <f t="shared" ref="H1171:I1171" si="562">H390+H409+H413-N1147-P1147+H402+H377-L1157-V1157+H408+H442</f>
        <v>25675.279500000001</v>
      </c>
      <c r="I1171" s="102" t="e">
        <f t="shared" si="562"/>
        <v>#DIV/0!</v>
      </c>
      <c r="J1171" s="479" t="s">
        <v>491</v>
      </c>
      <c r="K1171" s="225">
        <f>T1148+G831+AJ1158</f>
        <v>6279.8</v>
      </c>
    </row>
    <row r="1172" spans="1:11" ht="15.75" x14ac:dyDescent="0.25">
      <c r="A1172" s="50"/>
      <c r="B1172" s="50"/>
      <c r="C1172" s="54">
        <v>10</v>
      </c>
      <c r="D1172" s="53"/>
      <c r="E1172" s="53"/>
      <c r="F1172" s="53"/>
      <c r="G1172" s="102">
        <f>G1107+G465+G219+G555</f>
        <v>15222.5</v>
      </c>
      <c r="H1172" s="102">
        <f t="shared" ref="H1172:I1172" si="563">H1107+H465+H219+H555</f>
        <v>11110.588</v>
      </c>
      <c r="I1172" s="102" t="e">
        <f t="shared" si="563"/>
        <v>#DIV/0!</v>
      </c>
      <c r="J1172" s="479" t="s">
        <v>238</v>
      </c>
    </row>
    <row r="1173" spans="1:11" ht="15.75" x14ac:dyDescent="0.25">
      <c r="A1173" s="50"/>
      <c r="B1173" s="50"/>
      <c r="C1173" s="54" t="s">
        <v>588</v>
      </c>
      <c r="D1173" s="53"/>
      <c r="E1173" s="53"/>
      <c r="F1173" s="53"/>
      <c r="G1173" s="102">
        <f>G1172-G1174</f>
        <v>11603.3</v>
      </c>
      <c r="H1173" s="102">
        <f t="shared" ref="H1173:I1173" si="564">H1172-H1174</f>
        <v>9336.8780000000006</v>
      </c>
      <c r="I1173" s="102" t="e">
        <f t="shared" si="564"/>
        <v>#DIV/0!</v>
      </c>
    </row>
    <row r="1174" spans="1:11" ht="15.75" x14ac:dyDescent="0.25">
      <c r="A1174" s="50"/>
      <c r="B1174" s="50"/>
      <c r="C1174" s="54" t="s">
        <v>589</v>
      </c>
      <c r="D1174" s="53"/>
      <c r="E1174" s="53"/>
      <c r="F1174" s="53"/>
      <c r="G1174" s="102">
        <f>G234+G470+G555-N1147+G229-W1157</f>
        <v>3619.2000000000007</v>
      </c>
      <c r="H1174" s="102">
        <f t="shared" ref="H1174:I1174" si="565">H234+H470+H555-O1147+H229-X1157</f>
        <v>1773.71</v>
      </c>
      <c r="I1174" s="102" t="e">
        <f t="shared" si="565"/>
        <v>#DIV/0!</v>
      </c>
      <c r="K1174" s="225"/>
    </row>
    <row r="1175" spans="1:11" ht="15.75" x14ac:dyDescent="0.25">
      <c r="A1175" s="50"/>
      <c r="B1175" s="50"/>
      <c r="C1175" s="54">
        <v>11</v>
      </c>
      <c r="D1175" s="53"/>
      <c r="E1175" s="53"/>
      <c r="F1175" s="53"/>
      <c r="G1175" s="102">
        <f>G804</f>
        <v>71500.53</v>
      </c>
      <c r="H1175" s="102">
        <f t="shared" ref="H1175:I1175" si="566">H804</f>
        <v>48420.407000000007</v>
      </c>
      <c r="I1175" s="102">
        <f t="shared" si="566"/>
        <v>67.720346968057456</v>
      </c>
    </row>
    <row r="1176" spans="1:11" ht="15.75" x14ac:dyDescent="0.25">
      <c r="A1176" s="50"/>
      <c r="B1176" s="50"/>
      <c r="C1176" s="54" t="s">
        <v>588</v>
      </c>
      <c r="D1176" s="53"/>
      <c r="E1176" s="53"/>
      <c r="F1176" s="53"/>
      <c r="G1176" s="102">
        <f>G1175-G1177</f>
        <v>65220.729999999996</v>
      </c>
      <c r="H1176" s="102">
        <f t="shared" ref="H1176:I1176" si="567">H1175-H1177</f>
        <v>47617.90400000001</v>
      </c>
      <c r="I1176" s="102">
        <f t="shared" si="567"/>
        <v>-33.565074119041441</v>
      </c>
    </row>
    <row r="1177" spans="1:11" ht="15.75" x14ac:dyDescent="0.25">
      <c r="A1177" s="50"/>
      <c r="B1177" s="50"/>
      <c r="C1177" s="54" t="s">
        <v>589</v>
      </c>
      <c r="D1177" s="53"/>
      <c r="E1177" s="53"/>
      <c r="F1177" s="53"/>
      <c r="G1177" s="102">
        <f>G831+G839-T1147+G835-AJ1157</f>
        <v>6279.8</v>
      </c>
      <c r="H1177" s="102">
        <f t="shared" ref="H1177:I1177" si="568">H831+H839-U1147+H835-AK1157</f>
        <v>802.50299999999993</v>
      </c>
      <c r="I1177" s="102">
        <f t="shared" si="568"/>
        <v>101.2854210870989</v>
      </c>
    </row>
    <row r="1178" spans="1:11" ht="15.75" x14ac:dyDescent="0.25">
      <c r="A1178" s="50"/>
      <c r="B1178" s="50"/>
      <c r="C1178" s="54">
        <v>12</v>
      </c>
      <c r="D1178" s="53"/>
      <c r="E1178" s="53"/>
      <c r="F1178" s="53"/>
      <c r="G1178" s="102">
        <f>G490</f>
        <v>5788.4</v>
      </c>
      <c r="H1178" s="102">
        <f t="shared" ref="H1178:I1178" si="569">H490</f>
        <v>4027.6170900000002</v>
      </c>
      <c r="I1178" s="102">
        <f t="shared" si="569"/>
        <v>69.580835636790823</v>
      </c>
    </row>
    <row r="1179" spans="1:11" ht="15.75" x14ac:dyDescent="0.25">
      <c r="A1179" s="50"/>
      <c r="B1179" s="50"/>
      <c r="C1179" s="55"/>
      <c r="D1179" s="53"/>
      <c r="E1179" s="53"/>
      <c r="F1179" s="53"/>
      <c r="G1179" s="370">
        <f>G1153+G1156+G1157+G1160+G1163+G1166+G1169+G1172+G1175+G1178</f>
        <v>963354.73499999999</v>
      </c>
      <c r="H1179" s="370">
        <f t="shared" ref="H1179:I1179" si="570">H1153+H1156+H1157+H1160+H1163+H1166+H1169+H1172+H1175+H1178</f>
        <v>634551.37690000003</v>
      </c>
      <c r="I1179" s="370" t="e">
        <f t="shared" si="570"/>
        <v>#DIV/0!</v>
      </c>
    </row>
    <row r="1180" spans="1:11" ht="15.75" x14ac:dyDescent="0.25">
      <c r="A1180" s="50"/>
      <c r="B1180" s="50"/>
      <c r="C1180" s="54" t="s">
        <v>588</v>
      </c>
      <c r="D1180" s="53"/>
      <c r="E1180" s="53"/>
      <c r="F1180" s="53"/>
      <c r="G1180" s="370">
        <f>G1154+G1156+G1158+G1161+G1164+G1167+G1170+G1173+G1176+G1178</f>
        <v>570316.59100000013</v>
      </c>
      <c r="H1180" s="370">
        <f t="shared" ref="H1180:I1180" si="571">H1154+H1156+H1158+H1161+H1164+H1167+H1170+H1173+H1176+H1178</f>
        <v>491921.77235000004</v>
      </c>
      <c r="I1180" s="370" t="e">
        <f t="shared" si="571"/>
        <v>#DIV/0!</v>
      </c>
    </row>
    <row r="1181" spans="1:11" ht="15.75" x14ac:dyDescent="0.25">
      <c r="A1181" s="50"/>
      <c r="B1181" s="50"/>
      <c r="C1181" s="54" t="s">
        <v>589</v>
      </c>
      <c r="D1181" s="53"/>
      <c r="E1181" s="53"/>
      <c r="F1181" s="53"/>
      <c r="G1181" s="370">
        <f>G1155+G1162+G1165+G1168+G1171+G1174+G1177+G1159</f>
        <v>393038.14399999985</v>
      </c>
      <c r="H1181" s="370">
        <f t="shared" ref="H1181:I1181" si="572">H1155+H1162+H1165+H1168+H1171+H1174+H1177+H1159</f>
        <v>142629.60455000002</v>
      </c>
      <c r="I1181" s="370" t="e">
        <f t="shared" si="572"/>
        <v>#DIV/0!</v>
      </c>
    </row>
    <row r="1183" spans="1:11" ht="18.75" x14ac:dyDescent="0.3">
      <c r="D1183" s="201" t="s">
        <v>590</v>
      </c>
      <c r="E1183" s="201">
        <v>50</v>
      </c>
      <c r="G1183" s="365">
        <f>G906</f>
        <v>4268.8</v>
      </c>
      <c r="H1183" s="365">
        <f t="shared" ref="H1183:I1183" si="573">H906</f>
        <v>3109.2544500000004</v>
      </c>
      <c r="I1183" s="365">
        <f t="shared" si="573"/>
        <v>72.836732805472266</v>
      </c>
    </row>
    <row r="1184" spans="1:11" ht="18.75" x14ac:dyDescent="0.3">
      <c r="E1184" s="201">
        <v>51</v>
      </c>
      <c r="G1184" s="365">
        <f>G243+G276+G342+G454+G467</f>
        <v>3304.9</v>
      </c>
      <c r="H1184" s="365">
        <f t="shared" ref="H1184:I1184" si="574">H243+H276+H342+H454+H467</f>
        <v>2437.5929999999998</v>
      </c>
      <c r="I1184" s="365" t="e">
        <f t="shared" si="574"/>
        <v>#DIV/0!</v>
      </c>
    </row>
    <row r="1185" spans="5:9" ht="18.75" x14ac:dyDescent="0.3">
      <c r="E1185" s="201">
        <v>52</v>
      </c>
      <c r="G1185" s="365">
        <f>G571+G639+G730+G762</f>
        <v>369746.57999999996</v>
      </c>
      <c r="H1185" s="365">
        <f t="shared" ref="H1185:I1185" si="575">H571+H639+H730+H762</f>
        <v>263196.65551000001</v>
      </c>
      <c r="I1185" s="365">
        <f t="shared" si="575"/>
        <v>291.49779040808397</v>
      </c>
    </row>
    <row r="1186" spans="5:9" ht="18.75" x14ac:dyDescent="0.3">
      <c r="E1186" s="201">
        <v>53</v>
      </c>
      <c r="G1186" s="365">
        <f>G214</f>
        <v>150</v>
      </c>
      <c r="H1186" s="365">
        <f t="shared" ref="H1186:I1186" si="576">H214</f>
        <v>0</v>
      </c>
      <c r="I1186" s="365">
        <f t="shared" si="576"/>
        <v>0</v>
      </c>
    </row>
    <row r="1187" spans="5:9" ht="18.75" x14ac:dyDescent="0.3">
      <c r="E1187" s="201">
        <v>54</v>
      </c>
      <c r="G1187" s="365">
        <f>G90+G45</f>
        <v>622.43999999999994</v>
      </c>
      <c r="H1187" s="365">
        <f t="shared" ref="H1187:I1187" si="577">H90+H45</f>
        <v>438.11099999999999</v>
      </c>
      <c r="I1187" s="365">
        <f t="shared" si="577"/>
        <v>75.432334710743802</v>
      </c>
    </row>
    <row r="1188" spans="5:9" ht="18.75" x14ac:dyDescent="0.3">
      <c r="E1188" s="201">
        <v>55</v>
      </c>
      <c r="G1188" s="365">
        <f>G227</f>
        <v>10</v>
      </c>
      <c r="H1188" s="365">
        <f t="shared" ref="H1188:I1188" si="578">H227</f>
        <v>0</v>
      </c>
      <c r="I1188" s="365">
        <f t="shared" si="578"/>
        <v>0</v>
      </c>
    </row>
    <row r="1189" spans="5:9" ht="18.75" x14ac:dyDescent="0.3">
      <c r="E1189" s="201">
        <v>56</v>
      </c>
      <c r="G1189" s="365"/>
      <c r="H1189" s="365"/>
      <c r="I1189" s="365"/>
    </row>
    <row r="1190" spans="5:9" ht="18.75" x14ac:dyDescent="0.3">
      <c r="E1190" s="201">
        <v>57</v>
      </c>
      <c r="G1190" s="365">
        <f>G806+G869</f>
        <v>60414.53</v>
      </c>
      <c r="H1190" s="365">
        <f t="shared" ref="H1190:I1190" si="579">H806+H869</f>
        <v>40182.882000000005</v>
      </c>
      <c r="I1190" s="365">
        <f t="shared" si="579"/>
        <v>115.68289233497185</v>
      </c>
    </row>
    <row r="1191" spans="5:9" ht="18.75" x14ac:dyDescent="0.3">
      <c r="E1191" s="201">
        <v>58</v>
      </c>
      <c r="G1191" s="365">
        <f>G296+G492+G368</f>
        <v>84858.32</v>
      </c>
      <c r="H1191" s="365">
        <f t="shared" ref="H1191:I1191" si="580">H296+H492+H368</f>
        <v>53047.864390000002</v>
      </c>
      <c r="I1191" s="365">
        <f t="shared" si="580"/>
        <v>194.65690021621765</v>
      </c>
    </row>
    <row r="1192" spans="5:9" ht="18.75" x14ac:dyDescent="0.3">
      <c r="E1192" s="201">
        <v>59</v>
      </c>
      <c r="G1192" s="365">
        <f>G628+G719+G1102+G417+G460+G331</f>
        <v>108.5</v>
      </c>
      <c r="H1192" s="365">
        <f t="shared" ref="H1192:I1192" si="581">H628+H719+H1102+H417+H460+H331</f>
        <v>104.23</v>
      </c>
      <c r="I1192" s="365" t="e">
        <f t="shared" si="581"/>
        <v>#DIV/0!</v>
      </c>
    </row>
    <row r="1193" spans="5:9" ht="18.75" x14ac:dyDescent="0.3">
      <c r="E1193" s="201">
        <v>60</v>
      </c>
      <c r="G1193" s="365">
        <f>G1008</f>
        <v>11436.9</v>
      </c>
      <c r="H1193" s="365">
        <f t="shared" ref="H1193:I1193" si="582">H1008</f>
        <v>1636.4529999999997</v>
      </c>
      <c r="I1193" s="365">
        <f t="shared" si="582"/>
        <v>14.308536404095515</v>
      </c>
    </row>
    <row r="1194" spans="5:9" ht="18.75" x14ac:dyDescent="0.3">
      <c r="E1194" s="201">
        <v>61</v>
      </c>
      <c r="G1194" s="365">
        <f>G197</f>
        <v>19</v>
      </c>
      <c r="H1194" s="365">
        <f t="shared" ref="H1194:I1194" si="583">H197</f>
        <v>0</v>
      </c>
      <c r="I1194" s="365">
        <f t="shared" si="583"/>
        <v>0</v>
      </c>
    </row>
    <row r="1195" spans="5:9" ht="18.75" x14ac:dyDescent="0.3">
      <c r="E1195" s="201">
        <v>62</v>
      </c>
      <c r="G1195" s="365">
        <f>G968</f>
        <v>1085.8</v>
      </c>
      <c r="H1195" s="365">
        <f t="shared" ref="H1195:I1195" si="584">H968</f>
        <v>762.19200000000001</v>
      </c>
      <c r="I1195" s="365">
        <f t="shared" si="584"/>
        <v>70.196352919506353</v>
      </c>
    </row>
    <row r="1196" spans="5:9" ht="18.75" x14ac:dyDescent="0.3">
      <c r="E1196" s="201">
        <v>63</v>
      </c>
      <c r="G1196" s="365">
        <f>G252+G564+G799</f>
        <v>120</v>
      </c>
      <c r="H1196" s="365">
        <f t="shared" ref="H1196:I1196" si="585">H252+H564+H799</f>
        <v>0</v>
      </c>
      <c r="I1196" s="365" t="e">
        <f t="shared" si="585"/>
        <v>#DIV/0!</v>
      </c>
    </row>
    <row r="1197" spans="5:9" ht="18.75" x14ac:dyDescent="0.3">
      <c r="E1197" s="201">
        <v>64</v>
      </c>
      <c r="G1197" s="365">
        <f>G139+G336+G422+G633+G724+G756+G843+G269+G509+G184</f>
        <v>4407.7</v>
      </c>
      <c r="H1197" s="365">
        <f t="shared" ref="H1197:I1197" si="586">H139+H336+H422+H633+H724+H756+H843+H269+H509+H184</f>
        <v>2388.0809200000003</v>
      </c>
      <c r="I1197" s="365">
        <f t="shared" si="586"/>
        <v>567.4534275584283</v>
      </c>
    </row>
    <row r="1198" spans="5:9" ht="18.75" x14ac:dyDescent="0.3">
      <c r="E1198" s="201">
        <v>65</v>
      </c>
      <c r="G1198" s="365">
        <f>G1055</f>
        <v>24365.510000000002</v>
      </c>
      <c r="H1198" s="365">
        <f t="shared" ref="H1198:I1198" si="587">H1055</f>
        <v>22808.713</v>
      </c>
      <c r="I1198" s="365">
        <f t="shared" si="587"/>
        <v>93.610652927026763</v>
      </c>
    </row>
    <row r="1199" spans="5:9" ht="18.75" x14ac:dyDescent="0.3">
      <c r="E1199" s="201">
        <v>66</v>
      </c>
      <c r="G1199" s="365">
        <f>G540</f>
        <v>629.7600000000001</v>
      </c>
      <c r="H1199" s="365">
        <f t="shared" ref="H1199:I1199" si="588">H540</f>
        <v>0</v>
      </c>
      <c r="I1199" s="365">
        <f t="shared" si="588"/>
        <v>0</v>
      </c>
    </row>
    <row r="1200" spans="5:9" ht="18.75" x14ac:dyDescent="0.3">
      <c r="E1200" s="201">
        <v>67</v>
      </c>
      <c r="G1200" s="365">
        <f>G148</f>
        <v>40</v>
      </c>
      <c r="H1200" s="365">
        <f t="shared" ref="H1200:I1200" si="589">H148</f>
        <v>0</v>
      </c>
      <c r="I1200" s="365">
        <f t="shared" si="589"/>
        <v>0</v>
      </c>
    </row>
    <row r="1201" spans="5:10" ht="18.75" x14ac:dyDescent="0.3">
      <c r="E1201" s="201">
        <v>69</v>
      </c>
      <c r="G1201" s="365">
        <f>G153</f>
        <v>87.1</v>
      </c>
      <c r="H1201" s="365">
        <f t="shared" ref="H1201:I1201" si="590">H153</f>
        <v>13.16</v>
      </c>
      <c r="I1201" s="365">
        <f t="shared" si="590"/>
        <v>15.109070034443169</v>
      </c>
    </row>
    <row r="1202" spans="5:10" s="201" customFormat="1" ht="18.75" x14ac:dyDescent="0.3">
      <c r="E1202" s="201">
        <v>70</v>
      </c>
      <c r="G1202" s="365">
        <f>G1001</f>
        <v>0</v>
      </c>
      <c r="H1202" s="365">
        <f t="shared" ref="H1202:I1202" si="591">H1001</f>
        <v>0</v>
      </c>
      <c r="I1202" s="365" t="e">
        <f t="shared" si="591"/>
        <v>#DIV/0!</v>
      </c>
      <c r="J1202" s="479"/>
    </row>
    <row r="1203" spans="5:10" ht="18.75" x14ac:dyDescent="0.3">
      <c r="G1203" s="365">
        <f>SUM(G1183:G1202)</f>
        <v>565675.84</v>
      </c>
      <c r="H1203" s="365">
        <f t="shared" ref="H1203:I1203" si="592">SUM(H1183:H1202)</f>
        <v>390125.18926999986</v>
      </c>
      <c r="I1203" s="365" t="e">
        <f t="shared" si="592"/>
        <v>#DIV/0!</v>
      </c>
    </row>
  </sheetData>
  <mergeCells count="9">
    <mergeCell ref="H1:I1"/>
    <mergeCell ref="S1156:U1156"/>
    <mergeCell ref="K1145:T1145"/>
    <mergeCell ref="K1155:AF1155"/>
    <mergeCell ref="H3:I3"/>
    <mergeCell ref="A7:I7"/>
    <mergeCell ref="H5:I5"/>
    <mergeCell ref="H4:I4"/>
    <mergeCell ref="H2:I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3" manualBreakCount="3">
    <brk id="9" max="1201" man="1"/>
    <brk id="16" max="1201" man="1"/>
    <brk id="23" max="11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2" t="s">
        <v>108</v>
      </c>
      <c r="G1" s="63"/>
      <c r="H1" s="173"/>
    </row>
    <row r="2" spans="1:9" ht="18.75" x14ac:dyDescent="0.3">
      <c r="A2" s="63"/>
      <c r="B2" s="63"/>
      <c r="C2" s="63"/>
      <c r="D2" s="63"/>
      <c r="E2" s="62"/>
      <c r="F2" s="152" t="s">
        <v>0</v>
      </c>
      <c r="G2" s="63"/>
      <c r="H2" s="173"/>
    </row>
    <row r="3" spans="1:9" ht="18.75" x14ac:dyDescent="0.3">
      <c r="A3" s="63"/>
      <c r="B3" s="63"/>
      <c r="C3" s="63"/>
      <c r="D3" s="63"/>
      <c r="E3" s="62"/>
      <c r="F3" s="152" t="s">
        <v>737</v>
      </c>
      <c r="G3" s="63"/>
      <c r="H3" s="173"/>
    </row>
    <row r="4" spans="1:9" ht="15.75" x14ac:dyDescent="0.25">
      <c r="A4" s="572"/>
      <c r="B4" s="572"/>
      <c r="C4" s="572"/>
      <c r="D4" s="572"/>
      <c r="E4" s="572"/>
      <c r="F4" s="572"/>
      <c r="G4" s="572"/>
      <c r="H4" s="173"/>
    </row>
    <row r="5" spans="1:9" ht="15.75" x14ac:dyDescent="0.25">
      <c r="A5" s="563" t="s">
        <v>109</v>
      </c>
      <c r="B5" s="563"/>
      <c r="C5" s="563"/>
      <c r="D5" s="563"/>
      <c r="E5" s="563"/>
      <c r="F5" s="563"/>
      <c r="G5" s="563"/>
      <c r="H5" s="173"/>
    </row>
    <row r="6" spans="1:9" ht="15.75" x14ac:dyDescent="0.25">
      <c r="A6" s="170"/>
      <c r="B6" s="170"/>
      <c r="C6" s="170"/>
      <c r="D6" s="170"/>
      <c r="E6" s="170"/>
      <c r="F6" s="170"/>
      <c r="G6" s="170"/>
      <c r="H6" s="173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3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3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3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3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3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3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3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3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3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3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3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3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3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3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3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3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3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3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3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3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3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3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3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3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3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3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3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3">
        <f>36517.7-553.5-1733.7</f>
        <v>34230.5</v>
      </c>
      <c r="H34" s="154" t="s">
        <v>715</v>
      </c>
      <c r="J34" s="168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3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3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3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3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3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3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3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3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3">
        <f>6958.6+88.4-2398.3+1112.5</f>
        <v>5761.2</v>
      </c>
      <c r="H45" s="105" t="s">
        <v>716</v>
      </c>
      <c r="I45" s="123"/>
      <c r="J45" s="167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3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3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3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3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3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3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3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3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3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3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3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3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3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3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3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3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3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3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3"/>
    </row>
    <row r="65" spans="1:8" ht="63" x14ac:dyDescent="0.25">
      <c r="A65" s="174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3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3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3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3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3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3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3"/>
    </row>
    <row r="75" spans="1:8" ht="31.5" x14ac:dyDescent="0.25">
      <c r="A75" s="174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3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3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3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3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3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3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3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3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3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3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3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3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3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3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3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3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3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3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3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3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3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3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3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3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3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3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3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3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3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3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3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3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3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3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3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3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3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3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3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3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3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3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3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3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3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3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3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3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3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3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3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3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3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3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3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3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3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3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3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3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3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3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3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3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3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3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3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3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3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3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3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3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3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3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3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3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3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3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3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3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3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6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3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3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3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3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3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3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3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3">
        <f>204.7+100</f>
        <v>304.7</v>
      </c>
      <c r="H173" s="154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3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3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3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3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3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3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3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3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5">
        <f>310+140</f>
        <v>450</v>
      </c>
      <c r="H183" s="154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3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3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3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3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3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9">
        <v>90</v>
      </c>
      <c r="H189" s="154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3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3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3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3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3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3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3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3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3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3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3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3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3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3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3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3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3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3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3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3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3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3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3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3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3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3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3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3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3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3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3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3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3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3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3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3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3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3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3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3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3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9">
        <v>88.7</v>
      </c>
      <c r="H234" s="154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3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3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3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3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3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3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3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3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3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3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3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3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3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3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3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3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3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3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3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3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3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3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3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3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3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3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3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3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3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3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3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3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3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3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3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3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3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3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3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3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3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3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3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3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3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3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3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3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3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3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3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3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3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3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3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3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3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3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3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3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3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3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3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3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3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3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3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3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3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3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3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3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3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3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3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3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3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3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3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3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3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3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3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3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3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3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3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3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3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3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3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3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3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3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3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3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3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3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3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3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3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3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3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3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3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3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3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3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3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3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3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3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3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3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3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3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3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3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3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3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3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3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3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3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3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3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3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3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3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3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3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3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3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3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3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3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3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3"/>
      <c r="J381" s="573"/>
      <c r="K381" s="573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3"/>
      <c r="J382" s="573"/>
      <c r="K382" s="573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573"/>
      <c r="K383" s="573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3"/>
      <c r="J384" s="573"/>
      <c r="K384" s="573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573"/>
      <c r="K385" s="573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3"/>
      <c r="J386" s="573"/>
      <c r="K386" s="573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3"/>
      <c r="J387" s="573"/>
      <c r="K387" s="573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3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3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3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3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3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3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3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3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3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3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3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3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3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3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3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3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3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3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3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3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3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9">
        <f>552-50+45</f>
        <v>547</v>
      </c>
      <c r="H410" s="154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3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3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3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3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3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3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3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3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3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3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3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3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3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3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3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3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3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3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3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3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3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3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3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3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3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3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3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3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3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3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3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3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3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61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3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3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9">
        <v>59.4</v>
      </c>
      <c r="H453" s="154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3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3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3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3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3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3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3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3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3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3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3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3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3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3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3">
        <f>885.8-74</f>
        <v>811.8</v>
      </c>
      <c r="H468" s="154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3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5">
        <f>2.5+74</f>
        <v>76.5</v>
      </c>
      <c r="H470" s="154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3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3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3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3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3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9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3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3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3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3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3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3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3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3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3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3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3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3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3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3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3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3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3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3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3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3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3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3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3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3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3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3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3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3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3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3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3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3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3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3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3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5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3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3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3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3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3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3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5">
        <f>800+300+45</f>
        <v>1145</v>
      </c>
      <c r="H519" s="162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3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3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3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3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3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3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3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3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3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3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3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3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3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3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3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3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3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3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3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3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3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3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3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3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3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3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3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3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3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3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5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3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3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3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3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3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3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3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3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3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3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3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3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3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3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3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3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3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3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3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3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3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3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3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3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3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3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3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3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3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3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3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3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3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3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3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3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3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3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3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3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3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3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3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3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3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3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3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3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3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3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3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3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3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3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3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3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3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3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3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3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3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3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3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3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3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3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3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3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3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3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3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3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3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3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3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3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3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3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3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3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3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3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3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3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3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3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3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3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3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3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3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3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3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3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3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3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3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3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3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3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3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3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3">
        <f>4975.7+5.8</f>
        <v>4981.5</v>
      </c>
      <c r="H659" s="154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3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5">
        <f>163-5.8</f>
        <v>157.19999999999999</v>
      </c>
      <c r="H661" s="154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3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3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3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9">
        <f>206.3+143.7+25</f>
        <v>375</v>
      </c>
      <c r="H665" s="154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3"/>
      <c r="J666" s="573"/>
      <c r="K666" s="573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3"/>
      <c r="J667" s="573"/>
      <c r="K667" s="573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573"/>
      <c r="K668" s="573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3"/>
      <c r="J669" s="573"/>
      <c r="K669" s="573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573"/>
      <c r="K670" s="573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3"/>
      <c r="J671" s="573"/>
      <c r="K671" s="573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573"/>
      <c r="K672" s="573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3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3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3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3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3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3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3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3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3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3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3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3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3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3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3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3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3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3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3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3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3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3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3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3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3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3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3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3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3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3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3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3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3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3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3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3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60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3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3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5">
        <f>797.5-500</f>
        <v>297.5</v>
      </c>
      <c r="H713" s="154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3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3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3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3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3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3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3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3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3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3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5">
        <v>500</v>
      </c>
      <c r="H724" s="154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3"/>
    </row>
    <row r="726" spans="1:9" ht="63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3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3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3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3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3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3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3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3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3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3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3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3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3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3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3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3"/>
      <c r="J741" s="573"/>
      <c r="K741" s="573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3"/>
      <c r="J742" s="573"/>
      <c r="K742" s="573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573"/>
      <c r="K743" s="573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3"/>
      <c r="J744" s="573"/>
      <c r="K744" s="573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573"/>
      <c r="K745" s="573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3"/>
      <c r="J746" s="573"/>
      <c r="K746" s="573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573"/>
      <c r="K747" s="573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3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3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3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3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3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3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3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3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3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3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3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3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3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3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3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3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3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3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3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3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3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3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3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3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3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3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3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3"/>
    </row>
    <row r="778" spans="1:9" ht="63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3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3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3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3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4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3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3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3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3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3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3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3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3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3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3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3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3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3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3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3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3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5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3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3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3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3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3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3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3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3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4">
        <f>110+20+2977</f>
        <v>3107</v>
      </c>
      <c r="H810" s="158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3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3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4">
        <f>10+30+3534.6-2200</f>
        <v>1374.6</v>
      </c>
      <c r="H813" s="112" t="s">
        <v>750</v>
      </c>
      <c r="J813" s="165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3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3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4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3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3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6" t="s">
        <v>752</v>
      </c>
    </row>
    <row r="820" spans="1:10" ht="31.5" hidden="1" x14ac:dyDescent="0.25">
      <c r="A820" s="174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3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3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3"/>
    </row>
    <row r="823" spans="1:10" ht="15.75" x14ac:dyDescent="0.25">
      <c r="A823" s="174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3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3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6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3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3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3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3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3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3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3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3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3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3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9">
        <f>10880-5000-2230+172.1+16500</f>
        <v>20322.099999999999</v>
      </c>
      <c r="H840" s="105" t="s">
        <v>749</v>
      </c>
      <c r="I840" s="114"/>
      <c r="J840" s="167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3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3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3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3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3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3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3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3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3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3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3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3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3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3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3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3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3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3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3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3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3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3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3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3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3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3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3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3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3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3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3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3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3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3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3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3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3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3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3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3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3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3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3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3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3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3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3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3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3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3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3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3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3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3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3">
        <f>13259.3+28.4+100-59.9</f>
        <v>13327.8</v>
      </c>
      <c r="H904" s="105" t="s">
        <v>747</v>
      </c>
      <c r="I904" s="123"/>
      <c r="J904" s="167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3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3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9">
        <f>89+59.9</f>
        <v>148.9</v>
      </c>
      <c r="H908" s="154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3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3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3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3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3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3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3">
        <f>6196.89-1411.4-100-180</f>
        <v>4505.49</v>
      </c>
      <c r="H915" s="105" t="s">
        <v>760</v>
      </c>
      <c r="I915" s="123"/>
      <c r="J915" s="166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3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3">
        <f>1341.9+928.5-198.8-595.1+180</f>
        <v>1656.5</v>
      </c>
      <c r="H917" s="105" t="s">
        <v>761</v>
      </c>
      <c r="I917" s="124"/>
      <c r="J917" s="166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3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3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3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3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3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3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3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3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3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3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3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3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3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3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3"/>
      <c r="J932" s="166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3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3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3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3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3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3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3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3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3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3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3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3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3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3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3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3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3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3"/>
      <c r="J950" s="169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3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3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3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3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3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3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3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3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3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3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3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3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3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3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3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3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3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3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3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3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3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3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3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'пр.2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'пр.2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'пр.2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'пр.2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'пр.2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'пр.2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'пр.2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'пр.2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'пр.2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'пр.2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984" zoomScaleNormal="100" zoomScaleSheetLayoutView="100" workbookViewId="0">
      <selection activeCell="M1118" sqref="M1118"/>
    </sheetView>
  </sheetViews>
  <sheetFormatPr defaultRowHeight="15" x14ac:dyDescent="0.25"/>
  <cols>
    <col min="1" max="1" width="55" style="201" customWidth="1"/>
    <col min="2" max="2" width="6.42578125" style="201" customWidth="1"/>
    <col min="3" max="3" width="6" style="201" customWidth="1"/>
    <col min="4" max="4" width="5.140625" style="201" customWidth="1"/>
    <col min="5" max="5" width="15.85546875" style="201" customWidth="1"/>
    <col min="6" max="6" width="7" style="201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7" max="17" width="7.7109375" customWidth="1"/>
    <col min="18" max="18" width="7.140625" customWidth="1"/>
    <col min="19" max="23" width="8.140625" style="200" customWidth="1"/>
    <col min="24" max="24" width="6.7109375" customWidth="1"/>
    <col min="25" max="27" width="7.42578125" style="200" customWidth="1"/>
  </cols>
  <sheetData>
    <row r="1" spans="1:9" ht="18.75" customHeight="1" x14ac:dyDescent="0.25">
      <c r="A1" s="63"/>
      <c r="B1" s="63"/>
      <c r="C1" s="63"/>
      <c r="D1" s="63"/>
      <c r="G1" s="554" t="s">
        <v>1526</v>
      </c>
      <c r="H1" s="554"/>
      <c r="I1" s="201"/>
    </row>
    <row r="2" spans="1:9" ht="18.75" customHeight="1" x14ac:dyDescent="0.25">
      <c r="A2" s="63"/>
      <c r="B2" s="63"/>
      <c r="C2" s="63"/>
      <c r="D2" s="63"/>
      <c r="G2" s="554" t="s">
        <v>1525</v>
      </c>
      <c r="H2" s="554"/>
      <c r="I2" s="201"/>
    </row>
    <row r="3" spans="1:9" s="200" customFormat="1" ht="18.75" customHeight="1" x14ac:dyDescent="0.25">
      <c r="A3" s="63"/>
      <c r="B3" s="63"/>
      <c r="C3" s="63"/>
      <c r="D3" s="63"/>
      <c r="E3" s="201"/>
      <c r="F3" s="201"/>
      <c r="G3" s="554" t="s">
        <v>1517</v>
      </c>
      <c r="H3" s="554"/>
      <c r="I3" s="201"/>
    </row>
    <row r="4" spans="1:9" ht="15.75" x14ac:dyDescent="0.25">
      <c r="A4" s="572"/>
      <c r="B4" s="572"/>
      <c r="C4" s="572"/>
      <c r="D4" s="572"/>
      <c r="E4" s="572"/>
      <c r="F4" s="572"/>
      <c r="I4" s="201"/>
    </row>
    <row r="5" spans="1:9" ht="15.75" x14ac:dyDescent="0.25">
      <c r="A5" s="563" t="s">
        <v>1290</v>
      </c>
      <c r="B5" s="563"/>
      <c r="C5" s="563"/>
      <c r="D5" s="563"/>
      <c r="E5" s="563"/>
      <c r="F5" s="563"/>
      <c r="G5" s="563"/>
      <c r="H5" s="563"/>
      <c r="I5" s="201"/>
    </row>
    <row r="6" spans="1:9" ht="15.75" x14ac:dyDescent="0.25">
      <c r="A6" s="341"/>
      <c r="B6" s="341"/>
      <c r="C6" s="341"/>
      <c r="D6" s="341"/>
      <c r="E6" s="341"/>
      <c r="F6" s="341"/>
      <c r="I6" s="201"/>
    </row>
    <row r="7" spans="1:9" ht="15.75" x14ac:dyDescent="0.25">
      <c r="A7" s="13"/>
      <c r="B7" s="13"/>
      <c r="C7" s="13"/>
      <c r="D7" s="13"/>
      <c r="E7" s="13"/>
      <c r="F7" s="13"/>
      <c r="G7" s="268" t="s">
        <v>1</v>
      </c>
      <c r="H7" s="268"/>
      <c r="I7" s="201"/>
    </row>
    <row r="8" spans="1:9" ht="63" x14ac:dyDescent="0.25">
      <c r="A8" s="340" t="s">
        <v>110</v>
      </c>
      <c r="B8" s="340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66" t="s">
        <v>1027</v>
      </c>
      <c r="H8" s="366" t="s">
        <v>1291</v>
      </c>
      <c r="I8" s="201"/>
    </row>
    <row r="9" spans="1:9" s="200" customFormat="1" ht="15.75" x14ac:dyDescent="0.25">
      <c r="A9" s="292" t="s">
        <v>1415</v>
      </c>
      <c r="B9" s="340"/>
      <c r="C9" s="15"/>
      <c r="D9" s="15"/>
      <c r="E9" s="15"/>
      <c r="F9" s="15"/>
      <c r="G9" s="59">
        <v>12478.69</v>
      </c>
      <c r="H9" s="59">
        <v>25451.88</v>
      </c>
      <c r="I9" s="201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1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1"/>
    </row>
    <row r="12" spans="1:9" ht="51" customHeight="1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 t="shared" si="0"/>
        <v>13506</v>
      </c>
      <c r="H12" s="21">
        <f t="shared" si="0"/>
        <v>13506</v>
      </c>
      <c r="I12" s="201"/>
    </row>
    <row r="13" spans="1:9" ht="31.5" x14ac:dyDescent="0.25">
      <c r="A13" s="23" t="s">
        <v>917</v>
      </c>
      <c r="B13" s="19">
        <v>901</v>
      </c>
      <c r="C13" s="24" t="s">
        <v>118</v>
      </c>
      <c r="D13" s="24" t="s">
        <v>120</v>
      </c>
      <c r="E13" s="24" t="s">
        <v>858</v>
      </c>
      <c r="F13" s="24"/>
      <c r="G13" s="21">
        <f t="shared" si="0"/>
        <v>13506</v>
      </c>
      <c r="H13" s="21">
        <f t="shared" si="0"/>
        <v>13506</v>
      </c>
      <c r="I13" s="201"/>
    </row>
    <row r="14" spans="1:9" ht="15.75" x14ac:dyDescent="0.25">
      <c r="A14" s="23" t="s">
        <v>918</v>
      </c>
      <c r="B14" s="19">
        <v>901</v>
      </c>
      <c r="C14" s="24" t="s">
        <v>118</v>
      </c>
      <c r="D14" s="24" t="s">
        <v>120</v>
      </c>
      <c r="E14" s="24" t="s">
        <v>859</v>
      </c>
      <c r="F14" s="24"/>
      <c r="G14" s="21">
        <f>G15+G22</f>
        <v>13506</v>
      </c>
      <c r="H14" s="21">
        <f>H15+H22</f>
        <v>13506</v>
      </c>
      <c r="I14" s="201"/>
    </row>
    <row r="15" spans="1:9" ht="31.5" x14ac:dyDescent="0.25">
      <c r="A15" s="25" t="s">
        <v>897</v>
      </c>
      <c r="B15" s="16">
        <v>901</v>
      </c>
      <c r="C15" s="20" t="s">
        <v>118</v>
      </c>
      <c r="D15" s="20" t="s">
        <v>120</v>
      </c>
      <c r="E15" s="20" t="s">
        <v>860</v>
      </c>
      <c r="F15" s="20"/>
      <c r="G15" s="26">
        <f>G16+G18+G20</f>
        <v>13086</v>
      </c>
      <c r="H15" s="26">
        <f>H16+H18+H20</f>
        <v>13086</v>
      </c>
      <c r="I15" s="201"/>
    </row>
    <row r="16" spans="1:9" ht="78.7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128</v>
      </c>
      <c r="G16" s="26">
        <f>G17</f>
        <v>12081</v>
      </c>
      <c r="H16" s="26">
        <f>H17</f>
        <v>12081</v>
      </c>
      <c r="I16" s="201"/>
    </row>
    <row r="17" spans="1:12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130</v>
      </c>
      <c r="G17" s="26">
        <v>12081</v>
      </c>
      <c r="H17" s="26">
        <f t="shared" ref="H17:H97" si="1">G17</f>
        <v>12081</v>
      </c>
      <c r="I17" s="201"/>
    </row>
    <row r="18" spans="1:12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132</v>
      </c>
      <c r="G18" s="26">
        <f>G19</f>
        <v>977</v>
      </c>
      <c r="H18" s="26">
        <f>H19</f>
        <v>977</v>
      </c>
      <c r="I18" s="201"/>
    </row>
    <row r="19" spans="1:12" ht="31.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134</v>
      </c>
      <c r="G19" s="26">
        <v>977</v>
      </c>
      <c r="H19" s="26">
        <f t="shared" si="1"/>
        <v>977</v>
      </c>
      <c r="I19" s="201"/>
    </row>
    <row r="20" spans="1:12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136</v>
      </c>
      <c r="G20" s="26">
        <f>G21</f>
        <v>28</v>
      </c>
      <c r="H20" s="26">
        <f>H21</f>
        <v>28</v>
      </c>
      <c r="I20" s="201"/>
    </row>
    <row r="21" spans="1:12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860</v>
      </c>
      <c r="F21" s="20" t="s">
        <v>138</v>
      </c>
      <c r="G21" s="26">
        <v>28</v>
      </c>
      <c r="H21" s="26">
        <v>28</v>
      </c>
      <c r="I21" s="201"/>
    </row>
    <row r="22" spans="1:12" ht="47.25" x14ac:dyDescent="0.25">
      <c r="A22" s="25" t="s">
        <v>839</v>
      </c>
      <c r="B22" s="16">
        <v>901</v>
      </c>
      <c r="C22" s="20" t="s">
        <v>118</v>
      </c>
      <c r="D22" s="20" t="s">
        <v>120</v>
      </c>
      <c r="E22" s="20" t="s">
        <v>862</v>
      </c>
      <c r="F22" s="20"/>
      <c r="G22" s="26">
        <f>G23</f>
        <v>420</v>
      </c>
      <c r="H22" s="26">
        <f>H23</f>
        <v>420</v>
      </c>
      <c r="I22" s="201"/>
    </row>
    <row r="23" spans="1:12" ht="78.75" x14ac:dyDescent="0.25">
      <c r="A23" s="25" t="s">
        <v>127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128</v>
      </c>
      <c r="G23" s="26">
        <f>G24</f>
        <v>420</v>
      </c>
      <c r="H23" s="26">
        <f>H24</f>
        <v>420</v>
      </c>
      <c r="I23" s="201"/>
    </row>
    <row r="24" spans="1:12" ht="31.5" x14ac:dyDescent="0.25">
      <c r="A24" s="25" t="s">
        <v>129</v>
      </c>
      <c r="B24" s="16">
        <v>901</v>
      </c>
      <c r="C24" s="20" t="s">
        <v>118</v>
      </c>
      <c r="D24" s="20" t="s">
        <v>120</v>
      </c>
      <c r="E24" s="20" t="s">
        <v>862</v>
      </c>
      <c r="F24" s="20" t="s">
        <v>130</v>
      </c>
      <c r="G24" s="26">
        <v>420</v>
      </c>
      <c r="H24" s="26">
        <v>420</v>
      </c>
      <c r="I24" s="201"/>
    </row>
    <row r="25" spans="1:12" s="200" customFormat="1" ht="15.75" hidden="1" x14ac:dyDescent="0.25">
      <c r="A25" s="23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21">
        <f t="shared" ref="G25:H29" si="2">G26</f>
        <v>0</v>
      </c>
      <c r="H25" s="21">
        <f t="shared" si="2"/>
        <v>0</v>
      </c>
      <c r="I25" s="201"/>
    </row>
    <row r="26" spans="1:12" s="200" customFormat="1" ht="15.75" hidden="1" x14ac:dyDescent="0.25">
      <c r="A26" s="23" t="s">
        <v>141</v>
      </c>
      <c r="B26" s="19">
        <v>901</v>
      </c>
      <c r="C26" s="24" t="s">
        <v>118</v>
      </c>
      <c r="D26" s="24" t="s">
        <v>140</v>
      </c>
      <c r="E26" s="24" t="s">
        <v>866</v>
      </c>
      <c r="F26" s="24"/>
      <c r="G26" s="21">
        <f t="shared" si="2"/>
        <v>0</v>
      </c>
      <c r="H26" s="21">
        <f t="shared" si="2"/>
        <v>0</v>
      </c>
      <c r="I26" s="201"/>
    </row>
    <row r="27" spans="1:12" s="200" customFormat="1" ht="31.5" hidden="1" x14ac:dyDescent="0.25">
      <c r="A27" s="23" t="s">
        <v>870</v>
      </c>
      <c r="B27" s="19">
        <v>901</v>
      </c>
      <c r="C27" s="24" t="s">
        <v>118</v>
      </c>
      <c r="D27" s="24" t="s">
        <v>140</v>
      </c>
      <c r="E27" s="24" t="s">
        <v>865</v>
      </c>
      <c r="F27" s="24"/>
      <c r="G27" s="21">
        <f t="shared" si="2"/>
        <v>0</v>
      </c>
      <c r="H27" s="21">
        <f t="shared" si="2"/>
        <v>0</v>
      </c>
      <c r="I27" s="201"/>
    </row>
    <row r="28" spans="1:12" s="200" customFormat="1" ht="15.75" hidden="1" x14ac:dyDescent="0.25">
      <c r="A28" s="25" t="s">
        <v>1138</v>
      </c>
      <c r="B28" s="16">
        <v>901</v>
      </c>
      <c r="C28" s="20" t="s">
        <v>118</v>
      </c>
      <c r="D28" s="20" t="s">
        <v>140</v>
      </c>
      <c r="E28" s="20" t="s">
        <v>1139</v>
      </c>
      <c r="F28" s="20"/>
      <c r="G28" s="26">
        <f t="shared" si="2"/>
        <v>0</v>
      </c>
      <c r="H28" s="26">
        <f t="shared" si="2"/>
        <v>0</v>
      </c>
      <c r="I28" s="201"/>
    </row>
    <row r="29" spans="1:12" s="200" customFormat="1" ht="15.75" hidden="1" x14ac:dyDescent="0.25">
      <c r="A29" s="25" t="s">
        <v>135</v>
      </c>
      <c r="B29" s="16">
        <v>901</v>
      </c>
      <c r="C29" s="20" t="s">
        <v>118</v>
      </c>
      <c r="D29" s="20" t="s">
        <v>140</v>
      </c>
      <c r="E29" s="20" t="s">
        <v>1139</v>
      </c>
      <c r="F29" s="20" t="s">
        <v>145</v>
      </c>
      <c r="G29" s="26">
        <f>G30</f>
        <v>0</v>
      </c>
      <c r="H29" s="26">
        <f t="shared" si="2"/>
        <v>0</v>
      </c>
      <c r="I29" s="201"/>
    </row>
    <row r="30" spans="1:12" s="200" customFormat="1" ht="15.75" hidden="1" x14ac:dyDescent="0.25">
      <c r="A30" s="25" t="s">
        <v>1138</v>
      </c>
      <c r="B30" s="16">
        <v>901</v>
      </c>
      <c r="C30" s="20" t="s">
        <v>118</v>
      </c>
      <c r="D30" s="20" t="s">
        <v>140</v>
      </c>
      <c r="E30" s="20" t="s">
        <v>1139</v>
      </c>
      <c r="F30" s="20" t="s">
        <v>1140</v>
      </c>
      <c r="G30" s="26">
        <v>0</v>
      </c>
      <c r="H30" s="26">
        <v>0</v>
      </c>
      <c r="I30" s="201"/>
      <c r="L30" s="200" t="s">
        <v>1295</v>
      </c>
    </row>
    <row r="31" spans="1:12" ht="21.75" customHeight="1" x14ac:dyDescent="0.25">
      <c r="A31" s="19" t="s">
        <v>148</v>
      </c>
      <c r="B31" s="19">
        <v>902</v>
      </c>
      <c r="C31" s="20"/>
      <c r="D31" s="20"/>
      <c r="E31" s="20"/>
      <c r="F31" s="20"/>
      <c r="G31" s="21">
        <f>G32+G172+G191+G218+G165</f>
        <v>79272.81</v>
      </c>
      <c r="H31" s="21">
        <f>H32+H172+H191+H218+H165</f>
        <v>66093.72</v>
      </c>
      <c r="I31" s="201"/>
    </row>
    <row r="32" spans="1:12" ht="15.75" x14ac:dyDescent="0.25">
      <c r="A32" s="23" t="s">
        <v>117</v>
      </c>
      <c r="B32" s="19">
        <v>902</v>
      </c>
      <c r="C32" s="24" t="s">
        <v>118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1"/>
    </row>
    <row r="33" spans="1:9" s="200" customFormat="1" ht="47.25" x14ac:dyDescent="0.25">
      <c r="A33" s="23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21">
        <f>G34+G44</f>
        <v>4867.3999999999996</v>
      </c>
      <c r="H33" s="21">
        <f>H34+H44</f>
        <v>4867.3999999999996</v>
      </c>
      <c r="I33" s="201"/>
    </row>
    <row r="34" spans="1:9" s="200" customFormat="1" ht="31.5" x14ac:dyDescent="0.25">
      <c r="A34" s="23" t="s">
        <v>917</v>
      </c>
      <c r="B34" s="19">
        <v>902</v>
      </c>
      <c r="C34" s="24" t="s">
        <v>118</v>
      </c>
      <c r="D34" s="24" t="s">
        <v>213</v>
      </c>
      <c r="E34" s="24" t="s">
        <v>858</v>
      </c>
      <c r="F34" s="20"/>
      <c r="G34" s="21">
        <f>G35</f>
        <v>4826.8999999999996</v>
      </c>
      <c r="H34" s="21">
        <f>H35</f>
        <v>4826.8999999999996</v>
      </c>
      <c r="I34" s="201"/>
    </row>
    <row r="35" spans="1:9" s="200" customFormat="1" ht="15.75" x14ac:dyDescent="0.25">
      <c r="A35" s="23" t="s">
        <v>918</v>
      </c>
      <c r="B35" s="19">
        <v>902</v>
      </c>
      <c r="C35" s="24" t="s">
        <v>118</v>
      </c>
      <c r="D35" s="24" t="s">
        <v>213</v>
      </c>
      <c r="E35" s="24" t="s">
        <v>859</v>
      </c>
      <c r="F35" s="20"/>
      <c r="G35" s="21">
        <f>G36+G41</f>
        <v>4826.8999999999996</v>
      </c>
      <c r="H35" s="21">
        <f>H36+H41</f>
        <v>4826.8999999999996</v>
      </c>
      <c r="I35" s="201"/>
    </row>
    <row r="36" spans="1:9" s="200" customFormat="1" ht="31.5" x14ac:dyDescent="0.25">
      <c r="A36" s="25" t="s">
        <v>576</v>
      </c>
      <c r="B36" s="16">
        <v>902</v>
      </c>
      <c r="C36" s="20" t="s">
        <v>118</v>
      </c>
      <c r="D36" s="20" t="s">
        <v>213</v>
      </c>
      <c r="E36" s="20" t="s">
        <v>1331</v>
      </c>
      <c r="F36" s="20"/>
      <c r="G36" s="26">
        <f>G37+G39</f>
        <v>4826.8999999999996</v>
      </c>
      <c r="H36" s="26">
        <f>H37+H39</f>
        <v>4826.8999999999996</v>
      </c>
      <c r="I36" s="201"/>
    </row>
    <row r="37" spans="1:9" s="200" customFormat="1" ht="78.75" x14ac:dyDescent="0.25">
      <c r="A37" s="25" t="s">
        <v>127</v>
      </c>
      <c r="B37" s="16">
        <v>902</v>
      </c>
      <c r="C37" s="20" t="s">
        <v>118</v>
      </c>
      <c r="D37" s="20" t="s">
        <v>213</v>
      </c>
      <c r="E37" s="20" t="s">
        <v>1331</v>
      </c>
      <c r="F37" s="20" t="s">
        <v>128</v>
      </c>
      <c r="G37" s="26">
        <f>G38</f>
        <v>4736.8999999999996</v>
      </c>
      <c r="H37" s="26">
        <f>H38</f>
        <v>4736.8999999999996</v>
      </c>
      <c r="I37" s="201"/>
    </row>
    <row r="38" spans="1:9" s="200" customFormat="1" ht="31.5" x14ac:dyDescent="0.25">
      <c r="A38" s="25" t="s">
        <v>129</v>
      </c>
      <c r="B38" s="16">
        <v>902</v>
      </c>
      <c r="C38" s="20" t="s">
        <v>118</v>
      </c>
      <c r="D38" s="20" t="s">
        <v>213</v>
      </c>
      <c r="E38" s="20" t="s">
        <v>1331</v>
      </c>
      <c r="F38" s="20" t="s">
        <v>130</v>
      </c>
      <c r="G38" s="27">
        <v>4736.8999999999996</v>
      </c>
      <c r="H38" s="26">
        <f>G38</f>
        <v>4736.8999999999996</v>
      </c>
      <c r="I38" s="201"/>
    </row>
    <row r="39" spans="1:9" s="200" customFormat="1" ht="31.5" x14ac:dyDescent="0.25">
      <c r="A39" s="25" t="s">
        <v>198</v>
      </c>
      <c r="B39" s="16">
        <v>902</v>
      </c>
      <c r="C39" s="20" t="s">
        <v>118</v>
      </c>
      <c r="D39" s="20" t="s">
        <v>213</v>
      </c>
      <c r="E39" s="20" t="s">
        <v>1331</v>
      </c>
      <c r="F39" s="20" t="s">
        <v>132</v>
      </c>
      <c r="G39" s="26">
        <f>G40</f>
        <v>90</v>
      </c>
      <c r="H39" s="26">
        <f>H40</f>
        <v>90</v>
      </c>
      <c r="I39" s="201"/>
    </row>
    <row r="40" spans="1:9" s="200" customFormat="1" ht="32.65" customHeight="1" x14ac:dyDescent="0.25">
      <c r="A40" s="25" t="s">
        <v>133</v>
      </c>
      <c r="B40" s="16">
        <v>902</v>
      </c>
      <c r="C40" s="20" t="s">
        <v>118</v>
      </c>
      <c r="D40" s="20" t="s">
        <v>213</v>
      </c>
      <c r="E40" s="20" t="s">
        <v>1331</v>
      </c>
      <c r="F40" s="20" t="s">
        <v>134</v>
      </c>
      <c r="G40" s="26">
        <v>90</v>
      </c>
      <c r="H40" s="26">
        <f>G40</f>
        <v>90</v>
      </c>
      <c r="I40" s="201"/>
    </row>
    <row r="41" spans="1:9" s="200" customFormat="1" ht="47.25" hidden="1" x14ac:dyDescent="0.25">
      <c r="A41" s="25" t="s">
        <v>839</v>
      </c>
      <c r="B41" s="16">
        <v>902</v>
      </c>
      <c r="C41" s="20" t="s">
        <v>118</v>
      </c>
      <c r="D41" s="20" t="s">
        <v>213</v>
      </c>
      <c r="E41" s="20" t="s">
        <v>862</v>
      </c>
      <c r="F41" s="20"/>
      <c r="G41" s="26">
        <f>G42</f>
        <v>0</v>
      </c>
      <c r="H41" s="26">
        <f>G41</f>
        <v>0</v>
      </c>
      <c r="I41" s="201"/>
    </row>
    <row r="42" spans="1:9" s="200" customFormat="1" ht="78.75" hidden="1" x14ac:dyDescent="0.25">
      <c r="A42" s="25" t="s">
        <v>127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128</v>
      </c>
      <c r="G42" s="26">
        <f>G43</f>
        <v>0</v>
      </c>
      <c r="H42" s="26">
        <f>G42</f>
        <v>0</v>
      </c>
      <c r="I42" s="201"/>
    </row>
    <row r="43" spans="1:9" s="200" customFormat="1" ht="31.5" hidden="1" x14ac:dyDescent="0.25">
      <c r="A43" s="25" t="s">
        <v>129</v>
      </c>
      <c r="B43" s="16">
        <v>902</v>
      </c>
      <c r="C43" s="20" t="s">
        <v>118</v>
      </c>
      <c r="D43" s="20" t="s">
        <v>213</v>
      </c>
      <c r="E43" s="20" t="s">
        <v>862</v>
      </c>
      <c r="F43" s="20" t="s">
        <v>130</v>
      </c>
      <c r="G43" s="26">
        <f>42-42</f>
        <v>0</v>
      </c>
      <c r="H43" s="26">
        <f>G43</f>
        <v>0</v>
      </c>
      <c r="I43" s="201"/>
    </row>
    <row r="44" spans="1:9" s="200" customFormat="1" ht="47.25" x14ac:dyDescent="0.25">
      <c r="A44" s="23" t="s">
        <v>1367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21">
        <f>G45</f>
        <v>40.5</v>
      </c>
      <c r="H44" s="21">
        <f>H45</f>
        <v>40.5</v>
      </c>
      <c r="I44" s="201"/>
    </row>
    <row r="45" spans="1:9" s="200" customFormat="1" ht="63" x14ac:dyDescent="0.25">
      <c r="A45" s="215" t="s">
        <v>843</v>
      </c>
      <c r="B45" s="19">
        <v>902</v>
      </c>
      <c r="C45" s="24" t="s">
        <v>118</v>
      </c>
      <c r="D45" s="24" t="s">
        <v>213</v>
      </c>
      <c r="E45" s="7" t="s">
        <v>850</v>
      </c>
      <c r="F45" s="24"/>
      <c r="G45" s="21">
        <f>G46+G49</f>
        <v>40.5</v>
      </c>
      <c r="H45" s="21">
        <f>H46+H49</f>
        <v>40.5</v>
      </c>
      <c r="I45" s="201"/>
    </row>
    <row r="46" spans="1:9" s="200" customFormat="1" ht="47.25" x14ac:dyDescent="0.25">
      <c r="A46" s="31" t="s">
        <v>1095</v>
      </c>
      <c r="B46" s="16">
        <v>902</v>
      </c>
      <c r="C46" s="20" t="s">
        <v>118</v>
      </c>
      <c r="D46" s="20" t="s">
        <v>213</v>
      </c>
      <c r="E46" s="40" t="s">
        <v>993</v>
      </c>
      <c r="F46" s="20"/>
      <c r="G46" s="26">
        <f>G47</f>
        <v>40.5</v>
      </c>
      <c r="H46" s="26">
        <f>H47</f>
        <v>40.5</v>
      </c>
      <c r="I46" s="201"/>
    </row>
    <row r="47" spans="1:9" s="200" customFormat="1" ht="31.5" x14ac:dyDescent="0.25">
      <c r="A47" s="25" t="s">
        <v>131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132</v>
      </c>
      <c r="G47" s="26">
        <f>G48</f>
        <v>40.5</v>
      </c>
      <c r="H47" s="26">
        <f>H48</f>
        <v>40.5</v>
      </c>
      <c r="I47" s="201"/>
    </row>
    <row r="48" spans="1:9" s="200" customFormat="1" ht="31.5" x14ac:dyDescent="0.25">
      <c r="A48" s="25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26">
        <f>0.5+40</f>
        <v>40.5</v>
      </c>
      <c r="H48" s="26">
        <f>G48</f>
        <v>40.5</v>
      </c>
      <c r="I48" s="201"/>
    </row>
    <row r="49" spans="1:9" s="200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992</v>
      </c>
      <c r="F49" s="20"/>
      <c r="G49" s="26">
        <f>G50</f>
        <v>0</v>
      </c>
      <c r="H49" s="26">
        <f>H50</f>
        <v>0</v>
      </c>
      <c r="I49" s="201"/>
    </row>
    <row r="50" spans="1:9" s="200" customFormat="1" ht="31.5" hidden="1" x14ac:dyDescent="0.25">
      <c r="A50" s="25" t="s">
        <v>131</v>
      </c>
      <c r="B50" s="16">
        <v>902</v>
      </c>
      <c r="C50" s="20" t="s">
        <v>118</v>
      </c>
      <c r="D50" s="20" t="s">
        <v>213</v>
      </c>
      <c r="E50" s="20" t="s">
        <v>992</v>
      </c>
      <c r="F50" s="20" t="s">
        <v>132</v>
      </c>
      <c r="G50" s="26">
        <f>G51</f>
        <v>0</v>
      </c>
      <c r="H50" s="26">
        <f>H51</f>
        <v>0</v>
      </c>
      <c r="I50" s="201"/>
    </row>
    <row r="51" spans="1:9" s="200" customFormat="1" ht="31.5" hidden="1" x14ac:dyDescent="0.25">
      <c r="A51" s="25" t="s">
        <v>133</v>
      </c>
      <c r="B51" s="16">
        <v>902</v>
      </c>
      <c r="C51" s="20" t="s">
        <v>118</v>
      </c>
      <c r="D51" s="20" t="s">
        <v>213</v>
      </c>
      <c r="E51" s="20" t="s">
        <v>992</v>
      </c>
      <c r="F51" s="20" t="s">
        <v>134</v>
      </c>
      <c r="G51" s="26"/>
      <c r="H51" s="26"/>
      <c r="I51" s="201"/>
    </row>
    <row r="52" spans="1:9" ht="63" x14ac:dyDescent="0.25">
      <c r="A52" s="23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21">
        <f>G53+G89</f>
        <v>44810.21</v>
      </c>
      <c r="H52" s="21">
        <f>H53+H89</f>
        <v>31621.519999999997</v>
      </c>
      <c r="I52" s="201"/>
    </row>
    <row r="53" spans="1:9" ht="31.5" x14ac:dyDescent="0.25">
      <c r="A53" s="23" t="s">
        <v>917</v>
      </c>
      <c r="B53" s="19">
        <v>902</v>
      </c>
      <c r="C53" s="24" t="s">
        <v>118</v>
      </c>
      <c r="D53" s="24" t="s">
        <v>150</v>
      </c>
      <c r="E53" s="24" t="s">
        <v>858</v>
      </c>
      <c r="F53" s="24"/>
      <c r="G53" s="44">
        <f>G54+G70</f>
        <v>44126.71</v>
      </c>
      <c r="H53" s="44">
        <f>H54+H70</f>
        <v>30938.019999999997</v>
      </c>
      <c r="I53" s="201"/>
    </row>
    <row r="54" spans="1:9" ht="15.75" x14ac:dyDescent="0.25">
      <c r="A54" s="23" t="s">
        <v>918</v>
      </c>
      <c r="B54" s="19">
        <v>902</v>
      </c>
      <c r="C54" s="24" t="s">
        <v>118</v>
      </c>
      <c r="D54" s="24" t="s">
        <v>150</v>
      </c>
      <c r="E54" s="24" t="s">
        <v>859</v>
      </c>
      <c r="F54" s="24"/>
      <c r="G54" s="44">
        <f>G55+G64+G67</f>
        <v>40818.11</v>
      </c>
      <c r="H54" s="44">
        <f>H55+H64+H67</f>
        <v>27844.92</v>
      </c>
      <c r="I54" s="201"/>
    </row>
    <row r="55" spans="1:9" ht="31.5" x14ac:dyDescent="0.25">
      <c r="A55" s="25" t="s">
        <v>897</v>
      </c>
      <c r="B55" s="16">
        <v>902</v>
      </c>
      <c r="C55" s="20" t="s">
        <v>118</v>
      </c>
      <c r="D55" s="20" t="s">
        <v>150</v>
      </c>
      <c r="E55" s="20" t="s">
        <v>860</v>
      </c>
      <c r="F55" s="20"/>
      <c r="G55" s="26">
        <f>G56+G58+G60+G62</f>
        <v>37155.71</v>
      </c>
      <c r="H55" s="26">
        <f>H56+H58+H60+H62</f>
        <v>24182.519999999997</v>
      </c>
      <c r="I55" s="201"/>
    </row>
    <row r="56" spans="1:9" ht="78.75" x14ac:dyDescent="0.25">
      <c r="A56" s="25" t="s">
        <v>127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128</v>
      </c>
      <c r="G56" s="26">
        <f>G57</f>
        <v>31521.309999999998</v>
      </c>
      <c r="H56" s="26">
        <f>H57</f>
        <v>18548.12</v>
      </c>
      <c r="I56" s="201"/>
    </row>
    <row r="57" spans="1:9" ht="31.5" x14ac:dyDescent="0.25">
      <c r="A57" s="25" t="s">
        <v>129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130</v>
      </c>
      <c r="G57" s="26">
        <f>44000-G9</f>
        <v>31521.309999999998</v>
      </c>
      <c r="H57" s="26">
        <f>44000-H9</f>
        <v>18548.12</v>
      </c>
      <c r="I57" s="201"/>
    </row>
    <row r="58" spans="1:9" ht="31.5" x14ac:dyDescent="0.25">
      <c r="A58" s="25" t="s">
        <v>131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132</v>
      </c>
      <c r="G58" s="26">
        <f>G59</f>
        <v>5559.4</v>
      </c>
      <c r="H58" s="26">
        <f>H59</f>
        <v>5559.4</v>
      </c>
      <c r="I58" s="201"/>
    </row>
    <row r="59" spans="1:9" ht="31.5" x14ac:dyDescent="0.25">
      <c r="A59" s="25" t="s">
        <v>133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134</v>
      </c>
      <c r="G59" s="26">
        <v>5559.4</v>
      </c>
      <c r="H59" s="26">
        <f>G59</f>
        <v>5559.4</v>
      </c>
      <c r="I59" s="201"/>
    </row>
    <row r="60" spans="1:9" ht="31.5" hidden="1" x14ac:dyDescent="0.25">
      <c r="A60" s="25" t="s">
        <v>248</v>
      </c>
      <c r="B60" s="16">
        <v>902</v>
      </c>
      <c r="C60" s="20" t="s">
        <v>118</v>
      </c>
      <c r="D60" s="20" t="s">
        <v>150</v>
      </c>
      <c r="E60" s="20" t="s">
        <v>860</v>
      </c>
      <c r="F60" s="20" t="s">
        <v>249</v>
      </c>
      <c r="G60" s="26">
        <f>G61</f>
        <v>0</v>
      </c>
      <c r="H60" s="26">
        <f>H61</f>
        <v>0</v>
      </c>
      <c r="I60" s="201"/>
    </row>
    <row r="61" spans="1:9" ht="31.5" hidden="1" x14ac:dyDescent="0.25">
      <c r="A61" s="25" t="s">
        <v>250</v>
      </c>
      <c r="B61" s="16">
        <v>902</v>
      </c>
      <c r="C61" s="20" t="s">
        <v>118</v>
      </c>
      <c r="D61" s="20" t="s">
        <v>150</v>
      </c>
      <c r="E61" s="20" t="s">
        <v>860</v>
      </c>
      <c r="F61" s="20" t="s">
        <v>251</v>
      </c>
      <c r="G61" s="26">
        <v>0</v>
      </c>
      <c r="H61" s="26">
        <f t="shared" si="1"/>
        <v>0</v>
      </c>
      <c r="I61" s="201"/>
    </row>
    <row r="62" spans="1:9" ht="15.75" x14ac:dyDescent="0.25">
      <c r="A62" s="25" t="s">
        <v>135</v>
      </c>
      <c r="B62" s="16">
        <v>902</v>
      </c>
      <c r="C62" s="20" t="s">
        <v>118</v>
      </c>
      <c r="D62" s="20" t="s">
        <v>150</v>
      </c>
      <c r="E62" s="20" t="s">
        <v>860</v>
      </c>
      <c r="F62" s="20" t="s">
        <v>145</v>
      </c>
      <c r="G62" s="26">
        <f>G63</f>
        <v>75</v>
      </c>
      <c r="H62" s="26">
        <f>H63</f>
        <v>75</v>
      </c>
      <c r="I62" s="201"/>
    </row>
    <row r="63" spans="1:9" ht="15.75" x14ac:dyDescent="0.25">
      <c r="A63" s="25" t="s">
        <v>568</v>
      </c>
      <c r="B63" s="16">
        <v>902</v>
      </c>
      <c r="C63" s="20" t="s">
        <v>118</v>
      </c>
      <c r="D63" s="20" t="s">
        <v>150</v>
      </c>
      <c r="E63" s="20" t="s">
        <v>860</v>
      </c>
      <c r="F63" s="20" t="s">
        <v>138</v>
      </c>
      <c r="G63" s="26">
        <v>75</v>
      </c>
      <c r="H63" s="26">
        <f t="shared" si="1"/>
        <v>75</v>
      </c>
      <c r="I63" s="201"/>
    </row>
    <row r="64" spans="1:9" ht="31.5" x14ac:dyDescent="0.25">
      <c r="A64" s="25" t="s">
        <v>840</v>
      </c>
      <c r="B64" s="16">
        <v>902</v>
      </c>
      <c r="C64" s="20" t="s">
        <v>118</v>
      </c>
      <c r="D64" s="20" t="s">
        <v>150</v>
      </c>
      <c r="E64" s="20" t="s">
        <v>861</v>
      </c>
      <c r="F64" s="20"/>
      <c r="G64" s="26">
        <f>G65</f>
        <v>2071.4</v>
      </c>
      <c r="H64" s="26">
        <f t="shared" si="1"/>
        <v>2071.4</v>
      </c>
      <c r="I64" s="201"/>
    </row>
    <row r="65" spans="1:9" ht="78.75" x14ac:dyDescent="0.25">
      <c r="A65" s="25" t="s">
        <v>127</v>
      </c>
      <c r="B65" s="16">
        <v>902</v>
      </c>
      <c r="C65" s="20" t="s">
        <v>118</v>
      </c>
      <c r="D65" s="20" t="s">
        <v>150</v>
      </c>
      <c r="E65" s="20" t="s">
        <v>861</v>
      </c>
      <c r="F65" s="20" t="s">
        <v>128</v>
      </c>
      <c r="G65" s="26">
        <f>G66</f>
        <v>2071.4</v>
      </c>
      <c r="H65" s="26">
        <f>H66</f>
        <v>2071.4</v>
      </c>
      <c r="I65" s="201"/>
    </row>
    <row r="66" spans="1:9" ht="31.5" x14ac:dyDescent="0.25">
      <c r="A66" s="25" t="s">
        <v>129</v>
      </c>
      <c r="B66" s="16">
        <v>902</v>
      </c>
      <c r="C66" s="20" t="s">
        <v>118</v>
      </c>
      <c r="D66" s="20" t="s">
        <v>150</v>
      </c>
      <c r="E66" s="20" t="s">
        <v>861</v>
      </c>
      <c r="F66" s="20" t="s">
        <v>130</v>
      </c>
      <c r="G66" s="26">
        <v>2071.4</v>
      </c>
      <c r="H66" s="26">
        <f t="shared" si="1"/>
        <v>2071.4</v>
      </c>
      <c r="I66" s="201"/>
    </row>
    <row r="67" spans="1:9" ht="47.25" x14ac:dyDescent="0.25">
      <c r="A67" s="25" t="s">
        <v>839</v>
      </c>
      <c r="B67" s="16">
        <v>902</v>
      </c>
      <c r="C67" s="20" t="s">
        <v>118</v>
      </c>
      <c r="D67" s="20" t="s">
        <v>150</v>
      </c>
      <c r="E67" s="20" t="s">
        <v>862</v>
      </c>
      <c r="F67" s="20"/>
      <c r="G67" s="26">
        <f>G68</f>
        <v>1591</v>
      </c>
      <c r="H67" s="26">
        <f>H68</f>
        <v>1591</v>
      </c>
      <c r="I67" s="201"/>
    </row>
    <row r="68" spans="1:9" ht="78.75" x14ac:dyDescent="0.25">
      <c r="A68" s="25" t="s">
        <v>127</v>
      </c>
      <c r="B68" s="16">
        <v>902</v>
      </c>
      <c r="C68" s="20" t="s">
        <v>118</v>
      </c>
      <c r="D68" s="20" t="s">
        <v>150</v>
      </c>
      <c r="E68" s="20" t="s">
        <v>862</v>
      </c>
      <c r="F68" s="20" t="s">
        <v>128</v>
      </c>
      <c r="G68" s="26">
        <f>G69</f>
        <v>1591</v>
      </c>
      <c r="H68" s="26">
        <f>H69</f>
        <v>1591</v>
      </c>
      <c r="I68" s="201"/>
    </row>
    <row r="69" spans="1:9" ht="31.5" x14ac:dyDescent="0.25">
      <c r="A69" s="25" t="s">
        <v>129</v>
      </c>
      <c r="B69" s="16">
        <v>902</v>
      </c>
      <c r="C69" s="20" t="s">
        <v>118</v>
      </c>
      <c r="D69" s="20" t="s">
        <v>150</v>
      </c>
      <c r="E69" s="20" t="s">
        <v>862</v>
      </c>
      <c r="F69" s="20" t="s">
        <v>130</v>
      </c>
      <c r="G69" s="26">
        <v>1591</v>
      </c>
      <c r="H69" s="26">
        <f t="shared" si="1"/>
        <v>1591</v>
      </c>
      <c r="I69" s="201"/>
    </row>
    <row r="70" spans="1:9" ht="31.5" x14ac:dyDescent="0.25">
      <c r="A70" s="23" t="s">
        <v>885</v>
      </c>
      <c r="B70" s="19">
        <v>902</v>
      </c>
      <c r="C70" s="24" t="s">
        <v>118</v>
      </c>
      <c r="D70" s="24" t="s">
        <v>150</v>
      </c>
      <c r="E70" s="24" t="s">
        <v>863</v>
      </c>
      <c r="F70" s="24"/>
      <c r="G70" s="21">
        <f>G71+G74+G79+G84</f>
        <v>3308.6</v>
      </c>
      <c r="H70" s="21">
        <f>H71+H74+H79+H84</f>
        <v>3093.1</v>
      </c>
      <c r="I70" s="201"/>
    </row>
    <row r="71" spans="1:9" ht="47.25" hidden="1" x14ac:dyDescent="0.25">
      <c r="A71" s="25" t="s">
        <v>779</v>
      </c>
      <c r="B71" s="16">
        <v>902</v>
      </c>
      <c r="C71" s="20" t="s">
        <v>118</v>
      </c>
      <c r="D71" s="20" t="s">
        <v>150</v>
      </c>
      <c r="E71" s="20" t="s">
        <v>919</v>
      </c>
      <c r="F71" s="24"/>
      <c r="G71" s="26">
        <f>G72</f>
        <v>0</v>
      </c>
      <c r="H71" s="26">
        <f>H72</f>
        <v>0</v>
      </c>
      <c r="I71" s="201"/>
    </row>
    <row r="72" spans="1:9" ht="31.5" hidden="1" x14ac:dyDescent="0.25">
      <c r="A72" s="25" t="s">
        <v>131</v>
      </c>
      <c r="B72" s="16">
        <v>902</v>
      </c>
      <c r="C72" s="20" t="s">
        <v>118</v>
      </c>
      <c r="D72" s="20" t="s">
        <v>150</v>
      </c>
      <c r="E72" s="20" t="s">
        <v>919</v>
      </c>
      <c r="F72" s="20" t="s">
        <v>132</v>
      </c>
      <c r="G72" s="26">
        <f>G73</f>
        <v>0</v>
      </c>
      <c r="H72" s="26">
        <f>H73</f>
        <v>0</v>
      </c>
      <c r="I72" s="201"/>
    </row>
    <row r="73" spans="1:9" ht="31.5" hidden="1" x14ac:dyDescent="0.25">
      <c r="A73" s="25" t="s">
        <v>133</v>
      </c>
      <c r="B73" s="16">
        <v>902</v>
      </c>
      <c r="C73" s="20" t="s">
        <v>118</v>
      </c>
      <c r="D73" s="20" t="s">
        <v>150</v>
      </c>
      <c r="E73" s="20" t="s">
        <v>919</v>
      </c>
      <c r="F73" s="20" t="s">
        <v>134</v>
      </c>
      <c r="G73" s="367">
        <v>0</v>
      </c>
      <c r="H73" s="367">
        <v>0</v>
      </c>
      <c r="I73" s="201"/>
    </row>
    <row r="74" spans="1:9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920</v>
      </c>
      <c r="F74" s="20"/>
      <c r="G74" s="26">
        <f>G75+G77</f>
        <v>563.20000000000005</v>
      </c>
      <c r="H74" s="26">
        <f>H75+H77</f>
        <v>347.7</v>
      </c>
      <c r="I74" s="201"/>
    </row>
    <row r="75" spans="1:9" ht="78.75" x14ac:dyDescent="0.25">
      <c r="A75" s="25" t="s">
        <v>127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128</v>
      </c>
      <c r="G75" s="26">
        <f>G76</f>
        <v>563.20000000000005</v>
      </c>
      <c r="H75" s="26">
        <f>H76</f>
        <v>347.7</v>
      </c>
      <c r="I75" s="201"/>
    </row>
    <row r="76" spans="1:9" ht="31.5" x14ac:dyDescent="0.25">
      <c r="A76" s="25" t="s">
        <v>129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130</v>
      </c>
      <c r="G76" s="26">
        <v>563.20000000000005</v>
      </c>
      <c r="H76" s="26">
        <v>347.7</v>
      </c>
      <c r="I76" s="201"/>
    </row>
    <row r="77" spans="1:9" ht="31.5" hidden="1" x14ac:dyDescent="0.25">
      <c r="A77" s="25" t="s">
        <v>131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132</v>
      </c>
      <c r="G77" s="26">
        <f>G78</f>
        <v>0</v>
      </c>
      <c r="H77" s="26">
        <f>H78</f>
        <v>0</v>
      </c>
      <c r="I77" s="201"/>
    </row>
    <row r="78" spans="1:9" ht="31.5" hidden="1" x14ac:dyDescent="0.25">
      <c r="A78" s="25" t="s">
        <v>133</v>
      </c>
      <c r="B78" s="16">
        <v>902</v>
      </c>
      <c r="C78" s="20" t="s">
        <v>118</v>
      </c>
      <c r="D78" s="20" t="s">
        <v>150</v>
      </c>
      <c r="E78" s="20" t="s">
        <v>920</v>
      </c>
      <c r="F78" s="20" t="s">
        <v>134</v>
      </c>
      <c r="G78" s="367">
        <v>0</v>
      </c>
      <c r="H78" s="367">
        <v>0</v>
      </c>
      <c r="I78" s="201"/>
    </row>
    <row r="79" spans="1:9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1028</v>
      </c>
      <c r="F79" s="20"/>
      <c r="G79" s="26">
        <f>G80+G82</f>
        <v>1411.1</v>
      </c>
      <c r="H79" s="26">
        <f>H80+H82</f>
        <v>1411.1</v>
      </c>
      <c r="I79" s="201"/>
    </row>
    <row r="80" spans="1:9" ht="78.75" x14ac:dyDescent="0.25">
      <c r="A80" s="25" t="s">
        <v>127</v>
      </c>
      <c r="B80" s="16">
        <v>902</v>
      </c>
      <c r="C80" s="20" t="s">
        <v>118</v>
      </c>
      <c r="D80" s="20" t="s">
        <v>150</v>
      </c>
      <c r="E80" s="20" t="s">
        <v>1028</v>
      </c>
      <c r="F80" s="20" t="s">
        <v>128</v>
      </c>
      <c r="G80" s="26">
        <f>G81</f>
        <v>1372.1</v>
      </c>
      <c r="H80" s="26">
        <f>H81</f>
        <v>1372.1</v>
      </c>
      <c r="I80" s="201"/>
    </row>
    <row r="81" spans="1:9" ht="31.5" x14ac:dyDescent="0.25">
      <c r="A81" s="25" t="s">
        <v>129</v>
      </c>
      <c r="B81" s="16">
        <v>902</v>
      </c>
      <c r="C81" s="20" t="s">
        <v>118</v>
      </c>
      <c r="D81" s="20" t="s">
        <v>150</v>
      </c>
      <c r="E81" s="20" t="s">
        <v>1028</v>
      </c>
      <c r="F81" s="20" t="s">
        <v>130</v>
      </c>
      <c r="G81" s="26">
        <f>1372.1</f>
        <v>1372.1</v>
      </c>
      <c r="H81" s="26">
        <f t="shared" si="1"/>
        <v>1372.1</v>
      </c>
      <c r="I81" s="201"/>
    </row>
    <row r="82" spans="1:9" ht="31.5" x14ac:dyDescent="0.25">
      <c r="A82" s="25" t="s">
        <v>131</v>
      </c>
      <c r="B82" s="16">
        <v>902</v>
      </c>
      <c r="C82" s="20" t="s">
        <v>118</v>
      </c>
      <c r="D82" s="20" t="s">
        <v>150</v>
      </c>
      <c r="E82" s="20" t="s">
        <v>1028</v>
      </c>
      <c r="F82" s="20" t="s">
        <v>132</v>
      </c>
      <c r="G82" s="26">
        <f>G83</f>
        <v>39</v>
      </c>
      <c r="H82" s="26">
        <f>H83</f>
        <v>39</v>
      </c>
      <c r="I82" s="201"/>
    </row>
    <row r="83" spans="1:9" ht="31.5" x14ac:dyDescent="0.25">
      <c r="A83" s="25" t="s">
        <v>133</v>
      </c>
      <c r="B83" s="16">
        <v>902</v>
      </c>
      <c r="C83" s="20" t="s">
        <v>118</v>
      </c>
      <c r="D83" s="20" t="s">
        <v>150</v>
      </c>
      <c r="E83" s="20" t="s">
        <v>1028</v>
      </c>
      <c r="F83" s="20" t="s">
        <v>134</v>
      </c>
      <c r="G83" s="26">
        <f>61.2-19.5-2.7</f>
        <v>39</v>
      </c>
      <c r="H83" s="26">
        <f t="shared" si="1"/>
        <v>39</v>
      </c>
      <c r="I83" s="201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921</v>
      </c>
      <c r="F84" s="20"/>
      <c r="G84" s="26">
        <f>G85+G87</f>
        <v>1334.3</v>
      </c>
      <c r="H84" s="26">
        <f>H85+H87</f>
        <v>1334.3</v>
      </c>
      <c r="I84" s="201"/>
    </row>
    <row r="85" spans="1:9" ht="78.75" x14ac:dyDescent="0.25">
      <c r="A85" s="25" t="s">
        <v>127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128</v>
      </c>
      <c r="G85" s="26">
        <f>G86</f>
        <v>1300.3</v>
      </c>
      <c r="H85" s="26">
        <f>H86</f>
        <v>1300.3</v>
      </c>
      <c r="I85" s="201"/>
    </row>
    <row r="86" spans="1:9" ht="31.5" x14ac:dyDescent="0.25">
      <c r="A86" s="25" t="s">
        <v>129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130</v>
      </c>
      <c r="G86" s="26">
        <v>1300.3</v>
      </c>
      <c r="H86" s="26">
        <f t="shared" si="1"/>
        <v>1300.3</v>
      </c>
      <c r="I86" s="201"/>
    </row>
    <row r="87" spans="1:9" ht="31.5" x14ac:dyDescent="0.25">
      <c r="A87" s="25" t="s">
        <v>198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132</v>
      </c>
      <c r="G87" s="26">
        <f>G88</f>
        <v>34</v>
      </c>
      <c r="H87" s="26">
        <f>H88</f>
        <v>34</v>
      </c>
      <c r="I87" s="201"/>
    </row>
    <row r="88" spans="1:9" ht="31.5" x14ac:dyDescent="0.25">
      <c r="A88" s="25" t="s">
        <v>133</v>
      </c>
      <c r="B88" s="16">
        <v>902</v>
      </c>
      <c r="C88" s="20" t="s">
        <v>118</v>
      </c>
      <c r="D88" s="20" t="s">
        <v>150</v>
      </c>
      <c r="E88" s="20" t="s">
        <v>921</v>
      </c>
      <c r="F88" s="20" t="s">
        <v>134</v>
      </c>
      <c r="G88" s="26">
        <v>34</v>
      </c>
      <c r="H88" s="26">
        <f t="shared" si="1"/>
        <v>34</v>
      </c>
      <c r="I88" s="201"/>
    </row>
    <row r="89" spans="1:9" ht="47.25" x14ac:dyDescent="0.25">
      <c r="A89" s="23" t="s">
        <v>1367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21">
        <f>G90+G94+G106</f>
        <v>683.5</v>
      </c>
      <c r="H89" s="21">
        <f>H90+H94+H106</f>
        <v>683.5</v>
      </c>
      <c r="I89" s="201"/>
    </row>
    <row r="90" spans="1:9" ht="63" x14ac:dyDescent="0.25">
      <c r="A90" s="289" t="s">
        <v>1342</v>
      </c>
      <c r="B90" s="19">
        <v>902</v>
      </c>
      <c r="C90" s="24" t="s">
        <v>118</v>
      </c>
      <c r="D90" s="24" t="s">
        <v>150</v>
      </c>
      <c r="E90" s="7" t="s">
        <v>849</v>
      </c>
      <c r="F90" s="24"/>
      <c r="G90" s="21">
        <f t="shared" ref="G90:H92" si="3">G91</f>
        <v>606</v>
      </c>
      <c r="H90" s="21">
        <f t="shared" si="3"/>
        <v>606</v>
      </c>
      <c r="I90" s="201"/>
    </row>
    <row r="91" spans="1:9" ht="47.25" x14ac:dyDescent="0.25">
      <c r="A91" s="29" t="s">
        <v>1309</v>
      </c>
      <c r="B91" s="16">
        <v>902</v>
      </c>
      <c r="C91" s="20" t="s">
        <v>118</v>
      </c>
      <c r="D91" s="20" t="s">
        <v>150</v>
      </c>
      <c r="E91" s="40" t="s">
        <v>841</v>
      </c>
      <c r="F91" s="20"/>
      <c r="G91" s="26">
        <f t="shared" si="3"/>
        <v>606</v>
      </c>
      <c r="H91" s="26">
        <f t="shared" si="3"/>
        <v>606</v>
      </c>
      <c r="I91" s="201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132</v>
      </c>
      <c r="G92" s="26">
        <f t="shared" si="3"/>
        <v>606</v>
      </c>
      <c r="H92" s="26">
        <f t="shared" si="3"/>
        <v>606</v>
      </c>
      <c r="I92" s="201"/>
    </row>
    <row r="93" spans="1:9" ht="31.5" x14ac:dyDescent="0.25">
      <c r="A93" s="25" t="s">
        <v>133</v>
      </c>
      <c r="B93" s="16">
        <v>902</v>
      </c>
      <c r="C93" s="20" t="s">
        <v>118</v>
      </c>
      <c r="D93" s="20" t="s">
        <v>150</v>
      </c>
      <c r="E93" s="40" t="s">
        <v>841</v>
      </c>
      <c r="F93" s="20" t="s">
        <v>134</v>
      </c>
      <c r="G93" s="26">
        <v>606</v>
      </c>
      <c r="H93" s="26">
        <f t="shared" si="1"/>
        <v>606</v>
      </c>
      <c r="I93" s="201"/>
    </row>
    <row r="94" spans="1:9" ht="63" x14ac:dyDescent="0.25">
      <c r="A94" s="215" t="s">
        <v>843</v>
      </c>
      <c r="B94" s="19">
        <v>902</v>
      </c>
      <c r="C94" s="24" t="s">
        <v>118</v>
      </c>
      <c r="D94" s="24" t="s">
        <v>150</v>
      </c>
      <c r="E94" s="7" t="s">
        <v>850</v>
      </c>
      <c r="F94" s="24"/>
      <c r="G94" s="21">
        <f>G95+G100+G103</f>
        <v>77</v>
      </c>
      <c r="H94" s="21">
        <f>H95+H100+H103</f>
        <v>77</v>
      </c>
      <c r="I94" s="201"/>
    </row>
    <row r="95" spans="1:9" ht="47.25" x14ac:dyDescent="0.25">
      <c r="A95" s="174" t="s">
        <v>165</v>
      </c>
      <c r="B95" s="16">
        <v>902</v>
      </c>
      <c r="C95" s="20" t="s">
        <v>118</v>
      </c>
      <c r="D95" s="20" t="s">
        <v>150</v>
      </c>
      <c r="E95" s="40" t="s">
        <v>842</v>
      </c>
      <c r="F95" s="20"/>
      <c r="G95" s="26">
        <f>G96+G98</f>
        <v>77</v>
      </c>
      <c r="H95" s="26">
        <f>H96+H98</f>
        <v>77</v>
      </c>
      <c r="I95" s="201"/>
    </row>
    <row r="96" spans="1:9" ht="78.75" x14ac:dyDescent="0.25">
      <c r="A96" s="25" t="s">
        <v>127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128</v>
      </c>
      <c r="G96" s="26">
        <f>G97</f>
        <v>37</v>
      </c>
      <c r="H96" s="26">
        <f>H97</f>
        <v>37</v>
      </c>
      <c r="I96" s="201"/>
    </row>
    <row r="97" spans="1:9" ht="31.5" x14ac:dyDescent="0.25">
      <c r="A97" s="25" t="s">
        <v>129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130</v>
      </c>
      <c r="G97" s="26">
        <f>37</f>
        <v>37</v>
      </c>
      <c r="H97" s="26">
        <f t="shared" si="1"/>
        <v>37</v>
      </c>
      <c r="I97" s="201"/>
    </row>
    <row r="98" spans="1:9" ht="31.5" x14ac:dyDescent="0.25">
      <c r="A98" s="25" t="s">
        <v>131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132</v>
      </c>
      <c r="G98" s="26">
        <f>G99</f>
        <v>40</v>
      </c>
      <c r="H98" s="26">
        <f>H99</f>
        <v>40</v>
      </c>
      <c r="I98" s="201"/>
    </row>
    <row r="99" spans="1:9" ht="31.5" x14ac:dyDescent="0.25">
      <c r="A99" s="25" t="s">
        <v>133</v>
      </c>
      <c r="B99" s="16">
        <v>902</v>
      </c>
      <c r="C99" s="20" t="s">
        <v>118</v>
      </c>
      <c r="D99" s="20" t="s">
        <v>150</v>
      </c>
      <c r="E99" s="40" t="s">
        <v>842</v>
      </c>
      <c r="F99" s="20" t="s">
        <v>134</v>
      </c>
      <c r="G99" s="26">
        <f>40</f>
        <v>40</v>
      </c>
      <c r="H99" s="26">
        <f t="shared" ref="H99:H178" si="4">G99</f>
        <v>40</v>
      </c>
      <c r="I99" s="201"/>
    </row>
    <row r="100" spans="1:9" s="200" customFormat="1" ht="47.25" hidden="1" x14ac:dyDescent="0.25">
      <c r="A100" s="31" t="s">
        <v>1095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/>
      <c r="G100" s="26">
        <f>G101</f>
        <v>0</v>
      </c>
      <c r="H100" s="26">
        <f>H101</f>
        <v>0</v>
      </c>
      <c r="I100" s="201"/>
    </row>
    <row r="101" spans="1:9" s="200" customFormat="1" ht="31.5" hidden="1" x14ac:dyDescent="0.25">
      <c r="A101" s="25" t="s">
        <v>131</v>
      </c>
      <c r="B101" s="16">
        <v>902</v>
      </c>
      <c r="C101" s="20" t="s">
        <v>118</v>
      </c>
      <c r="D101" s="20" t="s">
        <v>150</v>
      </c>
      <c r="E101" s="40" t="s">
        <v>993</v>
      </c>
      <c r="F101" s="20" t="s">
        <v>132</v>
      </c>
      <c r="G101" s="26">
        <f>G102</f>
        <v>0</v>
      </c>
      <c r="H101" s="26">
        <f>H102</f>
        <v>0</v>
      </c>
      <c r="I101" s="201"/>
    </row>
    <row r="102" spans="1:9" s="200" customFormat="1" ht="31.5" hidden="1" x14ac:dyDescent="0.25">
      <c r="A102" s="25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26">
        <v>0</v>
      </c>
      <c r="H102" s="26">
        <v>0</v>
      </c>
      <c r="I102" s="201"/>
    </row>
    <row r="103" spans="1:9" s="200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992</v>
      </c>
      <c r="F103" s="20"/>
      <c r="G103" s="26">
        <f>G104</f>
        <v>0</v>
      </c>
      <c r="H103" s="26">
        <f>H104</f>
        <v>0</v>
      </c>
      <c r="I103" s="201"/>
    </row>
    <row r="104" spans="1:9" s="200" customFormat="1" ht="31.5" hidden="1" x14ac:dyDescent="0.25">
      <c r="A104" s="25" t="s">
        <v>131</v>
      </c>
      <c r="B104" s="16">
        <v>902</v>
      </c>
      <c r="C104" s="20" t="s">
        <v>118</v>
      </c>
      <c r="D104" s="20" t="s">
        <v>150</v>
      </c>
      <c r="E104" s="20" t="s">
        <v>992</v>
      </c>
      <c r="F104" s="20" t="s">
        <v>132</v>
      </c>
      <c r="G104" s="26">
        <f>G105</f>
        <v>0</v>
      </c>
      <c r="H104" s="26">
        <f>H105</f>
        <v>0</v>
      </c>
      <c r="I104" s="201"/>
    </row>
    <row r="105" spans="1:9" s="200" customFormat="1" ht="31.5" hidden="1" x14ac:dyDescent="0.25">
      <c r="A105" s="25" t="s">
        <v>133</v>
      </c>
      <c r="B105" s="16">
        <v>902</v>
      </c>
      <c r="C105" s="20" t="s">
        <v>118</v>
      </c>
      <c r="D105" s="20" t="s">
        <v>150</v>
      </c>
      <c r="E105" s="20" t="s">
        <v>992</v>
      </c>
      <c r="F105" s="20" t="s">
        <v>134</v>
      </c>
      <c r="G105" s="26">
        <v>0</v>
      </c>
      <c r="H105" s="26">
        <v>0</v>
      </c>
      <c r="I105" s="201"/>
    </row>
    <row r="106" spans="1:9" ht="63" x14ac:dyDescent="0.25">
      <c r="A106" s="216" t="s">
        <v>1003</v>
      </c>
      <c r="B106" s="19">
        <v>902</v>
      </c>
      <c r="C106" s="24" t="s">
        <v>118</v>
      </c>
      <c r="D106" s="24" t="s">
        <v>150</v>
      </c>
      <c r="E106" s="7" t="s">
        <v>851</v>
      </c>
      <c r="F106" s="24"/>
      <c r="G106" s="21">
        <f>G107+G110</f>
        <v>0.5</v>
      </c>
      <c r="H106" s="21">
        <f>H107+H110</f>
        <v>0.5</v>
      </c>
      <c r="I106" s="201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844</v>
      </c>
      <c r="F107" s="20"/>
      <c r="G107" s="26">
        <f>G108</f>
        <v>0.5</v>
      </c>
      <c r="H107" s="26">
        <f>H108</f>
        <v>0.5</v>
      </c>
      <c r="I107" s="201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150</v>
      </c>
      <c r="E108" s="40" t="s">
        <v>844</v>
      </c>
      <c r="F108" s="20" t="s">
        <v>132</v>
      </c>
      <c r="G108" s="26">
        <f>G109</f>
        <v>0.5</v>
      </c>
      <c r="H108" s="26">
        <f>H109</f>
        <v>0.5</v>
      </c>
      <c r="I108" s="201"/>
    </row>
    <row r="109" spans="1:9" ht="31.5" x14ac:dyDescent="0.25">
      <c r="A109" s="25" t="s">
        <v>133</v>
      </c>
      <c r="B109" s="16">
        <v>902</v>
      </c>
      <c r="C109" s="20" t="s">
        <v>118</v>
      </c>
      <c r="D109" s="20" t="s">
        <v>150</v>
      </c>
      <c r="E109" s="40" t="s">
        <v>844</v>
      </c>
      <c r="F109" s="20" t="s">
        <v>134</v>
      </c>
      <c r="G109" s="26">
        <f>0.5</f>
        <v>0.5</v>
      </c>
      <c r="H109" s="26">
        <f t="shared" si="4"/>
        <v>0.5</v>
      </c>
      <c r="I109" s="201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845</v>
      </c>
      <c r="F110" s="20"/>
      <c r="G110" s="26">
        <f>'Пр.4 ведом.21'!G108</f>
        <v>0</v>
      </c>
      <c r="H110" s="26">
        <f t="shared" si="4"/>
        <v>0</v>
      </c>
      <c r="I110" s="201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150</v>
      </c>
      <c r="E111" s="20" t="s">
        <v>845</v>
      </c>
      <c r="F111" s="20" t="s">
        <v>132</v>
      </c>
      <c r="G111" s="26">
        <f>'Пр.4 ведом.21'!G109</f>
        <v>0</v>
      </c>
      <c r="H111" s="26">
        <f t="shared" si="4"/>
        <v>0</v>
      </c>
      <c r="I111" s="201"/>
    </row>
    <row r="112" spans="1:9" ht="31.5" hidden="1" x14ac:dyDescent="0.25">
      <c r="A112" s="25" t="s">
        <v>133</v>
      </c>
      <c r="B112" s="16">
        <v>902</v>
      </c>
      <c r="C112" s="20" t="s">
        <v>118</v>
      </c>
      <c r="D112" s="20" t="s">
        <v>150</v>
      </c>
      <c r="E112" s="20" t="s">
        <v>845</v>
      </c>
      <c r="F112" s="20" t="s">
        <v>134</v>
      </c>
      <c r="G112" s="26">
        <f>'Пр.4 ведом.21'!G110</f>
        <v>0</v>
      </c>
      <c r="H112" s="26">
        <f t="shared" si="4"/>
        <v>0</v>
      </c>
      <c r="I112" s="201"/>
    </row>
    <row r="113" spans="1:9" ht="47.25" x14ac:dyDescent="0.25">
      <c r="A113" s="23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21">
        <f>G114</f>
        <v>1332.2</v>
      </c>
      <c r="H113" s="21">
        <f>H114</f>
        <v>1332.2</v>
      </c>
      <c r="I113" s="201"/>
    </row>
    <row r="114" spans="1:9" ht="31.5" x14ac:dyDescent="0.25">
      <c r="A114" s="23" t="s">
        <v>917</v>
      </c>
      <c r="B114" s="19">
        <v>902</v>
      </c>
      <c r="C114" s="24" t="s">
        <v>118</v>
      </c>
      <c r="D114" s="24" t="s">
        <v>120</v>
      </c>
      <c r="E114" s="24" t="s">
        <v>858</v>
      </c>
      <c r="F114" s="24"/>
      <c r="G114" s="21">
        <f>G115</f>
        <v>1332.2</v>
      </c>
      <c r="H114" s="21">
        <f>H115</f>
        <v>1332.2</v>
      </c>
      <c r="I114" s="201"/>
    </row>
    <row r="115" spans="1:9" ht="15.75" x14ac:dyDescent="0.25">
      <c r="A115" s="23" t="s">
        <v>918</v>
      </c>
      <c r="B115" s="19">
        <v>902</v>
      </c>
      <c r="C115" s="24" t="s">
        <v>118</v>
      </c>
      <c r="D115" s="24" t="s">
        <v>120</v>
      </c>
      <c r="E115" s="24" t="s">
        <v>859</v>
      </c>
      <c r="F115" s="24"/>
      <c r="G115" s="21">
        <f>G116+G119</f>
        <v>1332.2</v>
      </c>
      <c r="H115" s="21">
        <f>H116+H119</f>
        <v>1332.2</v>
      </c>
      <c r="I115" s="201"/>
    </row>
    <row r="116" spans="1:9" ht="31.5" x14ac:dyDescent="0.25">
      <c r="A116" s="25" t="s">
        <v>897</v>
      </c>
      <c r="B116" s="16">
        <v>902</v>
      </c>
      <c r="C116" s="20" t="s">
        <v>118</v>
      </c>
      <c r="D116" s="20" t="s">
        <v>120</v>
      </c>
      <c r="E116" s="20" t="s">
        <v>860</v>
      </c>
      <c r="F116" s="20"/>
      <c r="G116" s="26">
        <f>G117</f>
        <v>1286.2</v>
      </c>
      <c r="H116" s="26">
        <f>H117</f>
        <v>1286.2</v>
      </c>
      <c r="I116" s="201"/>
    </row>
    <row r="117" spans="1:9" ht="78.75" x14ac:dyDescent="0.25">
      <c r="A117" s="25" t="s">
        <v>127</v>
      </c>
      <c r="B117" s="16">
        <v>902</v>
      </c>
      <c r="C117" s="20" t="s">
        <v>118</v>
      </c>
      <c r="D117" s="20" t="s">
        <v>120</v>
      </c>
      <c r="E117" s="20" t="s">
        <v>860</v>
      </c>
      <c r="F117" s="20" t="s">
        <v>128</v>
      </c>
      <c r="G117" s="26">
        <f>G118</f>
        <v>1286.2</v>
      </c>
      <c r="H117" s="26">
        <f>H118</f>
        <v>1286.2</v>
      </c>
      <c r="I117" s="201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120</v>
      </c>
      <c r="E118" s="20" t="s">
        <v>860</v>
      </c>
      <c r="F118" s="20" t="s">
        <v>130</v>
      </c>
      <c r="G118" s="26">
        <v>1286.2</v>
      </c>
      <c r="H118" s="26">
        <f t="shared" si="4"/>
        <v>1286.2</v>
      </c>
      <c r="I118" s="201"/>
    </row>
    <row r="119" spans="1:9" ht="47.25" x14ac:dyDescent="0.25">
      <c r="A119" s="25" t="s">
        <v>839</v>
      </c>
      <c r="B119" s="16">
        <v>902</v>
      </c>
      <c r="C119" s="20" t="s">
        <v>118</v>
      </c>
      <c r="D119" s="20" t="s">
        <v>120</v>
      </c>
      <c r="E119" s="20" t="s">
        <v>862</v>
      </c>
      <c r="F119" s="20"/>
      <c r="G119" s="26">
        <f>G120</f>
        <v>46</v>
      </c>
      <c r="H119" s="26">
        <f>H120</f>
        <v>46</v>
      </c>
      <c r="I119" s="201"/>
    </row>
    <row r="120" spans="1:9" ht="78.75" x14ac:dyDescent="0.25">
      <c r="A120" s="25" t="s">
        <v>127</v>
      </c>
      <c r="B120" s="16">
        <v>902</v>
      </c>
      <c r="C120" s="20" t="s">
        <v>118</v>
      </c>
      <c r="D120" s="20" t="s">
        <v>120</v>
      </c>
      <c r="E120" s="20" t="s">
        <v>862</v>
      </c>
      <c r="F120" s="20" t="s">
        <v>128</v>
      </c>
      <c r="G120" s="26">
        <f>G121</f>
        <v>46</v>
      </c>
      <c r="H120" s="26">
        <f>H121</f>
        <v>46</v>
      </c>
      <c r="I120" s="201"/>
    </row>
    <row r="121" spans="1:9" ht="31.5" x14ac:dyDescent="0.25">
      <c r="A121" s="25" t="s">
        <v>129</v>
      </c>
      <c r="B121" s="16">
        <v>902</v>
      </c>
      <c r="C121" s="20" t="s">
        <v>118</v>
      </c>
      <c r="D121" s="20" t="s">
        <v>120</v>
      </c>
      <c r="E121" s="20" t="s">
        <v>862</v>
      </c>
      <c r="F121" s="20" t="s">
        <v>130</v>
      </c>
      <c r="G121" s="26">
        <v>46</v>
      </c>
      <c r="H121" s="26">
        <f t="shared" si="4"/>
        <v>46</v>
      </c>
      <c r="I121" s="201"/>
    </row>
    <row r="122" spans="1:9" s="200" customFormat="1" ht="15.75" hidden="1" x14ac:dyDescent="0.25">
      <c r="A122" s="23" t="s">
        <v>1148</v>
      </c>
      <c r="B122" s="19">
        <v>902</v>
      </c>
      <c r="C122" s="24" t="s">
        <v>118</v>
      </c>
      <c r="D122" s="24" t="s">
        <v>264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1"/>
    </row>
    <row r="123" spans="1:9" s="200" customFormat="1" ht="15.75" hidden="1" x14ac:dyDescent="0.25">
      <c r="A123" s="23" t="s">
        <v>141</v>
      </c>
      <c r="B123" s="19">
        <v>902</v>
      </c>
      <c r="C123" s="24" t="s">
        <v>118</v>
      </c>
      <c r="D123" s="24" t="s">
        <v>264</v>
      </c>
      <c r="E123" s="24" t="s">
        <v>866</v>
      </c>
      <c r="F123" s="20"/>
      <c r="G123" s="21">
        <f t="shared" si="5"/>
        <v>0</v>
      </c>
      <c r="H123" s="21">
        <f t="shared" si="5"/>
        <v>0</v>
      </c>
      <c r="I123" s="201"/>
    </row>
    <row r="124" spans="1:9" s="200" customFormat="1" ht="31.5" hidden="1" x14ac:dyDescent="0.25">
      <c r="A124" s="23" t="s">
        <v>870</v>
      </c>
      <c r="B124" s="19">
        <v>902</v>
      </c>
      <c r="C124" s="24" t="s">
        <v>118</v>
      </c>
      <c r="D124" s="24" t="s">
        <v>264</v>
      </c>
      <c r="E124" s="24" t="s">
        <v>865</v>
      </c>
      <c r="F124" s="20"/>
      <c r="G124" s="21">
        <f t="shared" si="5"/>
        <v>0</v>
      </c>
      <c r="H124" s="21">
        <f t="shared" si="5"/>
        <v>0</v>
      </c>
      <c r="I124" s="201"/>
    </row>
    <row r="125" spans="1:9" s="200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1147</v>
      </c>
      <c r="F125" s="20"/>
      <c r="G125" s="26">
        <f>G126+G128</f>
        <v>0</v>
      </c>
      <c r="H125" s="26">
        <f>H126+H128</f>
        <v>0</v>
      </c>
      <c r="I125" s="201"/>
    </row>
    <row r="126" spans="1:9" s="200" customFormat="1" ht="78.75" hidden="1" x14ac:dyDescent="0.25">
      <c r="A126" s="25" t="s">
        <v>127</v>
      </c>
      <c r="B126" s="16">
        <v>902</v>
      </c>
      <c r="C126" s="20" t="s">
        <v>118</v>
      </c>
      <c r="D126" s="20" t="s">
        <v>264</v>
      </c>
      <c r="E126" s="20" t="s">
        <v>1147</v>
      </c>
      <c r="F126" s="20" t="s">
        <v>128</v>
      </c>
      <c r="G126" s="26">
        <f>G127</f>
        <v>0</v>
      </c>
      <c r="H126" s="26">
        <f>H127</f>
        <v>0</v>
      </c>
      <c r="I126" s="201"/>
    </row>
    <row r="127" spans="1:9" s="200" customFormat="1" ht="31.5" hidden="1" x14ac:dyDescent="0.25">
      <c r="A127" s="25" t="s">
        <v>129</v>
      </c>
      <c r="B127" s="16">
        <v>902</v>
      </c>
      <c r="C127" s="20" t="s">
        <v>118</v>
      </c>
      <c r="D127" s="20" t="s">
        <v>264</v>
      </c>
      <c r="E127" s="20" t="s">
        <v>1147</v>
      </c>
      <c r="F127" s="20" t="s">
        <v>130</v>
      </c>
      <c r="G127" s="26">
        <v>0</v>
      </c>
      <c r="H127" s="26">
        <v>0</v>
      </c>
      <c r="I127" s="201"/>
    </row>
    <row r="128" spans="1:9" s="200" customFormat="1" ht="31.5" hidden="1" x14ac:dyDescent="0.25">
      <c r="A128" s="25" t="s">
        <v>198</v>
      </c>
      <c r="B128" s="16">
        <v>902</v>
      </c>
      <c r="C128" s="20" t="s">
        <v>118</v>
      </c>
      <c r="D128" s="20" t="s">
        <v>264</v>
      </c>
      <c r="E128" s="20" t="s">
        <v>1147</v>
      </c>
      <c r="F128" s="20" t="s">
        <v>132</v>
      </c>
      <c r="G128" s="26">
        <f>G129</f>
        <v>0</v>
      </c>
      <c r="H128" s="26">
        <f>H129</f>
        <v>0</v>
      </c>
      <c r="I128" s="201"/>
    </row>
    <row r="129" spans="1:9" s="200" customFormat="1" ht="31.5" hidden="1" x14ac:dyDescent="0.25">
      <c r="A129" s="25" t="s">
        <v>133</v>
      </c>
      <c r="B129" s="16">
        <v>902</v>
      </c>
      <c r="C129" s="20" t="s">
        <v>118</v>
      </c>
      <c r="D129" s="20" t="s">
        <v>264</v>
      </c>
      <c r="E129" s="20" t="s">
        <v>1147</v>
      </c>
      <c r="F129" s="20" t="s">
        <v>134</v>
      </c>
      <c r="G129" s="26">
        <v>0</v>
      </c>
      <c r="H129" s="26">
        <v>0</v>
      </c>
      <c r="I129" s="201"/>
    </row>
    <row r="130" spans="1:9" ht="15.75" x14ac:dyDescent="0.25">
      <c r="A130" s="23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1"/>
    </row>
    <row r="131" spans="1:9" ht="15.75" x14ac:dyDescent="0.25">
      <c r="A131" s="23" t="s">
        <v>141</v>
      </c>
      <c r="B131" s="19">
        <v>902</v>
      </c>
      <c r="C131" s="24" t="s">
        <v>118</v>
      </c>
      <c r="D131" s="24" t="s">
        <v>140</v>
      </c>
      <c r="E131" s="24" t="s">
        <v>866</v>
      </c>
      <c r="F131" s="24"/>
      <c r="G131" s="21">
        <f>G132</f>
        <v>5829</v>
      </c>
      <c r="H131" s="21">
        <f>H132</f>
        <v>5829</v>
      </c>
      <c r="I131" s="201"/>
    </row>
    <row r="132" spans="1:9" ht="31.5" x14ac:dyDescent="0.25">
      <c r="A132" s="23" t="s">
        <v>922</v>
      </c>
      <c r="B132" s="19">
        <v>902</v>
      </c>
      <c r="C132" s="24" t="s">
        <v>118</v>
      </c>
      <c r="D132" s="24" t="s">
        <v>140</v>
      </c>
      <c r="E132" s="24" t="s">
        <v>867</v>
      </c>
      <c r="F132" s="24"/>
      <c r="G132" s="21">
        <f>G133+G138</f>
        <v>5829</v>
      </c>
      <c r="H132" s="21">
        <f>H133+H138</f>
        <v>5829</v>
      </c>
      <c r="I132" s="201"/>
    </row>
    <row r="133" spans="1:9" ht="31.5" x14ac:dyDescent="0.25">
      <c r="A133" s="25" t="s">
        <v>928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/>
      <c r="G133" s="26">
        <f>G134+G136</f>
        <v>5701</v>
      </c>
      <c r="H133" s="26">
        <f>H134+H136</f>
        <v>5701</v>
      </c>
      <c r="I133" s="201"/>
    </row>
    <row r="134" spans="1:9" ht="78.75" x14ac:dyDescent="0.25">
      <c r="A134" s="25" t="s">
        <v>127</v>
      </c>
      <c r="B134" s="16">
        <v>902</v>
      </c>
      <c r="C134" s="20" t="s">
        <v>118</v>
      </c>
      <c r="D134" s="20" t="s">
        <v>140</v>
      </c>
      <c r="E134" s="20" t="s">
        <v>868</v>
      </c>
      <c r="F134" s="20" t="s">
        <v>128</v>
      </c>
      <c r="G134" s="26">
        <f>G135</f>
        <v>4501</v>
      </c>
      <c r="H134" s="26">
        <f>H135</f>
        <v>4501</v>
      </c>
      <c r="I134" s="201"/>
    </row>
    <row r="135" spans="1:9" ht="15.75" x14ac:dyDescent="0.25">
      <c r="A135" s="25" t="s">
        <v>208</v>
      </c>
      <c r="B135" s="16">
        <v>902</v>
      </c>
      <c r="C135" s="20" t="s">
        <v>118</v>
      </c>
      <c r="D135" s="20" t="s">
        <v>140</v>
      </c>
      <c r="E135" s="20" t="s">
        <v>868</v>
      </c>
      <c r="F135" s="20" t="s">
        <v>209</v>
      </c>
      <c r="G135" s="26">
        <v>4501</v>
      </c>
      <c r="H135" s="26">
        <f t="shared" si="4"/>
        <v>4501</v>
      </c>
      <c r="I135" s="201"/>
    </row>
    <row r="136" spans="1:9" ht="31.5" x14ac:dyDescent="0.25">
      <c r="A136" s="25" t="s">
        <v>198</v>
      </c>
      <c r="B136" s="16">
        <v>902</v>
      </c>
      <c r="C136" s="20" t="s">
        <v>118</v>
      </c>
      <c r="D136" s="20" t="s">
        <v>140</v>
      </c>
      <c r="E136" s="20" t="s">
        <v>868</v>
      </c>
      <c r="F136" s="20" t="s">
        <v>132</v>
      </c>
      <c r="G136" s="26">
        <f>G137</f>
        <v>1200</v>
      </c>
      <c r="H136" s="26">
        <f>H137</f>
        <v>1200</v>
      </c>
      <c r="I136" s="201"/>
    </row>
    <row r="137" spans="1:9" ht="31.5" x14ac:dyDescent="0.25">
      <c r="A137" s="25" t="s">
        <v>133</v>
      </c>
      <c r="B137" s="16">
        <v>902</v>
      </c>
      <c r="C137" s="20" t="s">
        <v>118</v>
      </c>
      <c r="D137" s="20" t="s">
        <v>140</v>
      </c>
      <c r="E137" s="20" t="s">
        <v>868</v>
      </c>
      <c r="F137" s="20" t="s">
        <v>134</v>
      </c>
      <c r="G137" s="26">
        <v>1200</v>
      </c>
      <c r="H137" s="26">
        <f t="shared" si="4"/>
        <v>1200</v>
      </c>
      <c r="I137" s="201"/>
    </row>
    <row r="138" spans="1:9" ht="47.25" x14ac:dyDescent="0.25">
      <c r="A138" s="25" t="s">
        <v>839</v>
      </c>
      <c r="B138" s="16">
        <v>902</v>
      </c>
      <c r="C138" s="20" t="s">
        <v>118</v>
      </c>
      <c r="D138" s="20" t="s">
        <v>140</v>
      </c>
      <c r="E138" s="20" t="s">
        <v>869</v>
      </c>
      <c r="F138" s="20"/>
      <c r="G138" s="26">
        <f>G139</f>
        <v>128</v>
      </c>
      <c r="H138" s="26">
        <f>H139</f>
        <v>128</v>
      </c>
      <c r="I138" s="201"/>
    </row>
    <row r="139" spans="1:9" ht="78.75" x14ac:dyDescent="0.25">
      <c r="A139" s="25" t="s">
        <v>127</v>
      </c>
      <c r="B139" s="16">
        <v>902</v>
      </c>
      <c r="C139" s="20" t="s">
        <v>118</v>
      </c>
      <c r="D139" s="20" t="s">
        <v>140</v>
      </c>
      <c r="E139" s="20" t="s">
        <v>869</v>
      </c>
      <c r="F139" s="20" t="s">
        <v>128</v>
      </c>
      <c r="G139" s="26">
        <f>G140</f>
        <v>128</v>
      </c>
      <c r="H139" s="26">
        <f>H140</f>
        <v>128</v>
      </c>
      <c r="I139" s="201"/>
    </row>
    <row r="140" spans="1:9" ht="15.75" x14ac:dyDescent="0.25">
      <c r="A140" s="25" t="s">
        <v>208</v>
      </c>
      <c r="B140" s="16">
        <v>902</v>
      </c>
      <c r="C140" s="20" t="s">
        <v>118</v>
      </c>
      <c r="D140" s="20" t="s">
        <v>140</v>
      </c>
      <c r="E140" s="20" t="s">
        <v>869</v>
      </c>
      <c r="F140" s="20" t="s">
        <v>209</v>
      </c>
      <c r="G140" s="26">
        <v>128</v>
      </c>
      <c r="H140" s="26">
        <f t="shared" si="4"/>
        <v>128</v>
      </c>
      <c r="I140" s="201"/>
    </row>
    <row r="141" spans="1:9" s="200" customFormat="1" ht="47.25" x14ac:dyDescent="0.25">
      <c r="A141" s="34" t="s">
        <v>1221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21">
        <f>G143</f>
        <v>12</v>
      </c>
      <c r="H141" s="21">
        <f>H143</f>
        <v>40</v>
      </c>
      <c r="I141" s="201"/>
    </row>
    <row r="142" spans="1:9" s="200" customFormat="1" ht="63" x14ac:dyDescent="0.25">
      <c r="A142" s="34" t="s">
        <v>1025</v>
      </c>
      <c r="B142" s="19">
        <v>902</v>
      </c>
      <c r="C142" s="24" t="s">
        <v>118</v>
      </c>
      <c r="D142" s="24" t="s">
        <v>140</v>
      </c>
      <c r="E142" s="24" t="s">
        <v>934</v>
      </c>
      <c r="F142" s="24"/>
      <c r="G142" s="21">
        <f>G145</f>
        <v>12</v>
      </c>
      <c r="H142" s="21">
        <f>H145</f>
        <v>40</v>
      </c>
      <c r="I142" s="201"/>
    </row>
    <row r="143" spans="1:9" s="200" customFormat="1" ht="47.25" x14ac:dyDescent="0.25">
      <c r="A143" s="31" t="s">
        <v>1081</v>
      </c>
      <c r="B143" s="16">
        <v>902</v>
      </c>
      <c r="C143" s="20" t="s">
        <v>118</v>
      </c>
      <c r="D143" s="20" t="s">
        <v>140</v>
      </c>
      <c r="E143" s="20" t="s">
        <v>1026</v>
      </c>
      <c r="F143" s="20"/>
      <c r="G143" s="26">
        <f>G144</f>
        <v>12</v>
      </c>
      <c r="H143" s="26">
        <f>H144</f>
        <v>40</v>
      </c>
      <c r="I143" s="201"/>
    </row>
    <row r="144" spans="1:9" s="200" customFormat="1" ht="31.5" x14ac:dyDescent="0.25">
      <c r="A144" s="25" t="s">
        <v>131</v>
      </c>
      <c r="B144" s="16">
        <v>902</v>
      </c>
      <c r="C144" s="20" t="s">
        <v>118</v>
      </c>
      <c r="D144" s="20" t="s">
        <v>140</v>
      </c>
      <c r="E144" s="20" t="s">
        <v>1026</v>
      </c>
      <c r="F144" s="20" t="s">
        <v>132</v>
      </c>
      <c r="G144" s="26">
        <f>G145</f>
        <v>12</v>
      </c>
      <c r="H144" s="26">
        <f>H145</f>
        <v>40</v>
      </c>
      <c r="I144" s="201"/>
    </row>
    <row r="145" spans="1:9" s="200" customFormat="1" ht="31.5" x14ac:dyDescent="0.25">
      <c r="A145" s="25" t="s">
        <v>133</v>
      </c>
      <c r="B145" s="16">
        <v>902</v>
      </c>
      <c r="C145" s="20" t="s">
        <v>118</v>
      </c>
      <c r="D145" s="20" t="s">
        <v>140</v>
      </c>
      <c r="E145" s="20" t="s">
        <v>1026</v>
      </c>
      <c r="F145" s="20" t="s">
        <v>134</v>
      </c>
      <c r="G145" s="26">
        <v>12</v>
      </c>
      <c r="H145" s="26">
        <v>40</v>
      </c>
      <c r="I145" s="201"/>
    </row>
    <row r="146" spans="1:9" ht="54.75" customHeight="1" x14ac:dyDescent="0.25">
      <c r="A146" s="41" t="s">
        <v>1344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17"/>
      <c r="G146" s="21">
        <f>G147+G151</f>
        <v>43</v>
      </c>
      <c r="H146" s="21">
        <f>H147+H151</f>
        <v>43</v>
      </c>
      <c r="I146" s="201"/>
    </row>
    <row r="147" spans="1:9" ht="47.25" x14ac:dyDescent="0.25">
      <c r="A147" s="206" t="s">
        <v>846</v>
      </c>
      <c r="B147" s="19">
        <v>902</v>
      </c>
      <c r="C147" s="24" t="s">
        <v>118</v>
      </c>
      <c r="D147" s="24" t="s">
        <v>140</v>
      </c>
      <c r="E147" s="24" t="s">
        <v>852</v>
      </c>
      <c r="F147" s="217"/>
      <c r="G147" s="21">
        <f t="shared" ref="G147:H149" si="6">G148</f>
        <v>28</v>
      </c>
      <c r="H147" s="21">
        <f t="shared" si="6"/>
        <v>28</v>
      </c>
      <c r="I147" s="201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847</v>
      </c>
      <c r="F148" s="32"/>
      <c r="G148" s="26">
        <f t="shared" si="6"/>
        <v>28</v>
      </c>
      <c r="H148" s="26">
        <f t="shared" si="6"/>
        <v>28</v>
      </c>
      <c r="I148" s="201"/>
    </row>
    <row r="149" spans="1:9" ht="31.5" x14ac:dyDescent="0.25">
      <c r="A149" s="25" t="s">
        <v>131</v>
      </c>
      <c r="B149" s="16">
        <v>902</v>
      </c>
      <c r="C149" s="20" t="s">
        <v>118</v>
      </c>
      <c r="D149" s="20" t="s">
        <v>140</v>
      </c>
      <c r="E149" s="20" t="s">
        <v>847</v>
      </c>
      <c r="F149" s="32" t="s">
        <v>132</v>
      </c>
      <c r="G149" s="26">
        <f t="shared" si="6"/>
        <v>28</v>
      </c>
      <c r="H149" s="26">
        <f t="shared" si="6"/>
        <v>28</v>
      </c>
      <c r="I149" s="201"/>
    </row>
    <row r="150" spans="1:9" ht="31.5" x14ac:dyDescent="0.25">
      <c r="A150" s="25" t="s">
        <v>133</v>
      </c>
      <c r="B150" s="16">
        <v>902</v>
      </c>
      <c r="C150" s="20" t="s">
        <v>118</v>
      </c>
      <c r="D150" s="20" t="s">
        <v>140</v>
      </c>
      <c r="E150" s="20" t="s">
        <v>847</v>
      </c>
      <c r="F150" s="32" t="s">
        <v>134</v>
      </c>
      <c r="G150" s="26">
        <v>28</v>
      </c>
      <c r="H150" s="26">
        <v>28</v>
      </c>
      <c r="I150" s="201"/>
    </row>
    <row r="151" spans="1:9" ht="31.5" x14ac:dyDescent="0.25">
      <c r="A151" s="207" t="s">
        <v>1023</v>
      </c>
      <c r="B151" s="19">
        <v>902</v>
      </c>
      <c r="C151" s="24" t="s">
        <v>118</v>
      </c>
      <c r="D151" s="24" t="s">
        <v>140</v>
      </c>
      <c r="E151" s="24" t="s">
        <v>853</v>
      </c>
      <c r="F151" s="217"/>
      <c r="G151" s="21">
        <f t="shared" ref="G151:H153" si="7">G152</f>
        <v>15</v>
      </c>
      <c r="H151" s="21">
        <f t="shared" si="7"/>
        <v>15</v>
      </c>
      <c r="I151" s="201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848</v>
      </c>
      <c r="F152" s="32"/>
      <c r="G152" s="26">
        <f t="shared" si="7"/>
        <v>15</v>
      </c>
      <c r="H152" s="26">
        <f t="shared" si="7"/>
        <v>15</v>
      </c>
      <c r="I152" s="201"/>
    </row>
    <row r="153" spans="1:9" ht="31.5" x14ac:dyDescent="0.25">
      <c r="A153" s="25" t="s">
        <v>131</v>
      </c>
      <c r="B153" s="16">
        <v>902</v>
      </c>
      <c r="C153" s="20" t="s">
        <v>118</v>
      </c>
      <c r="D153" s="20" t="s">
        <v>140</v>
      </c>
      <c r="E153" s="20" t="s">
        <v>848</v>
      </c>
      <c r="F153" s="32" t="s">
        <v>132</v>
      </c>
      <c r="G153" s="26">
        <f t="shared" si="7"/>
        <v>15</v>
      </c>
      <c r="H153" s="26">
        <f t="shared" si="7"/>
        <v>15</v>
      </c>
      <c r="I153" s="201"/>
    </row>
    <row r="154" spans="1:9" ht="31.5" x14ac:dyDescent="0.25">
      <c r="A154" s="25" t="s">
        <v>133</v>
      </c>
      <c r="B154" s="16">
        <v>902</v>
      </c>
      <c r="C154" s="20" t="s">
        <v>118</v>
      </c>
      <c r="D154" s="20" t="s">
        <v>140</v>
      </c>
      <c r="E154" s="20" t="s">
        <v>848</v>
      </c>
      <c r="F154" s="32" t="s">
        <v>134</v>
      </c>
      <c r="G154" s="26">
        <f>15</f>
        <v>15</v>
      </c>
      <c r="H154" s="26">
        <f t="shared" si="4"/>
        <v>15</v>
      </c>
      <c r="I154" s="201"/>
    </row>
    <row r="155" spans="1:9" ht="78.75" x14ac:dyDescent="0.25">
      <c r="A155" s="41" t="s">
        <v>1368</v>
      </c>
      <c r="B155" s="19">
        <v>902</v>
      </c>
      <c r="C155" s="8" t="s">
        <v>118</v>
      </c>
      <c r="D155" s="8" t="s">
        <v>140</v>
      </c>
      <c r="E155" s="341" t="s">
        <v>817</v>
      </c>
      <c r="F155" s="8"/>
      <c r="G155" s="21">
        <f t="shared" ref="G155:H158" si="8">G156</f>
        <v>45</v>
      </c>
      <c r="H155" s="21">
        <f t="shared" si="8"/>
        <v>50</v>
      </c>
      <c r="I155" s="201"/>
    </row>
    <row r="156" spans="1:9" ht="47.25" x14ac:dyDescent="0.25">
      <c r="A156" s="208" t="s">
        <v>854</v>
      </c>
      <c r="B156" s="19">
        <v>902</v>
      </c>
      <c r="C156" s="8" t="s">
        <v>118</v>
      </c>
      <c r="D156" s="8" t="s">
        <v>140</v>
      </c>
      <c r="E156" s="193" t="s">
        <v>1076</v>
      </c>
      <c r="F156" s="8"/>
      <c r="G156" s="21">
        <f t="shared" si="8"/>
        <v>45</v>
      </c>
      <c r="H156" s="21">
        <f t="shared" si="8"/>
        <v>50</v>
      </c>
      <c r="I156" s="201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855</v>
      </c>
      <c r="F157" s="9"/>
      <c r="G157" s="26">
        <f t="shared" si="8"/>
        <v>45</v>
      </c>
      <c r="H157" s="26">
        <f t="shared" si="8"/>
        <v>50</v>
      </c>
      <c r="I157" s="201"/>
    </row>
    <row r="158" spans="1:9" ht="31.5" x14ac:dyDescent="0.25">
      <c r="A158" s="25" t="s">
        <v>131</v>
      </c>
      <c r="B158" s="16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26">
        <f t="shared" si="8"/>
        <v>45</v>
      </c>
      <c r="H158" s="26">
        <f t="shared" si="8"/>
        <v>50</v>
      </c>
      <c r="I158" s="201"/>
    </row>
    <row r="159" spans="1:9" ht="35.450000000000003" customHeight="1" x14ac:dyDescent="0.25">
      <c r="A159" s="25" t="s">
        <v>133</v>
      </c>
      <c r="B159" s="16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26">
        <v>45</v>
      </c>
      <c r="H159" s="26">
        <v>50</v>
      </c>
      <c r="I159" s="201"/>
    </row>
    <row r="160" spans="1:9" ht="63" x14ac:dyDescent="0.25">
      <c r="A160" s="41" t="s">
        <v>1346</v>
      </c>
      <c r="B160" s="19">
        <v>902</v>
      </c>
      <c r="C160" s="8" t="s">
        <v>118</v>
      </c>
      <c r="D160" s="8" t="s">
        <v>140</v>
      </c>
      <c r="E160" s="193" t="s">
        <v>818</v>
      </c>
      <c r="F160" s="8"/>
      <c r="G160" s="21">
        <f>G162</f>
        <v>80</v>
      </c>
      <c r="H160" s="21">
        <f>H162</f>
        <v>90</v>
      </c>
      <c r="I160" s="201"/>
    </row>
    <row r="161" spans="1:9" ht="31.5" x14ac:dyDescent="0.25">
      <c r="A161" s="58" t="s">
        <v>856</v>
      </c>
      <c r="B161" s="19">
        <v>902</v>
      </c>
      <c r="C161" s="8" t="s">
        <v>118</v>
      </c>
      <c r="D161" s="8" t="s">
        <v>140</v>
      </c>
      <c r="E161" s="193" t="s">
        <v>864</v>
      </c>
      <c r="F161" s="8"/>
      <c r="G161" s="21">
        <f t="shared" ref="G161:H163" si="9">G162</f>
        <v>80</v>
      </c>
      <c r="H161" s="21">
        <f t="shared" si="9"/>
        <v>90</v>
      </c>
      <c r="I161" s="201"/>
    </row>
    <row r="162" spans="1:9" ht="15.75" x14ac:dyDescent="0.25">
      <c r="A162" s="45" t="s">
        <v>822</v>
      </c>
      <c r="B162" s="16">
        <v>902</v>
      </c>
      <c r="C162" s="9" t="s">
        <v>118</v>
      </c>
      <c r="D162" s="9" t="s">
        <v>140</v>
      </c>
      <c r="E162" s="5" t="s">
        <v>857</v>
      </c>
      <c r="F162" s="9"/>
      <c r="G162" s="26">
        <f t="shared" si="9"/>
        <v>80</v>
      </c>
      <c r="H162" s="26">
        <f t="shared" si="9"/>
        <v>90</v>
      </c>
      <c r="I162" s="201"/>
    </row>
    <row r="163" spans="1:9" ht="31.5" x14ac:dyDescent="0.25">
      <c r="A163" s="25" t="s">
        <v>131</v>
      </c>
      <c r="B163" s="16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26">
        <f t="shared" si="9"/>
        <v>80</v>
      </c>
      <c r="H163" s="26">
        <f t="shared" si="9"/>
        <v>90</v>
      </c>
      <c r="I163" s="201"/>
    </row>
    <row r="164" spans="1:9" ht="31.5" x14ac:dyDescent="0.25">
      <c r="A164" s="25" t="s">
        <v>133</v>
      </c>
      <c r="B164" s="16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26">
        <v>80</v>
      </c>
      <c r="H164" s="26">
        <v>90</v>
      </c>
      <c r="I164" s="201"/>
    </row>
    <row r="165" spans="1:9" ht="15.75" hidden="1" x14ac:dyDescent="0.25">
      <c r="A165" s="23" t="s">
        <v>212</v>
      </c>
      <c r="B165" s="19">
        <v>902</v>
      </c>
      <c r="C165" s="24" t="s">
        <v>213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1"/>
    </row>
    <row r="166" spans="1:9" ht="17.100000000000001" hidden="1" customHeight="1" x14ac:dyDescent="0.25">
      <c r="A166" s="23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21">
        <f t="shared" si="10"/>
        <v>0</v>
      </c>
      <c r="H166" s="21">
        <f t="shared" si="10"/>
        <v>0</v>
      </c>
      <c r="I166" s="201"/>
    </row>
    <row r="167" spans="1:9" ht="15.75" hidden="1" x14ac:dyDescent="0.25">
      <c r="A167" s="23" t="s">
        <v>141</v>
      </c>
      <c r="B167" s="19">
        <v>902</v>
      </c>
      <c r="C167" s="24" t="s">
        <v>213</v>
      </c>
      <c r="D167" s="24" t="s">
        <v>219</v>
      </c>
      <c r="E167" s="24" t="s">
        <v>866</v>
      </c>
      <c r="F167" s="24"/>
      <c r="G167" s="21">
        <f t="shared" si="10"/>
        <v>0</v>
      </c>
      <c r="H167" s="21">
        <f t="shared" si="10"/>
        <v>0</v>
      </c>
      <c r="I167" s="201"/>
    </row>
    <row r="168" spans="1:9" ht="31.5" hidden="1" x14ac:dyDescent="0.25">
      <c r="A168" s="23" t="s">
        <v>870</v>
      </c>
      <c r="B168" s="19">
        <v>902</v>
      </c>
      <c r="C168" s="24" t="s">
        <v>213</v>
      </c>
      <c r="D168" s="24" t="s">
        <v>219</v>
      </c>
      <c r="E168" s="24" t="s">
        <v>865</v>
      </c>
      <c r="F168" s="24"/>
      <c r="G168" s="21">
        <f t="shared" si="10"/>
        <v>0</v>
      </c>
      <c r="H168" s="21">
        <f t="shared" si="10"/>
        <v>0</v>
      </c>
      <c r="I168" s="201"/>
    </row>
    <row r="169" spans="1:9" ht="15.75" hidden="1" x14ac:dyDescent="0.25">
      <c r="A169" s="25" t="s">
        <v>220</v>
      </c>
      <c r="B169" s="16">
        <v>902</v>
      </c>
      <c r="C169" s="20" t="s">
        <v>213</v>
      </c>
      <c r="D169" s="20" t="s">
        <v>219</v>
      </c>
      <c r="E169" s="20" t="s">
        <v>871</v>
      </c>
      <c r="F169" s="20"/>
      <c r="G169" s="26">
        <f>'Пр.4 ведом.21'!G162</f>
        <v>0</v>
      </c>
      <c r="H169" s="26">
        <f t="shared" si="4"/>
        <v>0</v>
      </c>
      <c r="I169" s="201"/>
    </row>
    <row r="170" spans="1:9" ht="31.5" hidden="1" x14ac:dyDescent="0.25">
      <c r="A170" s="25" t="s">
        <v>198</v>
      </c>
      <c r="B170" s="16">
        <v>902</v>
      </c>
      <c r="C170" s="20" t="s">
        <v>213</v>
      </c>
      <c r="D170" s="20" t="s">
        <v>219</v>
      </c>
      <c r="E170" s="20" t="s">
        <v>871</v>
      </c>
      <c r="F170" s="20" t="s">
        <v>132</v>
      </c>
      <c r="G170" s="26">
        <f>'Пр.4 ведом.21'!G163</f>
        <v>0</v>
      </c>
      <c r="H170" s="26">
        <f t="shared" si="4"/>
        <v>0</v>
      </c>
      <c r="I170" s="201"/>
    </row>
    <row r="171" spans="1:9" ht="31.5" hidden="1" x14ac:dyDescent="0.25">
      <c r="A171" s="25" t="s">
        <v>133</v>
      </c>
      <c r="B171" s="16">
        <v>902</v>
      </c>
      <c r="C171" s="20" t="s">
        <v>213</v>
      </c>
      <c r="D171" s="20" t="s">
        <v>219</v>
      </c>
      <c r="E171" s="20" t="s">
        <v>871</v>
      </c>
      <c r="F171" s="20" t="s">
        <v>134</v>
      </c>
      <c r="G171" s="26">
        <f>'Пр.4 ведом.21'!G164</f>
        <v>0</v>
      </c>
      <c r="H171" s="26">
        <f t="shared" si="4"/>
        <v>0</v>
      </c>
      <c r="I171" s="201"/>
    </row>
    <row r="172" spans="1:9" ht="31.5" x14ac:dyDescent="0.25">
      <c r="A172" s="23" t="s">
        <v>222</v>
      </c>
      <c r="B172" s="19">
        <v>902</v>
      </c>
      <c r="C172" s="24" t="s">
        <v>215</v>
      </c>
      <c r="D172" s="24"/>
      <c r="E172" s="24"/>
      <c r="F172" s="24"/>
      <c r="G172" s="21">
        <f>G173</f>
        <v>8090.1</v>
      </c>
      <c r="H172" s="21">
        <f>H173</f>
        <v>8090.1</v>
      </c>
      <c r="I172" s="201"/>
    </row>
    <row r="173" spans="1:9" ht="47.25" x14ac:dyDescent="0.25">
      <c r="A173" s="23" t="s">
        <v>1348</v>
      </c>
      <c r="B173" s="19">
        <v>902</v>
      </c>
      <c r="C173" s="24" t="s">
        <v>215</v>
      </c>
      <c r="D173" s="24" t="s">
        <v>244</v>
      </c>
      <c r="E173" s="20"/>
      <c r="F173" s="20"/>
      <c r="G173" s="21">
        <f>G174</f>
        <v>8090.1</v>
      </c>
      <c r="H173" s="21">
        <f>H174</f>
        <v>8090.1</v>
      </c>
      <c r="I173" s="201"/>
    </row>
    <row r="174" spans="1:9" ht="15.75" x14ac:dyDescent="0.25">
      <c r="A174" s="23" t="s">
        <v>141</v>
      </c>
      <c r="B174" s="19">
        <v>902</v>
      </c>
      <c r="C174" s="24" t="s">
        <v>215</v>
      </c>
      <c r="D174" s="24" t="s">
        <v>244</v>
      </c>
      <c r="E174" s="24" t="s">
        <v>866</v>
      </c>
      <c r="F174" s="24"/>
      <c r="G174" s="21">
        <f>G175+G182</f>
        <v>8090.1</v>
      </c>
      <c r="H174" s="21">
        <f>H175+H182</f>
        <v>8090.1</v>
      </c>
      <c r="I174" s="201"/>
    </row>
    <row r="175" spans="1:9" ht="31.5" x14ac:dyDescent="0.25">
      <c r="A175" s="23" t="s">
        <v>870</v>
      </c>
      <c r="B175" s="19">
        <v>902</v>
      </c>
      <c r="C175" s="24" t="s">
        <v>215</v>
      </c>
      <c r="D175" s="24" t="s">
        <v>244</v>
      </c>
      <c r="E175" s="24" t="s">
        <v>865</v>
      </c>
      <c r="F175" s="24"/>
      <c r="G175" s="21">
        <f>G176+G179</f>
        <v>1982</v>
      </c>
      <c r="H175" s="21">
        <f>H176+H179</f>
        <v>1982</v>
      </c>
      <c r="I175" s="201"/>
    </row>
    <row r="176" spans="1:9" ht="47.25" x14ac:dyDescent="0.25">
      <c r="A176" s="25" t="s">
        <v>224</v>
      </c>
      <c r="B176" s="16">
        <v>902</v>
      </c>
      <c r="C176" s="20" t="s">
        <v>215</v>
      </c>
      <c r="D176" s="20" t="s">
        <v>244</v>
      </c>
      <c r="E176" s="20" t="s">
        <v>875</v>
      </c>
      <c r="F176" s="20"/>
      <c r="G176" s="26">
        <f>G177</f>
        <v>1785</v>
      </c>
      <c r="H176" s="26">
        <f>H177</f>
        <v>1785</v>
      </c>
      <c r="I176" s="201"/>
    </row>
    <row r="177" spans="1:9" ht="31.5" x14ac:dyDescent="0.25">
      <c r="A177" s="25" t="s">
        <v>198</v>
      </c>
      <c r="B177" s="16">
        <v>902</v>
      </c>
      <c r="C177" s="20" t="s">
        <v>215</v>
      </c>
      <c r="D177" s="20" t="s">
        <v>244</v>
      </c>
      <c r="E177" s="20" t="s">
        <v>875</v>
      </c>
      <c r="F177" s="20" t="s">
        <v>132</v>
      </c>
      <c r="G177" s="26">
        <f>G178</f>
        <v>1785</v>
      </c>
      <c r="H177" s="26">
        <f>H178</f>
        <v>1785</v>
      </c>
      <c r="I177" s="201"/>
    </row>
    <row r="178" spans="1:9" ht="31.5" x14ac:dyDescent="0.25">
      <c r="A178" s="25" t="s">
        <v>133</v>
      </c>
      <c r="B178" s="16">
        <v>902</v>
      </c>
      <c r="C178" s="20" t="s">
        <v>215</v>
      </c>
      <c r="D178" s="20" t="s">
        <v>244</v>
      </c>
      <c r="E178" s="20" t="s">
        <v>875</v>
      </c>
      <c r="F178" s="20" t="s">
        <v>134</v>
      </c>
      <c r="G178" s="26">
        <f>1785</f>
        <v>1785</v>
      </c>
      <c r="H178" s="26">
        <f t="shared" si="4"/>
        <v>1785</v>
      </c>
      <c r="I178" s="201"/>
    </row>
    <row r="179" spans="1:9" ht="15.75" x14ac:dyDescent="0.25">
      <c r="A179" s="25" t="s">
        <v>230</v>
      </c>
      <c r="B179" s="16">
        <v>902</v>
      </c>
      <c r="C179" s="20" t="s">
        <v>215</v>
      </c>
      <c r="D179" s="20" t="s">
        <v>244</v>
      </c>
      <c r="E179" s="20" t="s">
        <v>876</v>
      </c>
      <c r="F179" s="20"/>
      <c r="G179" s="26">
        <f>G180</f>
        <v>197</v>
      </c>
      <c r="H179" s="26">
        <f>H180</f>
        <v>197</v>
      </c>
      <c r="I179" s="201"/>
    </row>
    <row r="180" spans="1:9" ht="31.5" x14ac:dyDescent="0.25">
      <c r="A180" s="25" t="s">
        <v>198</v>
      </c>
      <c r="B180" s="16">
        <v>902</v>
      </c>
      <c r="C180" s="20" t="s">
        <v>215</v>
      </c>
      <c r="D180" s="20" t="s">
        <v>244</v>
      </c>
      <c r="E180" s="20" t="s">
        <v>876</v>
      </c>
      <c r="F180" s="20" t="s">
        <v>132</v>
      </c>
      <c r="G180" s="26">
        <f>G181</f>
        <v>197</v>
      </c>
      <c r="H180" s="26">
        <f>H181</f>
        <v>197</v>
      </c>
      <c r="I180" s="201"/>
    </row>
    <row r="181" spans="1:9" ht="31.5" x14ac:dyDescent="0.25">
      <c r="A181" s="25" t="s">
        <v>133</v>
      </c>
      <c r="B181" s="16">
        <v>902</v>
      </c>
      <c r="C181" s="20" t="s">
        <v>215</v>
      </c>
      <c r="D181" s="20" t="s">
        <v>244</v>
      </c>
      <c r="E181" s="20" t="s">
        <v>876</v>
      </c>
      <c r="F181" s="20" t="s">
        <v>134</v>
      </c>
      <c r="G181" s="26">
        <f>197</f>
        <v>197</v>
      </c>
      <c r="H181" s="26">
        <f t="shared" ref="H181:H241" si="11">G181</f>
        <v>197</v>
      </c>
      <c r="I181" s="201"/>
    </row>
    <row r="182" spans="1:9" ht="31.5" x14ac:dyDescent="0.25">
      <c r="A182" s="23" t="s">
        <v>923</v>
      </c>
      <c r="B182" s="19">
        <v>902</v>
      </c>
      <c r="C182" s="24" t="s">
        <v>215</v>
      </c>
      <c r="D182" s="24" t="s">
        <v>244</v>
      </c>
      <c r="E182" s="24" t="s">
        <v>872</v>
      </c>
      <c r="F182" s="24"/>
      <c r="G182" s="21">
        <f>G183+G188</f>
        <v>6108.1</v>
      </c>
      <c r="H182" s="21">
        <f>H183+H188</f>
        <v>6108.1</v>
      </c>
      <c r="I182" s="201"/>
    </row>
    <row r="183" spans="1:9" ht="31.5" x14ac:dyDescent="0.25">
      <c r="A183" s="25" t="s">
        <v>927</v>
      </c>
      <c r="B183" s="16">
        <v>902</v>
      </c>
      <c r="C183" s="20" t="s">
        <v>215</v>
      </c>
      <c r="D183" s="20" t="s">
        <v>244</v>
      </c>
      <c r="E183" s="20" t="s">
        <v>873</v>
      </c>
      <c r="F183" s="20"/>
      <c r="G183" s="26">
        <f>G184+G186</f>
        <v>5856.1</v>
      </c>
      <c r="H183" s="26">
        <f>H184+H186</f>
        <v>5856.1</v>
      </c>
      <c r="I183" s="201"/>
    </row>
    <row r="184" spans="1:9" ht="78.75" x14ac:dyDescent="0.25">
      <c r="A184" s="25" t="s">
        <v>127</v>
      </c>
      <c r="B184" s="16">
        <v>902</v>
      </c>
      <c r="C184" s="20" t="s">
        <v>215</v>
      </c>
      <c r="D184" s="20" t="s">
        <v>244</v>
      </c>
      <c r="E184" s="20" t="s">
        <v>873</v>
      </c>
      <c r="F184" s="20" t="s">
        <v>128</v>
      </c>
      <c r="G184" s="26">
        <f>G185</f>
        <v>5693.1</v>
      </c>
      <c r="H184" s="26">
        <f t="shared" si="11"/>
        <v>5693.1</v>
      </c>
      <c r="I184" s="201"/>
    </row>
    <row r="185" spans="1:9" ht="15.75" x14ac:dyDescent="0.25">
      <c r="A185" s="25" t="s">
        <v>208</v>
      </c>
      <c r="B185" s="16">
        <v>902</v>
      </c>
      <c r="C185" s="20" t="s">
        <v>215</v>
      </c>
      <c r="D185" s="20" t="s">
        <v>244</v>
      </c>
      <c r="E185" s="20" t="s">
        <v>873</v>
      </c>
      <c r="F185" s="20" t="s">
        <v>209</v>
      </c>
      <c r="G185" s="26">
        <v>5693.1</v>
      </c>
      <c r="H185" s="26">
        <f t="shared" si="11"/>
        <v>5693.1</v>
      </c>
      <c r="I185" s="201"/>
    </row>
    <row r="186" spans="1:9" ht="31.5" x14ac:dyDescent="0.25">
      <c r="A186" s="25" t="s">
        <v>198</v>
      </c>
      <c r="B186" s="16">
        <v>902</v>
      </c>
      <c r="C186" s="20" t="s">
        <v>215</v>
      </c>
      <c r="D186" s="20" t="s">
        <v>244</v>
      </c>
      <c r="E186" s="20" t="s">
        <v>873</v>
      </c>
      <c r="F186" s="20" t="s">
        <v>132</v>
      </c>
      <c r="G186" s="26">
        <f>G187</f>
        <v>163</v>
      </c>
      <c r="H186" s="26">
        <f>H187</f>
        <v>163</v>
      </c>
      <c r="I186" s="201"/>
    </row>
    <row r="187" spans="1:9" ht="31.5" x14ac:dyDescent="0.25">
      <c r="A187" s="25" t="s">
        <v>133</v>
      </c>
      <c r="B187" s="16">
        <v>902</v>
      </c>
      <c r="C187" s="20" t="s">
        <v>215</v>
      </c>
      <c r="D187" s="20" t="s">
        <v>244</v>
      </c>
      <c r="E187" s="20" t="s">
        <v>873</v>
      </c>
      <c r="F187" s="20" t="s">
        <v>134</v>
      </c>
      <c r="G187" s="26">
        <f>163</f>
        <v>163</v>
      </c>
      <c r="H187" s="26">
        <f t="shared" si="11"/>
        <v>163</v>
      </c>
      <c r="I187" s="201"/>
    </row>
    <row r="188" spans="1:9" ht="47.25" x14ac:dyDescent="0.25">
      <c r="A188" s="25" t="s">
        <v>839</v>
      </c>
      <c r="B188" s="16">
        <v>902</v>
      </c>
      <c r="C188" s="20" t="s">
        <v>215</v>
      </c>
      <c r="D188" s="20" t="s">
        <v>244</v>
      </c>
      <c r="E188" s="20" t="s">
        <v>874</v>
      </c>
      <c r="F188" s="20"/>
      <c r="G188" s="26">
        <f>G189</f>
        <v>252</v>
      </c>
      <c r="H188" s="26">
        <f>H189</f>
        <v>252</v>
      </c>
      <c r="I188" s="201"/>
    </row>
    <row r="189" spans="1:9" ht="78.75" x14ac:dyDescent="0.25">
      <c r="A189" s="25" t="s">
        <v>127</v>
      </c>
      <c r="B189" s="16">
        <v>902</v>
      </c>
      <c r="C189" s="20" t="s">
        <v>215</v>
      </c>
      <c r="D189" s="20" t="s">
        <v>244</v>
      </c>
      <c r="E189" s="20" t="s">
        <v>874</v>
      </c>
      <c r="F189" s="20" t="s">
        <v>128</v>
      </c>
      <c r="G189" s="26">
        <f>G190</f>
        <v>252</v>
      </c>
      <c r="H189" s="26">
        <f>H190</f>
        <v>252</v>
      </c>
      <c r="I189" s="201"/>
    </row>
    <row r="190" spans="1:9" ht="19.5" customHeight="1" x14ac:dyDescent="0.25">
      <c r="A190" s="25" t="s">
        <v>208</v>
      </c>
      <c r="B190" s="16">
        <v>902</v>
      </c>
      <c r="C190" s="20" t="s">
        <v>215</v>
      </c>
      <c r="D190" s="20" t="s">
        <v>244</v>
      </c>
      <c r="E190" s="20" t="s">
        <v>874</v>
      </c>
      <c r="F190" s="20" t="s">
        <v>209</v>
      </c>
      <c r="G190" s="26">
        <f>252</f>
        <v>252</v>
      </c>
      <c r="H190" s="26">
        <f t="shared" si="11"/>
        <v>252</v>
      </c>
      <c r="I190" s="201"/>
    </row>
    <row r="191" spans="1:9" ht="15.75" x14ac:dyDescent="0.25">
      <c r="A191" s="23" t="s">
        <v>232</v>
      </c>
      <c r="B191" s="19">
        <v>902</v>
      </c>
      <c r="C191" s="24" t="s">
        <v>150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1"/>
    </row>
    <row r="192" spans="1:9" ht="15.75" x14ac:dyDescent="0.25">
      <c r="A192" s="23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21">
        <f>G193</f>
        <v>274</v>
      </c>
      <c r="H192" s="21">
        <f>H193</f>
        <v>274</v>
      </c>
      <c r="I192" s="201"/>
    </row>
    <row r="193" spans="1:9" ht="31.5" x14ac:dyDescent="0.25">
      <c r="A193" s="34" t="s">
        <v>1347</v>
      </c>
      <c r="B193" s="19">
        <v>902</v>
      </c>
      <c r="C193" s="24" t="s">
        <v>150</v>
      </c>
      <c r="D193" s="24" t="s">
        <v>234</v>
      </c>
      <c r="E193" s="193" t="s">
        <v>182</v>
      </c>
      <c r="F193" s="217"/>
      <c r="G193" s="21">
        <f>G194+G201</f>
        <v>274</v>
      </c>
      <c r="H193" s="21">
        <f>H194+H201</f>
        <v>274</v>
      </c>
      <c r="I193" s="201"/>
    </row>
    <row r="194" spans="1:9" ht="31.5" x14ac:dyDescent="0.25">
      <c r="A194" s="34" t="s">
        <v>1006</v>
      </c>
      <c r="B194" s="19">
        <v>902</v>
      </c>
      <c r="C194" s="24" t="s">
        <v>150</v>
      </c>
      <c r="D194" s="24" t="s">
        <v>234</v>
      </c>
      <c r="E194" s="246" t="s">
        <v>877</v>
      </c>
      <c r="F194" s="217"/>
      <c r="G194" s="21">
        <f>G195+G198</f>
        <v>274</v>
      </c>
      <c r="H194" s="21">
        <f>H195+H198</f>
        <v>274</v>
      </c>
      <c r="I194" s="201"/>
    </row>
    <row r="195" spans="1:9" ht="31.5" x14ac:dyDescent="0.25">
      <c r="A195" s="25" t="s">
        <v>235</v>
      </c>
      <c r="B195" s="16">
        <v>902</v>
      </c>
      <c r="C195" s="20" t="s">
        <v>150</v>
      </c>
      <c r="D195" s="20" t="s">
        <v>234</v>
      </c>
      <c r="E195" s="20" t="s">
        <v>898</v>
      </c>
      <c r="F195" s="32"/>
      <c r="G195" s="26">
        <f>G196</f>
        <v>274</v>
      </c>
      <c r="H195" s="26">
        <f>H196</f>
        <v>274</v>
      </c>
      <c r="I195" s="201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898</v>
      </c>
      <c r="F196" s="32" t="s">
        <v>145</v>
      </c>
      <c r="G196" s="26">
        <f>G197</f>
        <v>274</v>
      </c>
      <c r="H196" s="26">
        <f>H197</f>
        <v>274</v>
      </c>
      <c r="I196" s="201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898</v>
      </c>
      <c r="F197" s="32" t="s">
        <v>160</v>
      </c>
      <c r="G197" s="26">
        <f>19+255</f>
        <v>274</v>
      </c>
      <c r="H197" s="26">
        <f>19+255</f>
        <v>274</v>
      </c>
      <c r="I197" s="201"/>
    </row>
    <row r="198" spans="1:9" ht="31.5" hidden="1" x14ac:dyDescent="0.25">
      <c r="A198" s="25" t="s">
        <v>235</v>
      </c>
      <c r="B198" s="16">
        <v>902</v>
      </c>
      <c r="C198" s="20" t="s">
        <v>150</v>
      </c>
      <c r="D198" s="20" t="s">
        <v>234</v>
      </c>
      <c r="E198" s="20" t="s">
        <v>880</v>
      </c>
      <c r="F198" s="20"/>
      <c r="G198" s="26">
        <f>G199</f>
        <v>0</v>
      </c>
      <c r="H198" s="26">
        <f>H199</f>
        <v>0</v>
      </c>
      <c r="I198" s="201"/>
    </row>
    <row r="199" spans="1:9" ht="15.75" hidden="1" x14ac:dyDescent="0.25">
      <c r="A199" s="25" t="s">
        <v>135</v>
      </c>
      <c r="B199" s="16">
        <v>902</v>
      </c>
      <c r="C199" s="20" t="s">
        <v>150</v>
      </c>
      <c r="D199" s="20" t="s">
        <v>234</v>
      </c>
      <c r="E199" s="20" t="s">
        <v>880</v>
      </c>
      <c r="F199" s="20" t="s">
        <v>145</v>
      </c>
      <c r="G199" s="26">
        <f>G200</f>
        <v>0</v>
      </c>
      <c r="H199" s="26">
        <f>H200</f>
        <v>0</v>
      </c>
      <c r="I199" s="201"/>
    </row>
    <row r="200" spans="1:9" ht="47.25" hidden="1" x14ac:dyDescent="0.25">
      <c r="A200" s="25" t="s">
        <v>184</v>
      </c>
      <c r="B200" s="16">
        <v>902</v>
      </c>
      <c r="C200" s="20" t="s">
        <v>150</v>
      </c>
      <c r="D200" s="20" t="s">
        <v>234</v>
      </c>
      <c r="E200" s="20" t="s">
        <v>880</v>
      </c>
      <c r="F200" s="20" t="s">
        <v>160</v>
      </c>
      <c r="G200" s="26"/>
      <c r="H200" s="26"/>
      <c r="I200" s="201"/>
    </row>
    <row r="201" spans="1:9" ht="47.25" hidden="1" x14ac:dyDescent="0.25">
      <c r="A201" s="209" t="s">
        <v>1007</v>
      </c>
      <c r="B201" s="19">
        <v>902</v>
      </c>
      <c r="C201" s="24" t="s">
        <v>150</v>
      </c>
      <c r="D201" s="24" t="s">
        <v>234</v>
      </c>
      <c r="E201" s="193" t="s">
        <v>879</v>
      </c>
      <c r="F201" s="217"/>
      <c r="G201" s="21">
        <f t="shared" ref="G201:H203" si="12">G202</f>
        <v>0</v>
      </c>
      <c r="H201" s="21">
        <f t="shared" si="12"/>
        <v>0</v>
      </c>
      <c r="I201" s="201"/>
    </row>
    <row r="202" spans="1:9" ht="15.75" hidden="1" x14ac:dyDescent="0.25">
      <c r="A202" s="25" t="s">
        <v>878</v>
      </c>
      <c r="B202" s="16">
        <v>902</v>
      </c>
      <c r="C202" s="20" t="s">
        <v>150</v>
      </c>
      <c r="D202" s="20" t="s">
        <v>234</v>
      </c>
      <c r="E202" s="5" t="s">
        <v>899</v>
      </c>
      <c r="F202" s="32"/>
      <c r="G202" s="26">
        <f t="shared" si="12"/>
        <v>0</v>
      </c>
      <c r="H202" s="26">
        <f t="shared" si="12"/>
        <v>0</v>
      </c>
      <c r="I202" s="201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899</v>
      </c>
      <c r="F203" s="32" t="s">
        <v>145</v>
      </c>
      <c r="G203" s="26">
        <f t="shared" si="12"/>
        <v>0</v>
      </c>
      <c r="H203" s="26">
        <f t="shared" si="12"/>
        <v>0</v>
      </c>
      <c r="I203" s="201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899</v>
      </c>
      <c r="F204" s="32" t="s">
        <v>160</v>
      </c>
      <c r="G204" s="26">
        <v>0</v>
      </c>
      <c r="H204" s="26">
        <v>0</v>
      </c>
      <c r="I204" s="201"/>
    </row>
    <row r="205" spans="1:9" ht="31.5" x14ac:dyDescent="0.25">
      <c r="A205" s="23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21">
        <f>G206+G213</f>
        <v>414.2</v>
      </c>
      <c r="H205" s="21">
        <f>H206+H213</f>
        <v>424.8</v>
      </c>
      <c r="I205" s="201"/>
    </row>
    <row r="206" spans="1:9" ht="31.5" x14ac:dyDescent="0.25">
      <c r="A206" s="23" t="s">
        <v>917</v>
      </c>
      <c r="B206" s="19">
        <v>902</v>
      </c>
      <c r="C206" s="24" t="s">
        <v>150</v>
      </c>
      <c r="D206" s="24" t="s">
        <v>238</v>
      </c>
      <c r="E206" s="24" t="s">
        <v>858</v>
      </c>
      <c r="F206" s="24"/>
      <c r="G206" s="21">
        <f>G207</f>
        <v>264.2</v>
      </c>
      <c r="H206" s="21">
        <f>H207</f>
        <v>274.8</v>
      </c>
      <c r="I206" s="201"/>
    </row>
    <row r="207" spans="1:9" ht="31.5" x14ac:dyDescent="0.25">
      <c r="A207" s="23" t="s">
        <v>885</v>
      </c>
      <c r="B207" s="19">
        <v>902</v>
      </c>
      <c r="C207" s="24" t="s">
        <v>150</v>
      </c>
      <c r="D207" s="24" t="s">
        <v>238</v>
      </c>
      <c r="E207" s="24" t="s">
        <v>863</v>
      </c>
      <c r="F207" s="24"/>
      <c r="G207" s="21">
        <f>G208</f>
        <v>264.2</v>
      </c>
      <c r="H207" s="21">
        <f>H208</f>
        <v>274.8</v>
      </c>
      <c r="I207" s="201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924</v>
      </c>
      <c r="F208" s="20"/>
      <c r="G208" s="26">
        <f>G209+G211</f>
        <v>264.2</v>
      </c>
      <c r="H208" s="26">
        <f>H209+H211</f>
        <v>274.8</v>
      </c>
      <c r="I208" s="201"/>
    </row>
    <row r="209" spans="1:9" ht="78.75" x14ac:dyDescent="0.25">
      <c r="A209" s="25" t="s">
        <v>127</v>
      </c>
      <c r="B209" s="16">
        <v>902</v>
      </c>
      <c r="C209" s="20" t="s">
        <v>150</v>
      </c>
      <c r="D209" s="20" t="s">
        <v>238</v>
      </c>
      <c r="E209" s="20" t="s">
        <v>924</v>
      </c>
      <c r="F209" s="20" t="s">
        <v>128</v>
      </c>
      <c r="G209" s="26">
        <f>G210</f>
        <v>205.8</v>
      </c>
      <c r="H209" s="26">
        <f>H210</f>
        <v>205.8</v>
      </c>
      <c r="I209" s="201"/>
    </row>
    <row r="210" spans="1:9" ht="31.5" x14ac:dyDescent="0.25">
      <c r="A210" s="25" t="s">
        <v>129</v>
      </c>
      <c r="B210" s="16">
        <v>902</v>
      </c>
      <c r="C210" s="20" t="s">
        <v>150</v>
      </c>
      <c r="D210" s="20" t="s">
        <v>238</v>
      </c>
      <c r="E210" s="20" t="s">
        <v>924</v>
      </c>
      <c r="F210" s="20" t="s">
        <v>130</v>
      </c>
      <c r="G210" s="26">
        <f>187+18.8</f>
        <v>205.8</v>
      </c>
      <c r="H210" s="26">
        <f t="shared" si="11"/>
        <v>205.8</v>
      </c>
      <c r="I210" s="201"/>
    </row>
    <row r="211" spans="1:9" ht="31.5" x14ac:dyDescent="0.25">
      <c r="A211" s="25" t="s">
        <v>131</v>
      </c>
      <c r="B211" s="16">
        <v>902</v>
      </c>
      <c r="C211" s="20" t="s">
        <v>150</v>
      </c>
      <c r="D211" s="20" t="s">
        <v>238</v>
      </c>
      <c r="E211" s="20" t="s">
        <v>924</v>
      </c>
      <c r="F211" s="20" t="s">
        <v>132</v>
      </c>
      <c r="G211" s="26">
        <f>G212</f>
        <v>58.4</v>
      </c>
      <c r="H211" s="26">
        <f>H212</f>
        <v>69</v>
      </c>
      <c r="I211" s="201"/>
    </row>
    <row r="212" spans="1:9" ht="31.5" x14ac:dyDescent="0.25">
      <c r="A212" s="25" t="s">
        <v>133</v>
      </c>
      <c r="B212" s="16">
        <v>902</v>
      </c>
      <c r="C212" s="20" t="s">
        <v>150</v>
      </c>
      <c r="D212" s="20" t="s">
        <v>238</v>
      </c>
      <c r="E212" s="20" t="s">
        <v>924</v>
      </c>
      <c r="F212" s="20" t="s">
        <v>134</v>
      </c>
      <c r="G212" s="26">
        <f>101.8-43.4</f>
        <v>58.4</v>
      </c>
      <c r="H212" s="26">
        <v>69</v>
      </c>
      <c r="I212" s="201"/>
    </row>
    <row r="213" spans="1:9" ht="47.25" x14ac:dyDescent="0.25">
      <c r="A213" s="23" t="s">
        <v>1339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21">
        <f t="shared" ref="G213:H215" si="13">G214</f>
        <v>150</v>
      </c>
      <c r="H213" s="21">
        <f t="shared" si="13"/>
        <v>150</v>
      </c>
      <c r="I213" s="201"/>
    </row>
    <row r="214" spans="1:9" ht="47.25" x14ac:dyDescent="0.25">
      <c r="A214" s="23" t="s">
        <v>1065</v>
      </c>
      <c r="B214" s="19">
        <v>902</v>
      </c>
      <c r="C214" s="24" t="s">
        <v>150</v>
      </c>
      <c r="D214" s="24" t="s">
        <v>238</v>
      </c>
      <c r="E214" s="24" t="s">
        <v>1062</v>
      </c>
      <c r="F214" s="24"/>
      <c r="G214" s="21">
        <f t="shared" si="13"/>
        <v>150</v>
      </c>
      <c r="H214" s="21">
        <f t="shared" si="13"/>
        <v>150</v>
      </c>
      <c r="I214" s="201"/>
    </row>
    <row r="215" spans="1:9" ht="31.5" x14ac:dyDescent="0.25">
      <c r="A215" s="25" t="s">
        <v>1066</v>
      </c>
      <c r="B215" s="16">
        <v>902</v>
      </c>
      <c r="C215" s="20" t="s">
        <v>150</v>
      </c>
      <c r="D215" s="20" t="s">
        <v>238</v>
      </c>
      <c r="E215" s="20" t="s">
        <v>1063</v>
      </c>
      <c r="F215" s="20"/>
      <c r="G215" s="26">
        <f t="shared" si="13"/>
        <v>150</v>
      </c>
      <c r="H215" s="26">
        <f t="shared" si="13"/>
        <v>150</v>
      </c>
      <c r="I215" s="201"/>
    </row>
    <row r="216" spans="1:9" ht="15.75" x14ac:dyDescent="0.25">
      <c r="A216" s="25" t="s">
        <v>135</v>
      </c>
      <c r="B216" s="16">
        <v>902</v>
      </c>
      <c r="C216" s="20" t="s">
        <v>150</v>
      </c>
      <c r="D216" s="20" t="s">
        <v>238</v>
      </c>
      <c r="E216" s="20" t="s">
        <v>1063</v>
      </c>
      <c r="F216" s="20" t="s">
        <v>145</v>
      </c>
      <c r="G216" s="26">
        <f>G217</f>
        <v>150</v>
      </c>
      <c r="H216" s="26">
        <f t="shared" si="11"/>
        <v>150</v>
      </c>
      <c r="I216" s="201"/>
    </row>
    <row r="217" spans="1:9" ht="47.25" x14ac:dyDescent="0.25">
      <c r="A217" s="25" t="s">
        <v>184</v>
      </c>
      <c r="B217" s="16">
        <v>902</v>
      </c>
      <c r="C217" s="20" t="s">
        <v>150</v>
      </c>
      <c r="D217" s="20" t="s">
        <v>238</v>
      </c>
      <c r="E217" s="20" t="s">
        <v>1063</v>
      </c>
      <c r="F217" s="20" t="s">
        <v>160</v>
      </c>
      <c r="G217" s="159">
        <v>150</v>
      </c>
      <c r="H217" s="159">
        <f t="shared" si="11"/>
        <v>150</v>
      </c>
      <c r="I217" s="201"/>
    </row>
    <row r="218" spans="1:9" ht="15.75" x14ac:dyDescent="0.25">
      <c r="A218" s="23" t="s">
        <v>243</v>
      </c>
      <c r="B218" s="19">
        <v>902</v>
      </c>
      <c r="C218" s="24" t="s">
        <v>244</v>
      </c>
      <c r="D218" s="24"/>
      <c r="E218" s="24"/>
      <c r="F218" s="24"/>
      <c r="G218" s="21">
        <f>G219+G225+G234</f>
        <v>13475.699999999999</v>
      </c>
      <c r="H218" s="21">
        <f>H219+H225+H234</f>
        <v>13431.699999999999</v>
      </c>
      <c r="I218" s="201"/>
    </row>
    <row r="219" spans="1:9" ht="15.75" x14ac:dyDescent="0.25">
      <c r="A219" s="23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21">
        <f t="shared" ref="G219:H219" si="14">G220</f>
        <v>9815.2999999999993</v>
      </c>
      <c r="H219" s="21">
        <f t="shared" si="14"/>
        <v>9815.2999999999993</v>
      </c>
      <c r="I219" s="201"/>
    </row>
    <row r="220" spans="1:9" ht="15.75" x14ac:dyDescent="0.25">
      <c r="A220" s="23" t="s">
        <v>141</v>
      </c>
      <c r="B220" s="19">
        <v>902</v>
      </c>
      <c r="C220" s="24" t="s">
        <v>244</v>
      </c>
      <c r="D220" s="24" t="s">
        <v>118</v>
      </c>
      <c r="E220" s="24" t="s">
        <v>866</v>
      </c>
      <c r="F220" s="24"/>
      <c r="G220" s="21">
        <f t="shared" ref="G220:H223" si="15">G221</f>
        <v>9815.2999999999993</v>
      </c>
      <c r="H220" s="21">
        <f t="shared" si="15"/>
        <v>9815.2999999999993</v>
      </c>
      <c r="I220" s="201"/>
    </row>
    <row r="221" spans="1:9" ht="31.5" x14ac:dyDescent="0.25">
      <c r="A221" s="23" t="s">
        <v>870</v>
      </c>
      <c r="B221" s="19">
        <v>902</v>
      </c>
      <c r="C221" s="24" t="s">
        <v>244</v>
      </c>
      <c r="D221" s="24" t="s">
        <v>118</v>
      </c>
      <c r="E221" s="24" t="s">
        <v>865</v>
      </c>
      <c r="F221" s="24"/>
      <c r="G221" s="21">
        <f t="shared" si="15"/>
        <v>9815.2999999999993</v>
      </c>
      <c r="H221" s="21">
        <f t="shared" si="15"/>
        <v>9815.2999999999993</v>
      </c>
      <c r="I221" s="201"/>
    </row>
    <row r="222" spans="1:9" ht="15.75" x14ac:dyDescent="0.25">
      <c r="A222" s="25" t="s">
        <v>246</v>
      </c>
      <c r="B222" s="16">
        <v>902</v>
      </c>
      <c r="C222" s="20" t="s">
        <v>244</v>
      </c>
      <c r="D222" s="20" t="s">
        <v>118</v>
      </c>
      <c r="E222" s="20" t="s">
        <v>881</v>
      </c>
      <c r="F222" s="20"/>
      <c r="G222" s="26">
        <f t="shared" si="15"/>
        <v>9815.2999999999993</v>
      </c>
      <c r="H222" s="26">
        <f t="shared" si="15"/>
        <v>9815.2999999999993</v>
      </c>
      <c r="I222" s="201"/>
    </row>
    <row r="223" spans="1:9" ht="22.7" customHeight="1" x14ac:dyDescent="0.25">
      <c r="A223" s="25" t="s">
        <v>248</v>
      </c>
      <c r="B223" s="16">
        <v>902</v>
      </c>
      <c r="C223" s="20" t="s">
        <v>244</v>
      </c>
      <c r="D223" s="20" t="s">
        <v>118</v>
      </c>
      <c r="E223" s="20" t="s">
        <v>881</v>
      </c>
      <c r="F223" s="20" t="s">
        <v>249</v>
      </c>
      <c r="G223" s="26">
        <f t="shared" si="15"/>
        <v>9815.2999999999993</v>
      </c>
      <c r="H223" s="26">
        <f t="shared" si="15"/>
        <v>9815.2999999999993</v>
      </c>
      <c r="I223" s="201"/>
    </row>
    <row r="224" spans="1:9" ht="31.5" x14ac:dyDescent="0.25">
      <c r="A224" s="25" t="s">
        <v>348</v>
      </c>
      <c r="B224" s="16">
        <v>902</v>
      </c>
      <c r="C224" s="20" t="s">
        <v>244</v>
      </c>
      <c r="D224" s="20" t="s">
        <v>118</v>
      </c>
      <c r="E224" s="20" t="s">
        <v>881</v>
      </c>
      <c r="F224" s="20" t="s">
        <v>349</v>
      </c>
      <c r="G224" s="26">
        <v>9815.2999999999993</v>
      </c>
      <c r="H224" s="26">
        <f t="shared" si="11"/>
        <v>9815.2999999999993</v>
      </c>
      <c r="I224" s="201"/>
    </row>
    <row r="225" spans="1:9" ht="15.75" x14ac:dyDescent="0.25">
      <c r="A225" s="23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21">
        <f>G226</f>
        <v>10</v>
      </c>
      <c r="H225" s="21">
        <f>H226</f>
        <v>10</v>
      </c>
      <c r="I225" s="201"/>
    </row>
    <row r="226" spans="1:9" ht="63" x14ac:dyDescent="0.25">
      <c r="A226" s="23" t="s">
        <v>1349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21">
        <f>G227</f>
        <v>10</v>
      </c>
      <c r="H226" s="21">
        <f>H227</f>
        <v>10</v>
      </c>
      <c r="I226" s="201"/>
    </row>
    <row r="227" spans="1:9" ht="47.25" x14ac:dyDescent="0.25">
      <c r="A227" s="23" t="s">
        <v>884</v>
      </c>
      <c r="B227" s="19">
        <v>902</v>
      </c>
      <c r="C227" s="24" t="s">
        <v>244</v>
      </c>
      <c r="D227" s="24" t="s">
        <v>215</v>
      </c>
      <c r="E227" s="24" t="s">
        <v>882</v>
      </c>
      <c r="F227" s="24"/>
      <c r="G227" s="21">
        <f>G228+G231</f>
        <v>10</v>
      </c>
      <c r="H227" s="21">
        <f>H228+H231</f>
        <v>10</v>
      </c>
      <c r="I227" s="201"/>
    </row>
    <row r="228" spans="1:9" ht="31.5" x14ac:dyDescent="0.25">
      <c r="A228" s="25" t="s">
        <v>883</v>
      </c>
      <c r="B228" s="16">
        <v>902</v>
      </c>
      <c r="C228" s="20" t="s">
        <v>244</v>
      </c>
      <c r="D228" s="20" t="s">
        <v>215</v>
      </c>
      <c r="E228" s="20" t="s">
        <v>1189</v>
      </c>
      <c r="F228" s="20"/>
      <c r="G228" s="26">
        <f>G229</f>
        <v>10</v>
      </c>
      <c r="H228" s="26">
        <f>H229</f>
        <v>10</v>
      </c>
      <c r="I228" s="201"/>
    </row>
    <row r="229" spans="1:9" ht="19.5" customHeight="1" x14ac:dyDescent="0.25">
      <c r="A229" s="25" t="s">
        <v>248</v>
      </c>
      <c r="B229" s="16">
        <v>902</v>
      </c>
      <c r="C229" s="20" t="s">
        <v>244</v>
      </c>
      <c r="D229" s="20" t="s">
        <v>215</v>
      </c>
      <c r="E229" s="20" t="s">
        <v>1189</v>
      </c>
      <c r="F229" s="20" t="s">
        <v>249</v>
      </c>
      <c r="G229" s="26">
        <f>G230</f>
        <v>10</v>
      </c>
      <c r="H229" s="26">
        <f>H230</f>
        <v>10</v>
      </c>
      <c r="I229" s="201"/>
    </row>
    <row r="230" spans="1:9" ht="31.5" x14ac:dyDescent="0.25">
      <c r="A230" s="25" t="s">
        <v>250</v>
      </c>
      <c r="B230" s="16">
        <v>902</v>
      </c>
      <c r="C230" s="20" t="s">
        <v>244</v>
      </c>
      <c r="D230" s="20" t="s">
        <v>215</v>
      </c>
      <c r="E230" s="20" t="s">
        <v>1189</v>
      </c>
      <c r="F230" s="20" t="s">
        <v>251</v>
      </c>
      <c r="G230" s="26">
        <f>10</f>
        <v>10</v>
      </c>
      <c r="H230" s="26">
        <f t="shared" si="11"/>
        <v>10</v>
      </c>
      <c r="I230" s="201"/>
    </row>
    <row r="231" spans="1:9" s="200" customFormat="1" ht="63" hidden="1" x14ac:dyDescent="0.25">
      <c r="A231" s="25" t="s">
        <v>1188</v>
      </c>
      <c r="B231" s="16">
        <v>902</v>
      </c>
      <c r="C231" s="20" t="s">
        <v>244</v>
      </c>
      <c r="D231" s="20" t="s">
        <v>215</v>
      </c>
      <c r="E231" s="20" t="s">
        <v>1176</v>
      </c>
      <c r="F231" s="20"/>
      <c r="G231" s="26">
        <f>G232</f>
        <v>0</v>
      </c>
      <c r="H231" s="26">
        <f>H232</f>
        <v>0</v>
      </c>
      <c r="I231" s="201"/>
    </row>
    <row r="232" spans="1:9" s="200" customFormat="1" ht="20.25" hidden="1" customHeight="1" x14ac:dyDescent="0.25">
      <c r="A232" s="25" t="s">
        <v>248</v>
      </c>
      <c r="B232" s="16">
        <v>902</v>
      </c>
      <c r="C232" s="20" t="s">
        <v>244</v>
      </c>
      <c r="D232" s="20" t="s">
        <v>215</v>
      </c>
      <c r="E232" s="20" t="s">
        <v>1176</v>
      </c>
      <c r="F232" s="20" t="s">
        <v>249</v>
      </c>
      <c r="G232" s="26">
        <f>G233</f>
        <v>0</v>
      </c>
      <c r="H232" s="26">
        <f>H233</f>
        <v>0</v>
      </c>
      <c r="I232" s="201"/>
    </row>
    <row r="233" spans="1:9" s="200" customFormat="1" ht="31.5" hidden="1" x14ac:dyDescent="0.25">
      <c r="A233" s="25" t="s">
        <v>250</v>
      </c>
      <c r="B233" s="16">
        <v>902</v>
      </c>
      <c r="C233" s="20" t="s">
        <v>244</v>
      </c>
      <c r="D233" s="20" t="s">
        <v>215</v>
      </c>
      <c r="E233" s="20" t="s">
        <v>1176</v>
      </c>
      <c r="F233" s="20" t="s">
        <v>251</v>
      </c>
      <c r="G233" s="26">
        <v>0</v>
      </c>
      <c r="H233" s="26">
        <v>0</v>
      </c>
      <c r="I233" s="201"/>
    </row>
    <row r="234" spans="1:9" ht="15.75" x14ac:dyDescent="0.25">
      <c r="A234" s="23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21">
        <f t="shared" ref="G234:H236" si="16">G235</f>
        <v>3650.4</v>
      </c>
      <c r="H234" s="21">
        <f t="shared" si="16"/>
        <v>3606.4</v>
      </c>
      <c r="I234" s="201"/>
    </row>
    <row r="235" spans="1:9" ht="31.5" x14ac:dyDescent="0.25">
      <c r="A235" s="23" t="s">
        <v>917</v>
      </c>
      <c r="B235" s="19">
        <v>902</v>
      </c>
      <c r="C235" s="24" t="s">
        <v>244</v>
      </c>
      <c r="D235" s="24" t="s">
        <v>120</v>
      </c>
      <c r="E235" s="24" t="s">
        <v>858</v>
      </c>
      <c r="F235" s="24"/>
      <c r="G235" s="21">
        <f t="shared" si="16"/>
        <v>3650.4</v>
      </c>
      <c r="H235" s="21">
        <f t="shared" si="16"/>
        <v>3606.4</v>
      </c>
      <c r="I235" s="201"/>
    </row>
    <row r="236" spans="1:9" ht="31.5" x14ac:dyDescent="0.25">
      <c r="A236" s="23" t="s">
        <v>885</v>
      </c>
      <c r="B236" s="19">
        <v>902</v>
      </c>
      <c r="C236" s="24" t="s">
        <v>244</v>
      </c>
      <c r="D236" s="24" t="s">
        <v>120</v>
      </c>
      <c r="E236" s="24" t="s">
        <v>863</v>
      </c>
      <c r="F236" s="24"/>
      <c r="G236" s="21">
        <f t="shared" si="16"/>
        <v>3650.4</v>
      </c>
      <c r="H236" s="21">
        <f t="shared" si="16"/>
        <v>3606.4</v>
      </c>
      <c r="I236" s="201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925</v>
      </c>
      <c r="F237" s="20"/>
      <c r="G237" s="26">
        <f>G238+G240</f>
        <v>3650.4</v>
      </c>
      <c r="H237" s="26">
        <f>H238+H240</f>
        <v>3606.4</v>
      </c>
      <c r="I237" s="201"/>
    </row>
    <row r="238" spans="1:9" ht="78.75" x14ac:dyDescent="0.25">
      <c r="A238" s="25" t="s">
        <v>127</v>
      </c>
      <c r="B238" s="16">
        <v>902</v>
      </c>
      <c r="C238" s="20" t="s">
        <v>244</v>
      </c>
      <c r="D238" s="20" t="s">
        <v>120</v>
      </c>
      <c r="E238" s="20" t="s">
        <v>925</v>
      </c>
      <c r="F238" s="20" t="s">
        <v>128</v>
      </c>
      <c r="G238" s="26">
        <f>G239</f>
        <v>3249.8</v>
      </c>
      <c r="H238" s="26">
        <f>H239</f>
        <v>3205.8</v>
      </c>
      <c r="I238" s="201"/>
    </row>
    <row r="239" spans="1:9" ht="31.5" x14ac:dyDescent="0.25">
      <c r="A239" s="25" t="s">
        <v>129</v>
      </c>
      <c r="B239" s="16">
        <v>902</v>
      </c>
      <c r="C239" s="20" t="s">
        <v>244</v>
      </c>
      <c r="D239" s="20" t="s">
        <v>120</v>
      </c>
      <c r="E239" s="20" t="s">
        <v>925</v>
      </c>
      <c r="F239" s="20" t="s">
        <v>130</v>
      </c>
      <c r="G239" s="26">
        <v>3249.8</v>
      </c>
      <c r="H239" s="26">
        <v>3205.8</v>
      </c>
      <c r="I239" s="201"/>
    </row>
    <row r="240" spans="1:9" ht="31.5" x14ac:dyDescent="0.25">
      <c r="A240" s="25" t="s">
        <v>131</v>
      </c>
      <c r="B240" s="16">
        <v>902</v>
      </c>
      <c r="C240" s="20" t="s">
        <v>244</v>
      </c>
      <c r="D240" s="20" t="s">
        <v>120</v>
      </c>
      <c r="E240" s="20" t="s">
        <v>925</v>
      </c>
      <c r="F240" s="20" t="s">
        <v>132</v>
      </c>
      <c r="G240" s="26">
        <f>G241</f>
        <v>400.6</v>
      </c>
      <c r="H240" s="26">
        <f>H241</f>
        <v>400.6</v>
      </c>
      <c r="I240" s="201"/>
    </row>
    <row r="241" spans="1:12" ht="31.5" x14ac:dyDescent="0.25">
      <c r="A241" s="25" t="s">
        <v>133</v>
      </c>
      <c r="B241" s="16">
        <v>902</v>
      </c>
      <c r="C241" s="20" t="s">
        <v>244</v>
      </c>
      <c r="D241" s="20" t="s">
        <v>120</v>
      </c>
      <c r="E241" s="20" t="s">
        <v>925</v>
      </c>
      <c r="F241" s="20" t="s">
        <v>134</v>
      </c>
      <c r="G241" s="26">
        <v>400.6</v>
      </c>
      <c r="H241" s="26">
        <f t="shared" si="11"/>
        <v>400.6</v>
      </c>
      <c r="I241" s="201"/>
    </row>
    <row r="242" spans="1:12" ht="47.25" x14ac:dyDescent="0.25">
      <c r="A242" s="19" t="s">
        <v>261</v>
      </c>
      <c r="B242" s="19">
        <v>903</v>
      </c>
      <c r="C242" s="20"/>
      <c r="D242" s="20"/>
      <c r="E242" s="20"/>
      <c r="F242" s="20"/>
      <c r="G242" s="21">
        <f>G293+G357+G445+G243+G273+G468</f>
        <v>104757.7</v>
      </c>
      <c r="H242" s="21">
        <f>H293+H357+H445+H243+H273+H468</f>
        <v>106518</v>
      </c>
      <c r="I242" s="201"/>
    </row>
    <row r="243" spans="1:12" ht="15.75" x14ac:dyDescent="0.25">
      <c r="A243" s="23" t="s">
        <v>117</v>
      </c>
      <c r="B243" s="19">
        <v>903</v>
      </c>
      <c r="C243" s="24" t="s">
        <v>118</v>
      </c>
      <c r="D243" s="20"/>
      <c r="E243" s="20"/>
      <c r="F243" s="20"/>
      <c r="G243" s="21">
        <f>G244</f>
        <v>225</v>
      </c>
      <c r="H243" s="21">
        <f>H244</f>
        <v>625</v>
      </c>
      <c r="I243" s="201"/>
    </row>
    <row r="244" spans="1:12" ht="15.75" x14ac:dyDescent="0.25">
      <c r="A244" s="23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21">
        <f>G245+G251+G268</f>
        <v>225</v>
      </c>
      <c r="H244" s="21">
        <f>H245+H251+H268</f>
        <v>625</v>
      </c>
      <c r="I244" s="201"/>
    </row>
    <row r="245" spans="1:12" ht="47.25" x14ac:dyDescent="0.25">
      <c r="A245" s="23" t="s">
        <v>1369</v>
      </c>
      <c r="B245" s="19">
        <v>903</v>
      </c>
      <c r="C245" s="8" t="s">
        <v>118</v>
      </c>
      <c r="D245" s="8" t="s">
        <v>140</v>
      </c>
      <c r="E245" s="193" t="s">
        <v>344</v>
      </c>
      <c r="F245" s="8"/>
      <c r="G245" s="21">
        <f t="shared" ref="G245:H249" si="17">G246</f>
        <v>200</v>
      </c>
      <c r="H245" s="21">
        <f t="shared" si="17"/>
        <v>500</v>
      </c>
      <c r="I245" s="201"/>
      <c r="L245" s="227"/>
    </row>
    <row r="246" spans="1:12" ht="78.75" x14ac:dyDescent="0.25">
      <c r="A246" s="41" t="s">
        <v>1351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21">
        <f t="shared" si="17"/>
        <v>200</v>
      </c>
      <c r="H246" s="21">
        <f t="shared" si="17"/>
        <v>500</v>
      </c>
      <c r="I246" s="201"/>
    </row>
    <row r="247" spans="1:12" ht="63" x14ac:dyDescent="0.25">
      <c r="A247" s="245" t="s">
        <v>1045</v>
      </c>
      <c r="B247" s="19">
        <v>903</v>
      </c>
      <c r="C247" s="7" t="s">
        <v>118</v>
      </c>
      <c r="D247" s="7" t="s">
        <v>140</v>
      </c>
      <c r="E247" s="7" t="s">
        <v>909</v>
      </c>
      <c r="F247" s="7"/>
      <c r="G247" s="21">
        <f t="shared" si="17"/>
        <v>200</v>
      </c>
      <c r="H247" s="21">
        <f t="shared" si="17"/>
        <v>500</v>
      </c>
      <c r="I247" s="201"/>
    </row>
    <row r="248" spans="1:12" ht="31.5" x14ac:dyDescent="0.25">
      <c r="A248" s="98" t="s">
        <v>1046</v>
      </c>
      <c r="B248" s="16">
        <v>903</v>
      </c>
      <c r="C248" s="40" t="s">
        <v>118</v>
      </c>
      <c r="D248" s="40" t="s">
        <v>140</v>
      </c>
      <c r="E248" s="40" t="s">
        <v>1199</v>
      </c>
      <c r="F248" s="40"/>
      <c r="G248" s="26">
        <f t="shared" si="17"/>
        <v>200</v>
      </c>
      <c r="H248" s="26">
        <f t="shared" si="17"/>
        <v>500</v>
      </c>
      <c r="I248" s="201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1199</v>
      </c>
      <c r="F249" s="40" t="s">
        <v>132</v>
      </c>
      <c r="G249" s="26">
        <f t="shared" si="17"/>
        <v>200</v>
      </c>
      <c r="H249" s="26">
        <f t="shared" si="17"/>
        <v>500</v>
      </c>
      <c r="I249" s="201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1199</v>
      </c>
      <c r="F250" s="40" t="s">
        <v>134</v>
      </c>
      <c r="G250" s="26">
        <v>200</v>
      </c>
      <c r="H250" s="26">
        <v>500</v>
      </c>
      <c r="I250" s="201"/>
    </row>
    <row r="251" spans="1:12" ht="47.25" x14ac:dyDescent="0.25">
      <c r="A251" s="23" t="s">
        <v>1352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21">
        <f>G252</f>
        <v>20</v>
      </c>
      <c r="H251" s="21">
        <f>H252</f>
        <v>120</v>
      </c>
      <c r="I251" s="201"/>
    </row>
    <row r="252" spans="1:12" ht="31.5" x14ac:dyDescent="0.25">
      <c r="A252" s="23" t="s">
        <v>1050</v>
      </c>
      <c r="B252" s="19">
        <v>903</v>
      </c>
      <c r="C252" s="24" t="s">
        <v>118</v>
      </c>
      <c r="D252" s="24" t="s">
        <v>140</v>
      </c>
      <c r="E252" s="24" t="s">
        <v>1051</v>
      </c>
      <c r="F252" s="24"/>
      <c r="G252" s="21">
        <f>G253+G262+G256+G259+G265</f>
        <v>20</v>
      </c>
      <c r="H252" s="21">
        <f>H253+H262+H256+H259+H265</f>
        <v>120</v>
      </c>
      <c r="I252" s="201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1052</v>
      </c>
      <c r="F253" s="20"/>
      <c r="G253" s="26">
        <f>'Пр.4 ведом.21'!G254</f>
        <v>0</v>
      </c>
      <c r="H253" s="26">
        <f>H254</f>
        <v>100</v>
      </c>
      <c r="I253" s="201"/>
    </row>
    <row r="254" spans="1:12" ht="31.5" x14ac:dyDescent="0.25">
      <c r="A254" s="25" t="s">
        <v>131</v>
      </c>
      <c r="B254" s="16">
        <v>903</v>
      </c>
      <c r="C254" s="20" t="s">
        <v>118</v>
      </c>
      <c r="D254" s="20" t="s">
        <v>140</v>
      </c>
      <c r="E254" s="20" t="s">
        <v>1052</v>
      </c>
      <c r="F254" s="20" t="s">
        <v>132</v>
      </c>
      <c r="G254" s="26">
        <f>'Пр.4 ведом.21'!G255</f>
        <v>0</v>
      </c>
      <c r="H254" s="26">
        <f>H255</f>
        <v>100</v>
      </c>
      <c r="I254" s="201"/>
    </row>
    <row r="255" spans="1:12" ht="31.5" x14ac:dyDescent="0.25">
      <c r="A255" s="25" t="s">
        <v>133</v>
      </c>
      <c r="B255" s="16">
        <v>903</v>
      </c>
      <c r="C255" s="20" t="s">
        <v>118</v>
      </c>
      <c r="D255" s="20" t="s">
        <v>140</v>
      </c>
      <c r="E255" s="20" t="s">
        <v>1052</v>
      </c>
      <c r="F255" s="20" t="s">
        <v>134</v>
      </c>
      <c r="G255" s="26">
        <f>'Пр.4 ведом.21'!G256</f>
        <v>0</v>
      </c>
      <c r="H255" s="26">
        <v>100</v>
      </c>
      <c r="I255" s="201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1052</v>
      </c>
      <c r="F256" s="20"/>
      <c r="G256" s="26">
        <f>G257</f>
        <v>0</v>
      </c>
      <c r="H256" s="26">
        <f>H257</f>
        <v>0</v>
      </c>
      <c r="I256" s="201"/>
    </row>
    <row r="257" spans="1:9" ht="31.5" hidden="1" x14ac:dyDescent="0.25">
      <c r="A257" s="25" t="s">
        <v>131</v>
      </c>
      <c r="B257" s="16">
        <v>906</v>
      </c>
      <c r="C257" s="20" t="s">
        <v>118</v>
      </c>
      <c r="D257" s="20" t="s">
        <v>140</v>
      </c>
      <c r="E257" s="20" t="s">
        <v>1052</v>
      </c>
      <c r="F257" s="20" t="s">
        <v>132</v>
      </c>
      <c r="G257" s="26">
        <f>G258</f>
        <v>0</v>
      </c>
      <c r="H257" s="26">
        <f>H258</f>
        <v>0</v>
      </c>
      <c r="I257" s="201"/>
    </row>
    <row r="258" spans="1:9" ht="31.5" hidden="1" x14ac:dyDescent="0.25">
      <c r="A258" s="25" t="s">
        <v>133</v>
      </c>
      <c r="B258" s="16">
        <v>906</v>
      </c>
      <c r="C258" s="20" t="s">
        <v>118</v>
      </c>
      <c r="D258" s="20" t="s">
        <v>140</v>
      </c>
      <c r="E258" s="20" t="s">
        <v>1052</v>
      </c>
      <c r="F258" s="20" t="s">
        <v>134</v>
      </c>
      <c r="G258" s="26">
        <v>0</v>
      </c>
      <c r="H258" s="26">
        <v>0</v>
      </c>
      <c r="I258" s="201"/>
    </row>
    <row r="259" spans="1:9" ht="15.75" hidden="1" x14ac:dyDescent="0.25">
      <c r="A259" s="25" t="s">
        <v>994</v>
      </c>
      <c r="B259" s="16">
        <v>903</v>
      </c>
      <c r="C259" s="20" t="s">
        <v>118</v>
      </c>
      <c r="D259" s="20" t="s">
        <v>140</v>
      </c>
      <c r="E259" s="20" t="s">
        <v>1055</v>
      </c>
      <c r="F259" s="20"/>
      <c r="G259" s="26">
        <f>'Пр.4 ведом.21'!G263</f>
        <v>0</v>
      </c>
      <c r="H259" s="26">
        <f t="shared" ref="H259:H299" si="18">G259</f>
        <v>0</v>
      </c>
      <c r="I259" s="201"/>
    </row>
    <row r="260" spans="1:9" ht="31.5" hidden="1" x14ac:dyDescent="0.25">
      <c r="A260" s="25" t="s">
        <v>131</v>
      </c>
      <c r="B260" s="16">
        <v>903</v>
      </c>
      <c r="C260" s="20" t="s">
        <v>118</v>
      </c>
      <c r="D260" s="20" t="s">
        <v>140</v>
      </c>
      <c r="E260" s="20" t="s">
        <v>1055</v>
      </c>
      <c r="F260" s="20" t="s">
        <v>132</v>
      </c>
      <c r="G260" s="26">
        <f>'Пр.4 ведом.21'!G264</f>
        <v>0</v>
      </c>
      <c r="H260" s="26">
        <f t="shared" si="18"/>
        <v>0</v>
      </c>
      <c r="I260" s="201"/>
    </row>
    <row r="261" spans="1:9" ht="31.5" hidden="1" x14ac:dyDescent="0.25">
      <c r="A261" s="25" t="s">
        <v>133</v>
      </c>
      <c r="B261" s="16">
        <v>903</v>
      </c>
      <c r="C261" s="20" t="s">
        <v>118</v>
      </c>
      <c r="D261" s="20" t="s">
        <v>140</v>
      </c>
      <c r="E261" s="20" t="s">
        <v>1055</v>
      </c>
      <c r="F261" s="20" t="s">
        <v>134</v>
      </c>
      <c r="G261" s="26">
        <f>'Пр.4 ведом.21'!G265</f>
        <v>0</v>
      </c>
      <c r="H261" s="26">
        <f t="shared" si="18"/>
        <v>0</v>
      </c>
      <c r="I261" s="201"/>
    </row>
    <row r="262" spans="1:9" s="200" customFormat="1" ht="31.5" x14ac:dyDescent="0.25">
      <c r="A262" s="25" t="s">
        <v>338</v>
      </c>
      <c r="B262" s="16">
        <v>903</v>
      </c>
      <c r="C262" s="20" t="s">
        <v>118</v>
      </c>
      <c r="D262" s="20" t="s">
        <v>140</v>
      </c>
      <c r="E262" s="20" t="s">
        <v>1053</v>
      </c>
      <c r="F262" s="20"/>
      <c r="G262" s="26">
        <f>G263</f>
        <v>20</v>
      </c>
      <c r="H262" s="26">
        <f>H263</f>
        <v>20</v>
      </c>
      <c r="I262" s="201"/>
    </row>
    <row r="263" spans="1:9" s="200" customFormat="1" ht="31.5" x14ac:dyDescent="0.25">
      <c r="A263" s="25" t="s">
        <v>131</v>
      </c>
      <c r="B263" s="16">
        <v>903</v>
      </c>
      <c r="C263" s="20" t="s">
        <v>118</v>
      </c>
      <c r="D263" s="20" t="s">
        <v>140</v>
      </c>
      <c r="E263" s="20" t="s">
        <v>1053</v>
      </c>
      <c r="F263" s="20" t="s">
        <v>132</v>
      </c>
      <c r="G263" s="26">
        <f>G264</f>
        <v>20</v>
      </c>
      <c r="H263" s="26">
        <f>H264</f>
        <v>20</v>
      </c>
      <c r="I263" s="201"/>
    </row>
    <row r="264" spans="1:9" s="200" customFormat="1" ht="31.5" x14ac:dyDescent="0.25">
      <c r="A264" s="25" t="s">
        <v>133</v>
      </c>
      <c r="B264" s="16">
        <v>903</v>
      </c>
      <c r="C264" s="20" t="s">
        <v>118</v>
      </c>
      <c r="D264" s="20" t="s">
        <v>140</v>
      </c>
      <c r="E264" s="20" t="s">
        <v>1053</v>
      </c>
      <c r="F264" s="20" t="s">
        <v>134</v>
      </c>
      <c r="G264" s="26">
        <v>20</v>
      </c>
      <c r="H264" s="26">
        <v>20</v>
      </c>
      <c r="I264" s="201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1056</v>
      </c>
      <c r="F265" s="20"/>
      <c r="G265" s="26">
        <f>G266</f>
        <v>0</v>
      </c>
      <c r="H265" s="26">
        <f>H266</f>
        <v>0</v>
      </c>
      <c r="I265" s="201"/>
    </row>
    <row r="266" spans="1:9" ht="31.5" hidden="1" x14ac:dyDescent="0.25">
      <c r="A266" s="25" t="s">
        <v>131</v>
      </c>
      <c r="B266" s="16">
        <v>903</v>
      </c>
      <c r="C266" s="20" t="s">
        <v>118</v>
      </c>
      <c r="D266" s="20" t="s">
        <v>140</v>
      </c>
      <c r="E266" s="20" t="s">
        <v>1056</v>
      </c>
      <c r="F266" s="20" t="s">
        <v>132</v>
      </c>
      <c r="G266" s="26">
        <f>G267</f>
        <v>0</v>
      </c>
      <c r="H266" s="26">
        <f>H267</f>
        <v>0</v>
      </c>
      <c r="I266" s="201"/>
    </row>
    <row r="267" spans="1:9" ht="31.5" hidden="1" x14ac:dyDescent="0.25">
      <c r="A267" s="25" t="s">
        <v>133</v>
      </c>
      <c r="B267" s="16">
        <v>903</v>
      </c>
      <c r="C267" s="20" t="s">
        <v>118</v>
      </c>
      <c r="D267" s="20" t="s">
        <v>140</v>
      </c>
      <c r="E267" s="20" t="s">
        <v>1056</v>
      </c>
      <c r="F267" s="20" t="s">
        <v>134</v>
      </c>
      <c r="G267" s="26">
        <v>0</v>
      </c>
      <c r="H267" s="26">
        <f t="shared" si="18"/>
        <v>0</v>
      </c>
      <c r="I267" s="201"/>
    </row>
    <row r="268" spans="1:9" ht="47.25" x14ac:dyDescent="0.25">
      <c r="A268" s="41" t="s">
        <v>1355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21">
        <f>G270</f>
        <v>5</v>
      </c>
      <c r="H268" s="21">
        <f>H270</f>
        <v>5</v>
      </c>
      <c r="I268" s="201"/>
    </row>
    <row r="269" spans="1:9" ht="47.25" x14ac:dyDescent="0.25">
      <c r="A269" s="206" t="s">
        <v>846</v>
      </c>
      <c r="B269" s="19">
        <v>903</v>
      </c>
      <c r="C269" s="24" t="s">
        <v>118</v>
      </c>
      <c r="D269" s="24" t="s">
        <v>140</v>
      </c>
      <c r="E269" s="24" t="s">
        <v>852</v>
      </c>
      <c r="F269" s="24"/>
      <c r="G269" s="21">
        <f t="shared" ref="G269:H271" si="19">G270</f>
        <v>5</v>
      </c>
      <c r="H269" s="21">
        <f t="shared" si="19"/>
        <v>5</v>
      </c>
      <c r="I269" s="201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847</v>
      </c>
      <c r="F270" s="20"/>
      <c r="G270" s="26">
        <f t="shared" si="19"/>
        <v>5</v>
      </c>
      <c r="H270" s="26">
        <f t="shared" si="19"/>
        <v>5</v>
      </c>
      <c r="I270" s="201"/>
    </row>
    <row r="271" spans="1:9" ht="31.5" x14ac:dyDescent="0.25">
      <c r="A271" s="25" t="s">
        <v>131</v>
      </c>
      <c r="B271" s="16">
        <v>903</v>
      </c>
      <c r="C271" s="20" t="s">
        <v>118</v>
      </c>
      <c r="D271" s="20" t="s">
        <v>140</v>
      </c>
      <c r="E271" s="20" t="s">
        <v>847</v>
      </c>
      <c r="F271" s="20" t="s">
        <v>132</v>
      </c>
      <c r="G271" s="26">
        <f t="shared" si="19"/>
        <v>5</v>
      </c>
      <c r="H271" s="26">
        <f t="shared" si="19"/>
        <v>5</v>
      </c>
      <c r="I271" s="201"/>
    </row>
    <row r="272" spans="1:9" ht="31.5" x14ac:dyDescent="0.25">
      <c r="A272" s="25" t="s">
        <v>133</v>
      </c>
      <c r="B272" s="16">
        <v>903</v>
      </c>
      <c r="C272" s="20" t="s">
        <v>118</v>
      </c>
      <c r="D272" s="20" t="s">
        <v>140</v>
      </c>
      <c r="E272" s="20" t="s">
        <v>847</v>
      </c>
      <c r="F272" s="20" t="s">
        <v>134</v>
      </c>
      <c r="G272" s="26">
        <f>5</f>
        <v>5</v>
      </c>
      <c r="H272" s="26">
        <f t="shared" si="18"/>
        <v>5</v>
      </c>
      <c r="I272" s="201"/>
    </row>
    <row r="273" spans="1:9" ht="15.75" x14ac:dyDescent="0.25">
      <c r="A273" s="212" t="s">
        <v>232</v>
      </c>
      <c r="B273" s="19">
        <v>903</v>
      </c>
      <c r="C273" s="24" t="s">
        <v>150</v>
      </c>
      <c r="D273" s="20"/>
      <c r="E273" s="20"/>
      <c r="F273" s="32"/>
      <c r="G273" s="21">
        <f t="shared" ref="G273:H275" si="20">G274</f>
        <v>260</v>
      </c>
      <c r="H273" s="21">
        <f t="shared" si="20"/>
        <v>260</v>
      </c>
      <c r="I273" s="201"/>
    </row>
    <row r="274" spans="1:9" ht="31.5" x14ac:dyDescent="0.25">
      <c r="A274" s="23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21">
        <f t="shared" si="20"/>
        <v>260</v>
      </c>
      <c r="H274" s="21">
        <f t="shared" si="20"/>
        <v>260</v>
      </c>
      <c r="I274" s="201"/>
    </row>
    <row r="275" spans="1:9" ht="47.25" x14ac:dyDescent="0.25">
      <c r="A275" s="23" t="s">
        <v>1369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17"/>
      <c r="G275" s="21">
        <f t="shared" si="20"/>
        <v>260</v>
      </c>
      <c r="H275" s="21">
        <f t="shared" si="20"/>
        <v>260</v>
      </c>
      <c r="I275" s="201"/>
    </row>
    <row r="276" spans="1:9" ht="64.5" customHeight="1" x14ac:dyDescent="0.25">
      <c r="A276" s="23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21">
        <f>G277+G281+G285+G289</f>
        <v>260</v>
      </c>
      <c r="H276" s="21">
        <f>H277+H281+H285+H289</f>
        <v>260</v>
      </c>
      <c r="I276" s="201"/>
    </row>
    <row r="277" spans="1:9" ht="47.25" hidden="1" x14ac:dyDescent="0.25">
      <c r="A277" s="210" t="s">
        <v>1043</v>
      </c>
      <c r="B277" s="19">
        <v>903</v>
      </c>
      <c r="C277" s="24" t="s">
        <v>150</v>
      </c>
      <c r="D277" s="24" t="s">
        <v>238</v>
      </c>
      <c r="E277" s="24" t="s">
        <v>907</v>
      </c>
      <c r="F277" s="24"/>
      <c r="G277" s="21">
        <f>G278</f>
        <v>0</v>
      </c>
      <c r="H277" s="21">
        <f>H278</f>
        <v>0</v>
      </c>
      <c r="I277" s="201"/>
    </row>
    <row r="278" spans="1:9" ht="47.25" hidden="1" x14ac:dyDescent="0.25">
      <c r="A278" s="25" t="s">
        <v>375</v>
      </c>
      <c r="B278" s="16">
        <v>903</v>
      </c>
      <c r="C278" s="20" t="s">
        <v>150</v>
      </c>
      <c r="D278" s="20" t="s">
        <v>238</v>
      </c>
      <c r="E278" s="20" t="s">
        <v>1317</v>
      </c>
      <c r="F278" s="20"/>
      <c r="G278" s="26">
        <f>'Пр.4 ведом.21'!G279</f>
        <v>0</v>
      </c>
      <c r="H278" s="26">
        <f t="shared" si="18"/>
        <v>0</v>
      </c>
      <c r="I278" s="201"/>
    </row>
    <row r="279" spans="1:9" ht="31.5" hidden="1" x14ac:dyDescent="0.25">
      <c r="A279" s="25" t="s">
        <v>248</v>
      </c>
      <c r="B279" s="16">
        <v>903</v>
      </c>
      <c r="C279" s="20" t="s">
        <v>150</v>
      </c>
      <c r="D279" s="20" t="s">
        <v>238</v>
      </c>
      <c r="E279" s="20" t="s">
        <v>1317</v>
      </c>
      <c r="F279" s="20" t="s">
        <v>249</v>
      </c>
      <c r="G279" s="26">
        <f>'Пр.4 ведом.21'!G280</f>
        <v>0</v>
      </c>
      <c r="H279" s="26">
        <f t="shared" si="18"/>
        <v>0</v>
      </c>
      <c r="I279" s="201"/>
    </row>
    <row r="280" spans="1:9" ht="31.5" hidden="1" x14ac:dyDescent="0.25">
      <c r="A280" s="25" t="s">
        <v>250</v>
      </c>
      <c r="B280" s="16">
        <v>903</v>
      </c>
      <c r="C280" s="20" t="s">
        <v>150</v>
      </c>
      <c r="D280" s="20" t="s">
        <v>238</v>
      </c>
      <c r="E280" s="20" t="s">
        <v>1317</v>
      </c>
      <c r="F280" s="20" t="s">
        <v>251</v>
      </c>
      <c r="G280" s="26">
        <f>'Пр.4 ведом.21'!G281</f>
        <v>0</v>
      </c>
      <c r="H280" s="26">
        <f t="shared" si="18"/>
        <v>0</v>
      </c>
      <c r="I280" s="201"/>
    </row>
    <row r="281" spans="1:9" ht="31.5" x14ac:dyDescent="0.25">
      <c r="A281" s="23" t="s">
        <v>1041</v>
      </c>
      <c r="B281" s="19">
        <v>903</v>
      </c>
      <c r="C281" s="24" t="s">
        <v>150</v>
      </c>
      <c r="D281" s="24" t="s">
        <v>238</v>
      </c>
      <c r="E281" s="24" t="s">
        <v>1200</v>
      </c>
      <c r="F281" s="24"/>
      <c r="G281" s="21">
        <f t="shared" ref="G281:H283" si="21">G282</f>
        <v>260</v>
      </c>
      <c r="H281" s="21">
        <f t="shared" si="21"/>
        <v>260</v>
      </c>
      <c r="I281" s="201"/>
    </row>
    <row r="282" spans="1:9" ht="110.25" x14ac:dyDescent="0.25">
      <c r="A282" s="25" t="s">
        <v>1509</v>
      </c>
      <c r="B282" s="16">
        <v>903</v>
      </c>
      <c r="C282" s="20" t="s">
        <v>150</v>
      </c>
      <c r="D282" s="20" t="s">
        <v>238</v>
      </c>
      <c r="E282" s="20" t="s">
        <v>1201</v>
      </c>
      <c r="F282" s="20"/>
      <c r="G282" s="26">
        <f t="shared" si="21"/>
        <v>260</v>
      </c>
      <c r="H282" s="26">
        <f t="shared" si="21"/>
        <v>260</v>
      </c>
      <c r="I282" s="201"/>
    </row>
    <row r="283" spans="1:9" ht="31.5" x14ac:dyDescent="0.25">
      <c r="A283" s="25" t="s">
        <v>272</v>
      </c>
      <c r="B283" s="16">
        <v>903</v>
      </c>
      <c r="C283" s="20" t="s">
        <v>150</v>
      </c>
      <c r="D283" s="20" t="s">
        <v>238</v>
      </c>
      <c r="E283" s="20" t="s">
        <v>1201</v>
      </c>
      <c r="F283" s="20" t="s">
        <v>273</v>
      </c>
      <c r="G283" s="26">
        <f t="shared" si="21"/>
        <v>260</v>
      </c>
      <c r="H283" s="26">
        <f t="shared" si="21"/>
        <v>260</v>
      </c>
      <c r="I283" s="201"/>
    </row>
    <row r="284" spans="1:9" ht="63" x14ac:dyDescent="0.25">
      <c r="A284" s="25" t="s">
        <v>1090</v>
      </c>
      <c r="B284" s="16">
        <v>903</v>
      </c>
      <c r="C284" s="20" t="s">
        <v>150</v>
      </c>
      <c r="D284" s="20" t="s">
        <v>238</v>
      </c>
      <c r="E284" s="20" t="s">
        <v>1201</v>
      </c>
      <c r="F284" s="20" t="s">
        <v>372</v>
      </c>
      <c r="G284" s="26">
        <f>60+200</f>
        <v>260</v>
      </c>
      <c r="H284" s="26">
        <f t="shared" si="18"/>
        <v>260</v>
      </c>
      <c r="I284" s="201"/>
    </row>
    <row r="285" spans="1:9" ht="31.5" hidden="1" x14ac:dyDescent="0.25">
      <c r="A285" s="23" t="s">
        <v>995</v>
      </c>
      <c r="B285" s="19">
        <v>903</v>
      </c>
      <c r="C285" s="24" t="s">
        <v>150</v>
      </c>
      <c r="D285" s="24" t="s">
        <v>238</v>
      </c>
      <c r="E285" s="24" t="s">
        <v>1310</v>
      </c>
      <c r="F285" s="24"/>
      <c r="G285" s="21">
        <f>G286</f>
        <v>0</v>
      </c>
      <c r="H285" s="21">
        <f>H286</f>
        <v>0</v>
      </c>
      <c r="I285" s="201"/>
    </row>
    <row r="286" spans="1:9" ht="31.5" hidden="1" x14ac:dyDescent="0.25">
      <c r="A286" s="247" t="s">
        <v>1044</v>
      </c>
      <c r="B286" s="16">
        <v>903</v>
      </c>
      <c r="C286" s="20" t="s">
        <v>150</v>
      </c>
      <c r="D286" s="20" t="s">
        <v>238</v>
      </c>
      <c r="E286" s="20" t="s">
        <v>1311</v>
      </c>
      <c r="F286" s="20"/>
      <c r="G286" s="26">
        <f>'Пр.4 ведом.21'!G287</f>
        <v>0</v>
      </c>
      <c r="H286" s="26">
        <f t="shared" si="18"/>
        <v>0</v>
      </c>
      <c r="I286" s="201"/>
    </row>
    <row r="287" spans="1:9" ht="31.5" hidden="1" x14ac:dyDescent="0.25">
      <c r="A287" s="25" t="s">
        <v>131</v>
      </c>
      <c r="B287" s="16">
        <v>903</v>
      </c>
      <c r="C287" s="20" t="s">
        <v>150</v>
      </c>
      <c r="D287" s="20" t="s">
        <v>238</v>
      </c>
      <c r="E287" s="20" t="s">
        <v>1311</v>
      </c>
      <c r="F287" s="20" t="s">
        <v>132</v>
      </c>
      <c r="G287" s="26">
        <f>'Пр.4 ведом.21'!G288</f>
        <v>0</v>
      </c>
      <c r="H287" s="26">
        <f t="shared" si="18"/>
        <v>0</v>
      </c>
      <c r="I287" s="201"/>
    </row>
    <row r="288" spans="1:9" ht="31.5" hidden="1" x14ac:dyDescent="0.25">
      <c r="A288" s="25" t="s">
        <v>133</v>
      </c>
      <c r="B288" s="16">
        <v>903</v>
      </c>
      <c r="C288" s="20" t="s">
        <v>150</v>
      </c>
      <c r="D288" s="20" t="s">
        <v>238</v>
      </c>
      <c r="E288" s="20" t="s">
        <v>1311</v>
      </c>
      <c r="F288" s="20" t="s">
        <v>134</v>
      </c>
      <c r="G288" s="26">
        <f>'Пр.4 ведом.21'!G289</f>
        <v>0</v>
      </c>
      <c r="H288" s="26">
        <f t="shared" si="18"/>
        <v>0</v>
      </c>
      <c r="I288" s="201"/>
    </row>
    <row r="289" spans="1:9" s="200" customFormat="1" ht="31.5" hidden="1" x14ac:dyDescent="0.25">
      <c r="A289" s="207" t="s">
        <v>1103</v>
      </c>
      <c r="B289" s="19">
        <v>903</v>
      </c>
      <c r="C289" s="24" t="s">
        <v>150</v>
      </c>
      <c r="D289" s="24" t="s">
        <v>238</v>
      </c>
      <c r="E289" s="24" t="s">
        <v>1202</v>
      </c>
      <c r="F289" s="24"/>
      <c r="G289" s="21">
        <f t="shared" ref="G289:H291" si="22">G290</f>
        <v>0</v>
      </c>
      <c r="H289" s="21">
        <f t="shared" si="22"/>
        <v>0</v>
      </c>
      <c r="I289" s="201"/>
    </row>
    <row r="290" spans="1:9" s="200" customFormat="1" ht="31.5" hidden="1" x14ac:dyDescent="0.25">
      <c r="A290" s="226" t="s">
        <v>1104</v>
      </c>
      <c r="B290" s="16">
        <v>903</v>
      </c>
      <c r="C290" s="20" t="s">
        <v>150</v>
      </c>
      <c r="D290" s="20" t="s">
        <v>238</v>
      </c>
      <c r="E290" s="20" t="s">
        <v>1203</v>
      </c>
      <c r="F290" s="20"/>
      <c r="G290" s="26">
        <f t="shared" si="22"/>
        <v>0</v>
      </c>
      <c r="H290" s="26">
        <f t="shared" si="22"/>
        <v>0</v>
      </c>
      <c r="I290" s="201"/>
    </row>
    <row r="291" spans="1:9" s="200" customFormat="1" ht="31.5" hidden="1" x14ac:dyDescent="0.25">
      <c r="A291" s="25" t="s">
        <v>131</v>
      </c>
      <c r="B291" s="16">
        <v>903</v>
      </c>
      <c r="C291" s="20" t="s">
        <v>150</v>
      </c>
      <c r="D291" s="20" t="s">
        <v>238</v>
      </c>
      <c r="E291" s="20" t="s">
        <v>1203</v>
      </c>
      <c r="F291" s="20" t="s">
        <v>132</v>
      </c>
      <c r="G291" s="26">
        <f t="shared" si="22"/>
        <v>0</v>
      </c>
      <c r="H291" s="26">
        <f t="shared" si="22"/>
        <v>0</v>
      </c>
      <c r="I291" s="201"/>
    </row>
    <row r="292" spans="1:9" s="200" customFormat="1" ht="31.5" hidden="1" x14ac:dyDescent="0.25">
      <c r="A292" s="25" t="s">
        <v>133</v>
      </c>
      <c r="B292" s="16">
        <v>903</v>
      </c>
      <c r="C292" s="20" t="s">
        <v>150</v>
      </c>
      <c r="D292" s="20" t="s">
        <v>238</v>
      </c>
      <c r="E292" s="20" t="s">
        <v>1203</v>
      </c>
      <c r="F292" s="20" t="s">
        <v>134</v>
      </c>
      <c r="G292" s="26">
        <v>0</v>
      </c>
      <c r="H292" s="26">
        <v>0</v>
      </c>
      <c r="I292" s="201"/>
    </row>
    <row r="293" spans="1:9" ht="15.75" x14ac:dyDescent="0.25">
      <c r="A293" s="23" t="s">
        <v>263</v>
      </c>
      <c r="B293" s="19">
        <v>903</v>
      </c>
      <c r="C293" s="24" t="s">
        <v>264</v>
      </c>
      <c r="D293" s="20"/>
      <c r="E293" s="20"/>
      <c r="F293" s="20"/>
      <c r="G293" s="21">
        <f>G294+G337</f>
        <v>19986.610000000004</v>
      </c>
      <c r="H293" s="21">
        <f>H294+H337</f>
        <v>20065.210000000003</v>
      </c>
      <c r="I293" s="201"/>
    </row>
    <row r="294" spans="1:9" ht="15.75" x14ac:dyDescent="0.25">
      <c r="A294" s="23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21">
        <f>G295+G332+G327</f>
        <v>19226.610000000004</v>
      </c>
      <c r="H294" s="21">
        <f>H295+H332+H327</f>
        <v>19240.210000000003</v>
      </c>
      <c r="I294" s="201"/>
    </row>
    <row r="295" spans="1:9" ht="31.5" x14ac:dyDescent="0.25">
      <c r="A295" s="23" t="s">
        <v>1354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21">
        <f>G296+G304+G313+G317</f>
        <v>18730.410000000003</v>
      </c>
      <c r="H295" s="21">
        <f>H296+H304+H313+H317</f>
        <v>18730.410000000003</v>
      </c>
      <c r="I295" s="201"/>
    </row>
    <row r="296" spans="1:9" ht="36" customHeight="1" x14ac:dyDescent="0.25">
      <c r="A296" s="23" t="s">
        <v>895</v>
      </c>
      <c r="B296" s="19">
        <v>903</v>
      </c>
      <c r="C296" s="24" t="s">
        <v>264</v>
      </c>
      <c r="D296" s="24" t="s">
        <v>215</v>
      </c>
      <c r="E296" s="24" t="s">
        <v>1204</v>
      </c>
      <c r="F296" s="24"/>
      <c r="G296" s="44">
        <f>G297</f>
        <v>15854.01</v>
      </c>
      <c r="H296" s="44">
        <f>H297</f>
        <v>15854.01</v>
      </c>
      <c r="I296" s="201"/>
    </row>
    <row r="297" spans="1:9" ht="15.75" x14ac:dyDescent="0.25">
      <c r="A297" s="25" t="s">
        <v>800</v>
      </c>
      <c r="B297" s="16">
        <v>903</v>
      </c>
      <c r="C297" s="20" t="s">
        <v>264</v>
      </c>
      <c r="D297" s="20" t="s">
        <v>215</v>
      </c>
      <c r="E297" s="20" t="s">
        <v>1205</v>
      </c>
      <c r="F297" s="20"/>
      <c r="G297" s="26">
        <f>G298+G300+G303</f>
        <v>15854.01</v>
      </c>
      <c r="H297" s="26">
        <f>H298+H300+H303</f>
        <v>15854.01</v>
      </c>
      <c r="I297" s="201"/>
    </row>
    <row r="298" spans="1:9" ht="78.75" x14ac:dyDescent="0.25">
      <c r="A298" s="25" t="s">
        <v>127</v>
      </c>
      <c r="B298" s="16">
        <v>903</v>
      </c>
      <c r="C298" s="20" t="s">
        <v>264</v>
      </c>
      <c r="D298" s="20" t="s">
        <v>215</v>
      </c>
      <c r="E298" s="20" t="s">
        <v>1205</v>
      </c>
      <c r="F298" s="20" t="s">
        <v>128</v>
      </c>
      <c r="G298" s="26">
        <f>G299</f>
        <v>14172.31</v>
      </c>
      <c r="H298" s="26">
        <f>H299</f>
        <v>14172.31</v>
      </c>
      <c r="I298" s="201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1205</v>
      </c>
      <c r="F299" s="20" t="s">
        <v>209</v>
      </c>
      <c r="G299" s="26">
        <v>14172.31</v>
      </c>
      <c r="H299" s="26">
        <f t="shared" si="18"/>
        <v>14172.31</v>
      </c>
      <c r="I299" s="201"/>
    </row>
    <row r="300" spans="1:9" ht="31.5" x14ac:dyDescent="0.25">
      <c r="A300" s="25" t="s">
        <v>131</v>
      </c>
      <c r="B300" s="16">
        <v>903</v>
      </c>
      <c r="C300" s="20" t="s">
        <v>264</v>
      </c>
      <c r="D300" s="20" t="s">
        <v>215</v>
      </c>
      <c r="E300" s="20" t="s">
        <v>1205</v>
      </c>
      <c r="F300" s="20" t="s">
        <v>132</v>
      </c>
      <c r="G300" s="26">
        <f>G301</f>
        <v>1603.7</v>
      </c>
      <c r="H300" s="26">
        <f>H301</f>
        <v>1603.7</v>
      </c>
      <c r="I300" s="201"/>
    </row>
    <row r="301" spans="1:9" ht="31.5" x14ac:dyDescent="0.25">
      <c r="A301" s="25" t="s">
        <v>133</v>
      </c>
      <c r="B301" s="16">
        <v>903</v>
      </c>
      <c r="C301" s="20" t="s">
        <v>264</v>
      </c>
      <c r="D301" s="20" t="s">
        <v>215</v>
      </c>
      <c r="E301" s="20" t="s">
        <v>1205</v>
      </c>
      <c r="F301" s="20" t="s">
        <v>134</v>
      </c>
      <c r="G301" s="26">
        <v>1603.7</v>
      </c>
      <c r="H301" s="26">
        <f t="shared" ref="H301:H365" si="23">G301</f>
        <v>1603.7</v>
      </c>
      <c r="I301" s="201"/>
    </row>
    <row r="302" spans="1:9" ht="15.75" x14ac:dyDescent="0.25">
      <c r="A302" s="25" t="s">
        <v>135</v>
      </c>
      <c r="B302" s="16">
        <v>903</v>
      </c>
      <c r="C302" s="20" t="s">
        <v>264</v>
      </c>
      <c r="D302" s="20" t="s">
        <v>215</v>
      </c>
      <c r="E302" s="20" t="s">
        <v>1205</v>
      </c>
      <c r="F302" s="20" t="s">
        <v>145</v>
      </c>
      <c r="G302" s="26">
        <f>G303</f>
        <v>78</v>
      </c>
      <c r="H302" s="26">
        <f>H303</f>
        <v>78</v>
      </c>
      <c r="I302" s="201"/>
    </row>
    <row r="303" spans="1:9" ht="15.75" x14ac:dyDescent="0.25">
      <c r="A303" s="25" t="s">
        <v>704</v>
      </c>
      <c r="B303" s="16">
        <v>903</v>
      </c>
      <c r="C303" s="20" t="s">
        <v>264</v>
      </c>
      <c r="D303" s="20" t="s">
        <v>215</v>
      </c>
      <c r="E303" s="20" t="s">
        <v>1205</v>
      </c>
      <c r="F303" s="20" t="s">
        <v>138</v>
      </c>
      <c r="G303" s="26">
        <f>78</f>
        <v>78</v>
      </c>
      <c r="H303" s="26">
        <f t="shared" si="23"/>
        <v>78</v>
      </c>
      <c r="I303" s="201"/>
    </row>
    <row r="304" spans="1:9" ht="31.5" x14ac:dyDescent="0.25">
      <c r="A304" s="211" t="s">
        <v>1303</v>
      </c>
      <c r="B304" s="19">
        <v>903</v>
      </c>
      <c r="C304" s="24" t="s">
        <v>264</v>
      </c>
      <c r="D304" s="24" t="s">
        <v>215</v>
      </c>
      <c r="E304" s="24" t="s">
        <v>1206</v>
      </c>
      <c r="F304" s="24"/>
      <c r="G304" s="44">
        <f>G305+G308</f>
        <v>1295</v>
      </c>
      <c r="H304" s="44">
        <f>H305+H308</f>
        <v>1295</v>
      </c>
      <c r="I304" s="201"/>
    </row>
    <row r="305" spans="1:9" ht="39.200000000000003" customHeight="1" x14ac:dyDescent="0.25">
      <c r="A305" s="194" t="s">
        <v>799</v>
      </c>
      <c r="B305" s="16">
        <v>903</v>
      </c>
      <c r="C305" s="20" t="s">
        <v>264</v>
      </c>
      <c r="D305" s="20" t="s">
        <v>215</v>
      </c>
      <c r="E305" s="20" t="s">
        <v>1207</v>
      </c>
      <c r="F305" s="20"/>
      <c r="G305" s="26">
        <f t="shared" ref="G305:H306" si="24">G306</f>
        <v>45</v>
      </c>
      <c r="H305" s="26">
        <f t="shared" si="24"/>
        <v>45</v>
      </c>
      <c r="I305" s="201"/>
    </row>
    <row r="306" spans="1:9" ht="20.25" customHeight="1" x14ac:dyDescent="0.25">
      <c r="A306" s="25" t="s">
        <v>248</v>
      </c>
      <c r="B306" s="16">
        <v>903</v>
      </c>
      <c r="C306" s="20" t="s">
        <v>264</v>
      </c>
      <c r="D306" s="20" t="s">
        <v>215</v>
      </c>
      <c r="E306" s="20" t="s">
        <v>1207</v>
      </c>
      <c r="F306" s="20" t="s">
        <v>249</v>
      </c>
      <c r="G306" s="26">
        <f t="shared" si="24"/>
        <v>45</v>
      </c>
      <c r="H306" s="26">
        <f t="shared" si="24"/>
        <v>45</v>
      </c>
      <c r="I306" s="201"/>
    </row>
    <row r="307" spans="1:9" ht="15.75" x14ac:dyDescent="0.25">
      <c r="A307" s="25" t="s">
        <v>820</v>
      </c>
      <c r="B307" s="16">
        <v>903</v>
      </c>
      <c r="C307" s="20" t="s">
        <v>264</v>
      </c>
      <c r="D307" s="20" t="s">
        <v>215</v>
      </c>
      <c r="E307" s="20" t="s">
        <v>1207</v>
      </c>
      <c r="F307" s="20" t="s">
        <v>819</v>
      </c>
      <c r="G307" s="26">
        <f>45</f>
        <v>45</v>
      </c>
      <c r="H307" s="26">
        <f t="shared" si="23"/>
        <v>45</v>
      </c>
      <c r="I307" s="201"/>
    </row>
    <row r="308" spans="1:9" ht="31.5" x14ac:dyDescent="0.25">
      <c r="A308" s="31" t="s">
        <v>816</v>
      </c>
      <c r="B308" s="16">
        <v>903</v>
      </c>
      <c r="C308" s="20" t="s">
        <v>264</v>
      </c>
      <c r="D308" s="20" t="s">
        <v>215</v>
      </c>
      <c r="E308" s="20" t="s">
        <v>1208</v>
      </c>
      <c r="F308" s="20"/>
      <c r="G308" s="26">
        <f t="shared" ref="G308:H309" si="25">G309</f>
        <v>1250</v>
      </c>
      <c r="H308" s="26">
        <f t="shared" si="25"/>
        <v>1250</v>
      </c>
      <c r="I308" s="201"/>
    </row>
    <row r="309" spans="1:9" ht="78.75" x14ac:dyDescent="0.25">
      <c r="A309" s="25" t="s">
        <v>127</v>
      </c>
      <c r="B309" s="16">
        <v>903</v>
      </c>
      <c r="C309" s="20" t="s">
        <v>264</v>
      </c>
      <c r="D309" s="20" t="s">
        <v>215</v>
      </c>
      <c r="E309" s="20" t="s">
        <v>1208</v>
      </c>
      <c r="F309" s="20" t="s">
        <v>128</v>
      </c>
      <c r="G309" s="26">
        <f t="shared" si="25"/>
        <v>1250</v>
      </c>
      <c r="H309" s="26">
        <f t="shared" si="25"/>
        <v>1250</v>
      </c>
      <c r="I309" s="201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1208</v>
      </c>
      <c r="F310" s="20" t="s">
        <v>209</v>
      </c>
      <c r="G310" s="26">
        <f>250+1000</f>
        <v>1250</v>
      </c>
      <c r="H310" s="26">
        <f t="shared" si="23"/>
        <v>1250</v>
      </c>
      <c r="I310" s="201"/>
    </row>
    <row r="311" spans="1:9" ht="31.5" hidden="1" x14ac:dyDescent="0.25">
      <c r="A311" s="25" t="s">
        <v>131</v>
      </c>
      <c r="B311" s="16">
        <v>903</v>
      </c>
      <c r="C311" s="20" t="s">
        <v>264</v>
      </c>
      <c r="D311" s="20" t="s">
        <v>215</v>
      </c>
      <c r="E311" s="20" t="s">
        <v>887</v>
      </c>
      <c r="F311" s="20" t="s">
        <v>132</v>
      </c>
      <c r="G311" s="26">
        <f>'Пр.4 ведом.21'!G315</f>
        <v>0</v>
      </c>
      <c r="H311" s="26">
        <f t="shared" si="23"/>
        <v>0</v>
      </c>
      <c r="I311" s="201"/>
    </row>
    <row r="312" spans="1:9" ht="31.5" hidden="1" x14ac:dyDescent="0.25">
      <c r="A312" s="25" t="s">
        <v>133</v>
      </c>
      <c r="B312" s="16">
        <v>903</v>
      </c>
      <c r="C312" s="20" t="s">
        <v>264</v>
      </c>
      <c r="D312" s="20" t="s">
        <v>215</v>
      </c>
      <c r="E312" s="20" t="s">
        <v>887</v>
      </c>
      <c r="F312" s="20" t="s">
        <v>134</v>
      </c>
      <c r="G312" s="26">
        <f>'Пр.4 ведом.21'!G316</f>
        <v>0</v>
      </c>
      <c r="H312" s="26">
        <f t="shared" si="23"/>
        <v>0</v>
      </c>
      <c r="I312" s="201"/>
    </row>
    <row r="313" spans="1:9" ht="31.5" x14ac:dyDescent="0.25">
      <c r="A313" s="23" t="s">
        <v>947</v>
      </c>
      <c r="B313" s="19">
        <v>903</v>
      </c>
      <c r="C313" s="24" t="s">
        <v>264</v>
      </c>
      <c r="D313" s="24" t="s">
        <v>215</v>
      </c>
      <c r="E313" s="24" t="s">
        <v>1209</v>
      </c>
      <c r="F313" s="24"/>
      <c r="G313" s="44">
        <f t="shared" ref="G313:H315" si="26">G314</f>
        <v>506</v>
      </c>
      <c r="H313" s="44">
        <f t="shared" si="26"/>
        <v>506</v>
      </c>
      <c r="I313" s="201"/>
    </row>
    <row r="314" spans="1:9" ht="47.25" x14ac:dyDescent="0.25">
      <c r="A314" s="25" t="s">
        <v>839</v>
      </c>
      <c r="B314" s="16">
        <v>903</v>
      </c>
      <c r="C314" s="20" t="s">
        <v>264</v>
      </c>
      <c r="D314" s="20" t="s">
        <v>215</v>
      </c>
      <c r="E314" s="20" t="s">
        <v>1210</v>
      </c>
      <c r="F314" s="20"/>
      <c r="G314" s="26">
        <f t="shared" si="26"/>
        <v>506</v>
      </c>
      <c r="H314" s="26">
        <f t="shared" si="26"/>
        <v>506</v>
      </c>
      <c r="I314" s="201"/>
    </row>
    <row r="315" spans="1:9" ht="78.75" x14ac:dyDescent="0.25">
      <c r="A315" s="25" t="s">
        <v>127</v>
      </c>
      <c r="B315" s="16">
        <v>903</v>
      </c>
      <c r="C315" s="20" t="s">
        <v>264</v>
      </c>
      <c r="D315" s="20" t="s">
        <v>215</v>
      </c>
      <c r="E315" s="20" t="s">
        <v>1210</v>
      </c>
      <c r="F315" s="20" t="s">
        <v>128</v>
      </c>
      <c r="G315" s="26">
        <f t="shared" si="26"/>
        <v>506</v>
      </c>
      <c r="H315" s="26">
        <f t="shared" si="26"/>
        <v>506</v>
      </c>
      <c r="I315" s="201"/>
    </row>
    <row r="316" spans="1:9" ht="31.5" x14ac:dyDescent="0.25">
      <c r="A316" s="25" t="s">
        <v>342</v>
      </c>
      <c r="B316" s="16">
        <v>903</v>
      </c>
      <c r="C316" s="20" t="s">
        <v>264</v>
      </c>
      <c r="D316" s="20" t="s">
        <v>215</v>
      </c>
      <c r="E316" s="20" t="s">
        <v>1210</v>
      </c>
      <c r="F316" s="20" t="s">
        <v>209</v>
      </c>
      <c r="G316" s="26">
        <v>506</v>
      </c>
      <c r="H316" s="26">
        <f t="shared" si="23"/>
        <v>506</v>
      </c>
      <c r="I316" s="201"/>
    </row>
    <row r="317" spans="1:9" ht="47.25" x14ac:dyDescent="0.25">
      <c r="A317" s="23" t="s">
        <v>900</v>
      </c>
      <c r="B317" s="19">
        <v>903</v>
      </c>
      <c r="C317" s="24" t="s">
        <v>264</v>
      </c>
      <c r="D317" s="24" t="s">
        <v>215</v>
      </c>
      <c r="E317" s="24" t="s">
        <v>1211</v>
      </c>
      <c r="F317" s="24"/>
      <c r="G317" s="44">
        <f>G321+G324+G318</f>
        <v>1075.4000000000001</v>
      </c>
      <c r="H317" s="44">
        <f>H321+H324+H318</f>
        <v>1075.4000000000001</v>
      </c>
      <c r="I317" s="201"/>
    </row>
    <row r="318" spans="1:9" s="200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1406</v>
      </c>
      <c r="F318" s="20"/>
      <c r="G318" s="26">
        <f>G319</f>
        <v>671</v>
      </c>
      <c r="H318" s="26">
        <f>H319</f>
        <v>671</v>
      </c>
      <c r="I318" s="201"/>
    </row>
    <row r="319" spans="1:9" s="200" customFormat="1" ht="78.75" x14ac:dyDescent="0.25">
      <c r="A319" s="25" t="s">
        <v>127</v>
      </c>
      <c r="B319" s="16">
        <v>903</v>
      </c>
      <c r="C319" s="20" t="s">
        <v>264</v>
      </c>
      <c r="D319" s="20" t="s">
        <v>215</v>
      </c>
      <c r="E319" s="20" t="s">
        <v>1406</v>
      </c>
      <c r="F319" s="20" t="s">
        <v>128</v>
      </c>
      <c r="G319" s="26">
        <f>G320</f>
        <v>671</v>
      </c>
      <c r="H319" s="26">
        <f>H320</f>
        <v>671</v>
      </c>
      <c r="I319" s="201"/>
    </row>
    <row r="320" spans="1:9" s="200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1406</v>
      </c>
      <c r="F320" s="20" t="s">
        <v>209</v>
      </c>
      <c r="G320" s="26">
        <v>671</v>
      </c>
      <c r="H320" s="26">
        <f>G320</f>
        <v>671</v>
      </c>
      <c r="I320" s="201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1212</v>
      </c>
      <c r="F321" s="20"/>
      <c r="G321" s="26">
        <f>G322</f>
        <v>106</v>
      </c>
      <c r="H321" s="26">
        <f>H322</f>
        <v>106</v>
      </c>
      <c r="I321" s="201"/>
    </row>
    <row r="322" spans="1:9" ht="78.75" x14ac:dyDescent="0.25">
      <c r="A322" s="25" t="s">
        <v>127</v>
      </c>
      <c r="B322" s="16">
        <v>903</v>
      </c>
      <c r="C322" s="20" t="s">
        <v>264</v>
      </c>
      <c r="D322" s="20" t="s">
        <v>215</v>
      </c>
      <c r="E322" s="20" t="s">
        <v>1212</v>
      </c>
      <c r="F322" s="20" t="s">
        <v>128</v>
      </c>
      <c r="G322" s="26">
        <f>G323</f>
        <v>106</v>
      </c>
      <c r="H322" s="26">
        <f>H323</f>
        <v>106</v>
      </c>
      <c r="I322" s="201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1212</v>
      </c>
      <c r="F323" s="20" t="s">
        <v>209</v>
      </c>
      <c r="G323" s="26">
        <v>106</v>
      </c>
      <c r="H323" s="26">
        <f t="shared" si="23"/>
        <v>106</v>
      </c>
      <c r="I323" s="201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1213</v>
      </c>
      <c r="F324" s="20"/>
      <c r="G324" s="26">
        <f>G325</f>
        <v>298.39999999999998</v>
      </c>
      <c r="H324" s="26">
        <f t="shared" si="23"/>
        <v>298.39999999999998</v>
      </c>
      <c r="I324" s="201"/>
    </row>
    <row r="325" spans="1:9" ht="78.75" x14ac:dyDescent="0.25">
      <c r="A325" s="25" t="s">
        <v>127</v>
      </c>
      <c r="B325" s="16">
        <v>903</v>
      </c>
      <c r="C325" s="20" t="s">
        <v>264</v>
      </c>
      <c r="D325" s="20" t="s">
        <v>215</v>
      </c>
      <c r="E325" s="20" t="s">
        <v>1213</v>
      </c>
      <c r="F325" s="20" t="s">
        <v>128</v>
      </c>
      <c r="G325" s="26">
        <f>G326</f>
        <v>298.39999999999998</v>
      </c>
      <c r="H325" s="26">
        <f>H326</f>
        <v>298.39999999999998</v>
      </c>
      <c r="I325" s="201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1213</v>
      </c>
      <c r="F326" s="20" t="s">
        <v>209</v>
      </c>
      <c r="G326" s="26">
        <f>298.4</f>
        <v>298.39999999999998</v>
      </c>
      <c r="H326" s="26">
        <f t="shared" si="23"/>
        <v>298.39999999999998</v>
      </c>
      <c r="I326" s="201"/>
    </row>
    <row r="327" spans="1:9" s="200" customFormat="1" ht="47.25" x14ac:dyDescent="0.25">
      <c r="A327" s="34" t="s">
        <v>1221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21">
        <f>G329</f>
        <v>6</v>
      </c>
      <c r="H327" s="21">
        <f>H329</f>
        <v>0</v>
      </c>
      <c r="I327" s="201"/>
    </row>
    <row r="328" spans="1:9" s="200" customFormat="1" ht="63" x14ac:dyDescent="0.25">
      <c r="A328" s="34" t="s">
        <v>1025</v>
      </c>
      <c r="B328" s="19">
        <v>903</v>
      </c>
      <c r="C328" s="24" t="s">
        <v>264</v>
      </c>
      <c r="D328" s="24" t="s">
        <v>215</v>
      </c>
      <c r="E328" s="24" t="s">
        <v>934</v>
      </c>
      <c r="F328" s="24"/>
      <c r="G328" s="21">
        <f>G331</f>
        <v>6</v>
      </c>
      <c r="H328" s="21">
        <f>H331</f>
        <v>0</v>
      </c>
      <c r="I328" s="201"/>
    </row>
    <row r="329" spans="1:9" s="200" customFormat="1" ht="47.25" x14ac:dyDescent="0.25">
      <c r="A329" s="31" t="s">
        <v>1081</v>
      </c>
      <c r="B329" s="16">
        <v>903</v>
      </c>
      <c r="C329" s="20" t="s">
        <v>264</v>
      </c>
      <c r="D329" s="20" t="s">
        <v>215</v>
      </c>
      <c r="E329" s="20" t="s">
        <v>1026</v>
      </c>
      <c r="F329" s="20"/>
      <c r="G329" s="26">
        <f>G330</f>
        <v>6</v>
      </c>
      <c r="H329" s="26">
        <f>H330</f>
        <v>0</v>
      </c>
      <c r="I329" s="201"/>
    </row>
    <row r="330" spans="1:9" s="200" customFormat="1" ht="31.5" x14ac:dyDescent="0.25">
      <c r="A330" s="25" t="s">
        <v>131</v>
      </c>
      <c r="B330" s="16">
        <v>903</v>
      </c>
      <c r="C330" s="20" t="s">
        <v>264</v>
      </c>
      <c r="D330" s="20" t="s">
        <v>215</v>
      </c>
      <c r="E330" s="20" t="s">
        <v>1026</v>
      </c>
      <c r="F330" s="20" t="s">
        <v>132</v>
      </c>
      <c r="G330" s="26">
        <f>G331</f>
        <v>6</v>
      </c>
      <c r="H330" s="26">
        <f>H331</f>
        <v>0</v>
      </c>
      <c r="I330" s="201"/>
    </row>
    <row r="331" spans="1:9" s="200" customFormat="1" ht="31.5" x14ac:dyDescent="0.25">
      <c r="A331" s="25" t="s">
        <v>133</v>
      </c>
      <c r="B331" s="16">
        <v>903</v>
      </c>
      <c r="C331" s="20" t="s">
        <v>264</v>
      </c>
      <c r="D331" s="20" t="s">
        <v>215</v>
      </c>
      <c r="E331" s="20" t="s">
        <v>1026</v>
      </c>
      <c r="F331" s="20" t="s">
        <v>134</v>
      </c>
      <c r="G331" s="26">
        <v>6</v>
      </c>
      <c r="H331" s="26">
        <v>0</v>
      </c>
      <c r="I331" s="201"/>
    </row>
    <row r="332" spans="1:9" ht="47.25" x14ac:dyDescent="0.25">
      <c r="A332" s="41" t="s">
        <v>1355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21">
        <f>G334</f>
        <v>490.2</v>
      </c>
      <c r="H332" s="21">
        <f>H334</f>
        <v>509.8</v>
      </c>
      <c r="I332" s="201"/>
    </row>
    <row r="333" spans="1:9" ht="47.25" x14ac:dyDescent="0.25">
      <c r="A333" s="41" t="s">
        <v>890</v>
      </c>
      <c r="B333" s="19">
        <v>903</v>
      </c>
      <c r="C333" s="24" t="s">
        <v>264</v>
      </c>
      <c r="D333" s="24" t="s">
        <v>215</v>
      </c>
      <c r="E333" s="24" t="s">
        <v>888</v>
      </c>
      <c r="F333" s="24"/>
      <c r="G333" s="21">
        <f t="shared" ref="G333:H335" si="27">G334</f>
        <v>490.2</v>
      </c>
      <c r="H333" s="21">
        <f t="shared" si="27"/>
        <v>509.8</v>
      </c>
      <c r="I333" s="201"/>
    </row>
    <row r="334" spans="1:9" ht="47.25" x14ac:dyDescent="0.25">
      <c r="A334" s="98" t="s">
        <v>1004</v>
      </c>
      <c r="B334" s="20" t="s">
        <v>627</v>
      </c>
      <c r="C334" s="20" t="s">
        <v>264</v>
      </c>
      <c r="D334" s="20" t="s">
        <v>215</v>
      </c>
      <c r="E334" s="20" t="s">
        <v>889</v>
      </c>
      <c r="F334" s="32"/>
      <c r="G334" s="26">
        <f t="shared" si="27"/>
        <v>490.2</v>
      </c>
      <c r="H334" s="26">
        <f t="shared" si="27"/>
        <v>509.8</v>
      </c>
      <c r="I334" s="201"/>
    </row>
    <row r="335" spans="1:9" ht="31.5" x14ac:dyDescent="0.25">
      <c r="A335" s="25" t="s">
        <v>131</v>
      </c>
      <c r="B335" s="16">
        <v>903</v>
      </c>
      <c r="C335" s="20" t="s">
        <v>264</v>
      </c>
      <c r="D335" s="20" t="s">
        <v>215</v>
      </c>
      <c r="E335" s="20" t="s">
        <v>889</v>
      </c>
      <c r="F335" s="32" t="s">
        <v>132</v>
      </c>
      <c r="G335" s="26">
        <f t="shared" si="27"/>
        <v>490.2</v>
      </c>
      <c r="H335" s="26">
        <f t="shared" si="27"/>
        <v>509.8</v>
      </c>
      <c r="I335" s="201"/>
    </row>
    <row r="336" spans="1:9" ht="31.5" x14ac:dyDescent="0.25">
      <c r="A336" s="25" t="s">
        <v>133</v>
      </c>
      <c r="B336" s="16">
        <v>903</v>
      </c>
      <c r="C336" s="20" t="s">
        <v>264</v>
      </c>
      <c r="D336" s="20" t="s">
        <v>215</v>
      </c>
      <c r="E336" s="20" t="s">
        <v>889</v>
      </c>
      <c r="F336" s="32" t="s">
        <v>134</v>
      </c>
      <c r="G336" s="26">
        <v>490.2</v>
      </c>
      <c r="H336" s="26">
        <v>509.8</v>
      </c>
      <c r="I336" s="201"/>
    </row>
    <row r="337" spans="1:9" ht="15.75" x14ac:dyDescent="0.25">
      <c r="A337" s="23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21">
        <f>G338</f>
        <v>760</v>
      </c>
      <c r="H337" s="21">
        <f>H338</f>
        <v>825</v>
      </c>
      <c r="I337" s="201"/>
    </row>
    <row r="338" spans="1:9" ht="47.25" x14ac:dyDescent="0.25">
      <c r="A338" s="23" t="s">
        <v>1369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21">
        <f>G339</f>
        <v>760</v>
      </c>
      <c r="H338" s="21">
        <f>H339</f>
        <v>825</v>
      </c>
      <c r="I338" s="201"/>
    </row>
    <row r="339" spans="1:9" ht="31.5" x14ac:dyDescent="0.25">
      <c r="A339" s="23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21">
        <f>G340+G347+G353</f>
        <v>760</v>
      </c>
      <c r="H339" s="21">
        <f>H340+H347+H353</f>
        <v>825</v>
      </c>
      <c r="I339" s="201"/>
    </row>
    <row r="340" spans="1:9" ht="47.25" x14ac:dyDescent="0.25">
      <c r="A340" s="206" t="s">
        <v>1029</v>
      </c>
      <c r="B340" s="19">
        <v>903</v>
      </c>
      <c r="C340" s="24" t="s">
        <v>264</v>
      </c>
      <c r="D340" s="24" t="s">
        <v>264</v>
      </c>
      <c r="E340" s="24" t="s">
        <v>892</v>
      </c>
      <c r="F340" s="24"/>
      <c r="G340" s="21">
        <f>G341+G344</f>
        <v>280</v>
      </c>
      <c r="H340" s="21">
        <f>H341+H344</f>
        <v>280</v>
      </c>
      <c r="I340" s="201"/>
    </row>
    <row r="341" spans="1:9" ht="31.5" x14ac:dyDescent="0.25">
      <c r="A341" s="98" t="s">
        <v>1035</v>
      </c>
      <c r="B341" s="16">
        <v>903</v>
      </c>
      <c r="C341" s="20" t="s">
        <v>264</v>
      </c>
      <c r="D341" s="20" t="s">
        <v>264</v>
      </c>
      <c r="E341" s="20" t="s">
        <v>893</v>
      </c>
      <c r="F341" s="20"/>
      <c r="G341" s="26">
        <f>G342</f>
        <v>280</v>
      </c>
      <c r="H341" s="26">
        <f>H342</f>
        <v>280</v>
      </c>
      <c r="I341" s="201"/>
    </row>
    <row r="342" spans="1:9" ht="78.75" x14ac:dyDescent="0.25">
      <c r="A342" s="25" t="s">
        <v>127</v>
      </c>
      <c r="B342" s="16">
        <v>903</v>
      </c>
      <c r="C342" s="20" t="s">
        <v>264</v>
      </c>
      <c r="D342" s="20" t="s">
        <v>264</v>
      </c>
      <c r="E342" s="20" t="s">
        <v>893</v>
      </c>
      <c r="F342" s="20" t="s">
        <v>128</v>
      </c>
      <c r="G342" s="26">
        <f>G343</f>
        <v>280</v>
      </c>
      <c r="H342" s="26">
        <f>H343</f>
        <v>280</v>
      </c>
      <c r="I342" s="201"/>
    </row>
    <row r="343" spans="1:9" ht="31.5" x14ac:dyDescent="0.25">
      <c r="A343" s="25" t="s">
        <v>342</v>
      </c>
      <c r="B343" s="16">
        <v>903</v>
      </c>
      <c r="C343" s="20" t="s">
        <v>264</v>
      </c>
      <c r="D343" s="20" t="s">
        <v>264</v>
      </c>
      <c r="E343" s="20" t="s">
        <v>893</v>
      </c>
      <c r="F343" s="20" t="s">
        <v>209</v>
      </c>
      <c r="G343" s="26">
        <f>280</f>
        <v>280</v>
      </c>
      <c r="H343" s="26">
        <f t="shared" si="23"/>
        <v>280</v>
      </c>
      <c r="I343" s="201"/>
    </row>
    <row r="344" spans="1:9" ht="31.5" hidden="1" x14ac:dyDescent="0.25">
      <c r="A344" s="25" t="s">
        <v>1030</v>
      </c>
      <c r="B344" s="16">
        <v>903</v>
      </c>
      <c r="C344" s="20" t="s">
        <v>264</v>
      </c>
      <c r="D344" s="20" t="s">
        <v>264</v>
      </c>
      <c r="E344" s="20" t="s">
        <v>1047</v>
      </c>
      <c r="F344" s="20"/>
      <c r="G344" s="26">
        <f>'Пр.4 ведом.21'!G348</f>
        <v>0</v>
      </c>
      <c r="H344" s="26">
        <f t="shared" si="23"/>
        <v>0</v>
      </c>
      <c r="I344" s="201"/>
    </row>
    <row r="345" spans="1:9" ht="31.5" hidden="1" x14ac:dyDescent="0.25">
      <c r="A345" s="25" t="s">
        <v>131</v>
      </c>
      <c r="B345" s="16">
        <v>903</v>
      </c>
      <c r="C345" s="20" t="s">
        <v>264</v>
      </c>
      <c r="D345" s="20" t="s">
        <v>264</v>
      </c>
      <c r="E345" s="20" t="s">
        <v>1047</v>
      </c>
      <c r="F345" s="20" t="s">
        <v>132</v>
      </c>
      <c r="G345" s="26">
        <f>'Пр.4 ведом.21'!G349</f>
        <v>0</v>
      </c>
      <c r="H345" s="26">
        <f t="shared" si="23"/>
        <v>0</v>
      </c>
      <c r="I345" s="201"/>
    </row>
    <row r="346" spans="1:9" ht="31.5" hidden="1" x14ac:dyDescent="0.25">
      <c r="A346" s="25" t="s">
        <v>133</v>
      </c>
      <c r="B346" s="16">
        <v>903</v>
      </c>
      <c r="C346" s="20" t="s">
        <v>264</v>
      </c>
      <c r="D346" s="20" t="s">
        <v>264</v>
      </c>
      <c r="E346" s="20" t="s">
        <v>1047</v>
      </c>
      <c r="F346" s="20" t="s">
        <v>134</v>
      </c>
      <c r="G346" s="26">
        <f>'Пр.4 ведом.21'!G350</f>
        <v>0</v>
      </c>
      <c r="H346" s="26">
        <f t="shared" si="23"/>
        <v>0</v>
      </c>
      <c r="I346" s="201"/>
    </row>
    <row r="347" spans="1:9" ht="63" x14ac:dyDescent="0.25">
      <c r="A347" s="23" t="s">
        <v>1031</v>
      </c>
      <c r="B347" s="19">
        <v>903</v>
      </c>
      <c r="C347" s="24" t="s">
        <v>264</v>
      </c>
      <c r="D347" s="24" t="s">
        <v>264</v>
      </c>
      <c r="E347" s="24" t="s">
        <v>894</v>
      </c>
      <c r="F347" s="24"/>
      <c r="G347" s="21">
        <f>G348</f>
        <v>455</v>
      </c>
      <c r="H347" s="21">
        <f>H348</f>
        <v>520</v>
      </c>
      <c r="I347" s="201"/>
    </row>
    <row r="348" spans="1:9" ht="15.75" x14ac:dyDescent="0.25">
      <c r="A348" s="25" t="s">
        <v>1032</v>
      </c>
      <c r="B348" s="16">
        <v>903</v>
      </c>
      <c r="C348" s="20" t="s">
        <v>264</v>
      </c>
      <c r="D348" s="20" t="s">
        <v>264</v>
      </c>
      <c r="E348" s="20" t="s">
        <v>901</v>
      </c>
      <c r="F348" s="20"/>
      <c r="G348" s="26">
        <f>G349+G351</f>
        <v>455</v>
      </c>
      <c r="H348" s="26">
        <f>H349+H351</f>
        <v>520</v>
      </c>
      <c r="I348" s="201"/>
    </row>
    <row r="349" spans="1:9" ht="78.75" x14ac:dyDescent="0.25">
      <c r="A349" s="25" t="s">
        <v>127</v>
      </c>
      <c r="B349" s="16">
        <v>903</v>
      </c>
      <c r="C349" s="20" t="s">
        <v>264</v>
      </c>
      <c r="D349" s="20" t="s">
        <v>264</v>
      </c>
      <c r="E349" s="20" t="s">
        <v>901</v>
      </c>
      <c r="F349" s="20" t="s">
        <v>128</v>
      </c>
      <c r="G349" s="26">
        <f>G350</f>
        <v>40</v>
      </c>
      <c r="H349" s="26">
        <f>H350</f>
        <v>40</v>
      </c>
      <c r="I349" s="201"/>
    </row>
    <row r="350" spans="1:9" ht="31.5" x14ac:dyDescent="0.25">
      <c r="A350" s="25" t="s">
        <v>342</v>
      </c>
      <c r="B350" s="16">
        <v>903</v>
      </c>
      <c r="C350" s="20" t="s">
        <v>264</v>
      </c>
      <c r="D350" s="20" t="s">
        <v>264</v>
      </c>
      <c r="E350" s="20" t="s">
        <v>901</v>
      </c>
      <c r="F350" s="20" t="s">
        <v>209</v>
      </c>
      <c r="G350" s="26">
        <f>40</f>
        <v>40</v>
      </c>
      <c r="H350" s="26">
        <f t="shared" si="23"/>
        <v>40</v>
      </c>
      <c r="I350" s="201"/>
    </row>
    <row r="351" spans="1:9" ht="31.5" x14ac:dyDescent="0.25">
      <c r="A351" s="25" t="s">
        <v>131</v>
      </c>
      <c r="B351" s="16">
        <v>903</v>
      </c>
      <c r="C351" s="20" t="s">
        <v>264</v>
      </c>
      <c r="D351" s="20" t="s">
        <v>264</v>
      </c>
      <c r="E351" s="20" t="s">
        <v>901</v>
      </c>
      <c r="F351" s="20" t="s">
        <v>132</v>
      </c>
      <c r="G351" s="26">
        <f>G352</f>
        <v>415</v>
      </c>
      <c r="H351" s="26">
        <f>H352</f>
        <v>480</v>
      </c>
      <c r="I351" s="201"/>
    </row>
    <row r="352" spans="1:9" ht="31.5" x14ac:dyDescent="0.25">
      <c r="A352" s="25" t="s">
        <v>133</v>
      </c>
      <c r="B352" s="16">
        <v>903</v>
      </c>
      <c r="C352" s="20" t="s">
        <v>264</v>
      </c>
      <c r="D352" s="20" t="s">
        <v>264</v>
      </c>
      <c r="E352" s="20" t="s">
        <v>901</v>
      </c>
      <c r="F352" s="20" t="s">
        <v>134</v>
      </c>
      <c r="G352" s="26">
        <f>415</f>
        <v>415</v>
      </c>
      <c r="H352" s="26">
        <v>480</v>
      </c>
      <c r="I352" s="201"/>
    </row>
    <row r="353" spans="1:13" ht="31.5" x14ac:dyDescent="0.25">
      <c r="A353" s="23" t="s">
        <v>1037</v>
      </c>
      <c r="B353" s="19">
        <v>903</v>
      </c>
      <c r="C353" s="24" t="s">
        <v>264</v>
      </c>
      <c r="D353" s="24" t="s">
        <v>264</v>
      </c>
      <c r="E353" s="24" t="s">
        <v>1033</v>
      </c>
      <c r="F353" s="24"/>
      <c r="G353" s="21">
        <f t="shared" ref="G353:H355" si="28">G354</f>
        <v>25</v>
      </c>
      <c r="H353" s="21">
        <f t="shared" si="28"/>
        <v>25</v>
      </c>
      <c r="I353" s="201"/>
    </row>
    <row r="354" spans="1:13" ht="47.25" x14ac:dyDescent="0.25">
      <c r="A354" s="226" t="s">
        <v>1034</v>
      </c>
      <c r="B354" s="16">
        <v>903</v>
      </c>
      <c r="C354" s="20" t="s">
        <v>264</v>
      </c>
      <c r="D354" s="20" t="s">
        <v>264</v>
      </c>
      <c r="E354" s="20" t="s">
        <v>1048</v>
      </c>
      <c r="F354" s="20"/>
      <c r="G354" s="26">
        <f t="shared" si="28"/>
        <v>25</v>
      </c>
      <c r="H354" s="26">
        <f t="shared" si="28"/>
        <v>25</v>
      </c>
      <c r="I354" s="201"/>
    </row>
    <row r="355" spans="1:13" ht="31.5" x14ac:dyDescent="0.25">
      <c r="A355" s="25" t="s">
        <v>248</v>
      </c>
      <c r="B355" s="16">
        <v>903</v>
      </c>
      <c r="C355" s="20" t="s">
        <v>264</v>
      </c>
      <c r="D355" s="20" t="s">
        <v>264</v>
      </c>
      <c r="E355" s="20" t="s">
        <v>1048</v>
      </c>
      <c r="F355" s="20" t="s">
        <v>249</v>
      </c>
      <c r="G355" s="26">
        <f t="shared" si="28"/>
        <v>25</v>
      </c>
      <c r="H355" s="26">
        <f t="shared" si="28"/>
        <v>25</v>
      </c>
      <c r="I355" s="201"/>
    </row>
    <row r="356" spans="1:13" ht="31.5" x14ac:dyDescent="0.25">
      <c r="A356" s="25" t="s">
        <v>1197</v>
      </c>
      <c r="B356" s="16">
        <v>903</v>
      </c>
      <c r="C356" s="20" t="s">
        <v>264</v>
      </c>
      <c r="D356" s="20" t="s">
        <v>264</v>
      </c>
      <c r="E356" s="20" t="s">
        <v>1048</v>
      </c>
      <c r="F356" s="20" t="s">
        <v>1196</v>
      </c>
      <c r="G356" s="26">
        <f>25</f>
        <v>25</v>
      </c>
      <c r="H356" s="26">
        <f t="shared" si="23"/>
        <v>25</v>
      </c>
      <c r="I356" s="201"/>
    </row>
    <row r="357" spans="1:13" ht="15.75" x14ac:dyDescent="0.25">
      <c r="A357" s="23" t="s">
        <v>298</v>
      </c>
      <c r="B357" s="19">
        <v>903</v>
      </c>
      <c r="C357" s="24" t="s">
        <v>299</v>
      </c>
      <c r="D357" s="24"/>
      <c r="E357" s="24"/>
      <c r="F357" s="24"/>
      <c r="G357" s="21">
        <f>G358+G411</f>
        <v>76411.28</v>
      </c>
      <c r="H357" s="21">
        <f>H358+H411</f>
        <v>77665.48</v>
      </c>
      <c r="I357" s="201"/>
    </row>
    <row r="358" spans="1:13" ht="15.75" x14ac:dyDescent="0.25">
      <c r="A358" s="23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21">
        <f>G359+G406+G401</f>
        <v>57844.87999999999</v>
      </c>
      <c r="H358" s="21">
        <f>H359+H406+H401</f>
        <v>59070.079999999994</v>
      </c>
      <c r="I358" s="201"/>
    </row>
    <row r="359" spans="1:13" ht="39.200000000000003" customHeight="1" x14ac:dyDescent="0.25">
      <c r="A359" s="23" t="s">
        <v>1370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21">
        <f>G360+G368+G374+G378+G385+G393+G389+G397</f>
        <v>56956.179999999993</v>
      </c>
      <c r="H359" s="21">
        <f>H360+H368+H374+H378+H385+H393+H389+H397</f>
        <v>58156.179999999993</v>
      </c>
      <c r="I359" s="201"/>
    </row>
    <row r="360" spans="1:13" ht="33.75" customHeight="1" x14ac:dyDescent="0.25">
      <c r="A360" s="23" t="s">
        <v>895</v>
      </c>
      <c r="B360" s="19">
        <v>903</v>
      </c>
      <c r="C360" s="24" t="s">
        <v>299</v>
      </c>
      <c r="D360" s="24" t="s">
        <v>118</v>
      </c>
      <c r="E360" s="24" t="s">
        <v>1204</v>
      </c>
      <c r="F360" s="24"/>
      <c r="G360" s="21">
        <f>G361</f>
        <v>51840.479999999996</v>
      </c>
      <c r="H360" s="21">
        <f>H361</f>
        <v>51840.479999999996</v>
      </c>
      <c r="I360" s="201"/>
    </row>
    <row r="361" spans="1:13" ht="15.75" x14ac:dyDescent="0.25">
      <c r="A361" s="25" t="s">
        <v>800</v>
      </c>
      <c r="B361" s="16">
        <v>903</v>
      </c>
      <c r="C361" s="20" t="s">
        <v>299</v>
      </c>
      <c r="D361" s="20" t="s">
        <v>118</v>
      </c>
      <c r="E361" s="20" t="s">
        <v>1205</v>
      </c>
      <c r="F361" s="20"/>
      <c r="G361" s="26">
        <f>G362+G364+G366</f>
        <v>51840.479999999996</v>
      </c>
      <c r="H361" s="26">
        <f>H362+H364+H366</f>
        <v>51840.479999999996</v>
      </c>
      <c r="I361" s="201"/>
      <c r="M361">
        <v>51840.58</v>
      </c>
    </row>
    <row r="362" spans="1:13" ht="78.75" x14ac:dyDescent="0.25">
      <c r="A362" s="25" t="s">
        <v>127</v>
      </c>
      <c r="B362" s="16">
        <v>903</v>
      </c>
      <c r="C362" s="20" t="s">
        <v>299</v>
      </c>
      <c r="D362" s="20" t="s">
        <v>118</v>
      </c>
      <c r="E362" s="20" t="s">
        <v>1205</v>
      </c>
      <c r="F362" s="20" t="s">
        <v>128</v>
      </c>
      <c r="G362" s="26">
        <f>G363</f>
        <v>43271.28</v>
      </c>
      <c r="H362" s="26">
        <f>H363</f>
        <v>43271.28</v>
      </c>
      <c r="I362" s="201"/>
    </row>
    <row r="363" spans="1:13" ht="15.75" x14ac:dyDescent="0.25">
      <c r="A363" s="25" t="s">
        <v>208</v>
      </c>
      <c r="B363" s="16">
        <v>903</v>
      </c>
      <c r="C363" s="20" t="s">
        <v>299</v>
      </c>
      <c r="D363" s="20" t="s">
        <v>118</v>
      </c>
      <c r="E363" s="20" t="s">
        <v>1205</v>
      </c>
      <c r="F363" s="20" t="s">
        <v>209</v>
      </c>
      <c r="G363" s="26">
        <v>43271.28</v>
      </c>
      <c r="H363" s="26">
        <f t="shared" si="23"/>
        <v>43271.28</v>
      </c>
      <c r="I363" s="201"/>
    </row>
    <row r="364" spans="1:13" ht="31.5" x14ac:dyDescent="0.25">
      <c r="A364" s="25" t="s">
        <v>131</v>
      </c>
      <c r="B364" s="16">
        <v>903</v>
      </c>
      <c r="C364" s="20" t="s">
        <v>299</v>
      </c>
      <c r="D364" s="20" t="s">
        <v>118</v>
      </c>
      <c r="E364" s="20" t="s">
        <v>1205</v>
      </c>
      <c r="F364" s="20" t="s">
        <v>132</v>
      </c>
      <c r="G364" s="26">
        <f>G365</f>
        <v>8506.2000000000007</v>
      </c>
      <c r="H364" s="26">
        <f>H365</f>
        <v>8506.2000000000007</v>
      </c>
      <c r="I364" s="201"/>
    </row>
    <row r="365" spans="1:13" ht="29.85" customHeight="1" x14ac:dyDescent="0.25">
      <c r="A365" s="25" t="s">
        <v>133</v>
      </c>
      <c r="B365" s="16">
        <v>903</v>
      </c>
      <c r="C365" s="20" t="s">
        <v>299</v>
      </c>
      <c r="D365" s="20" t="s">
        <v>118</v>
      </c>
      <c r="E365" s="20" t="s">
        <v>1205</v>
      </c>
      <c r="F365" s="20" t="s">
        <v>134</v>
      </c>
      <c r="G365" s="26">
        <v>8506.2000000000007</v>
      </c>
      <c r="H365" s="26">
        <f t="shared" si="23"/>
        <v>8506.2000000000007</v>
      </c>
      <c r="I365" s="201"/>
    </row>
    <row r="366" spans="1:13" ht="15.75" x14ac:dyDescent="0.25">
      <c r="A366" s="25" t="s">
        <v>135</v>
      </c>
      <c r="B366" s="16">
        <v>903</v>
      </c>
      <c r="C366" s="20" t="s">
        <v>299</v>
      </c>
      <c r="D366" s="20" t="s">
        <v>118</v>
      </c>
      <c r="E366" s="20" t="s">
        <v>1205</v>
      </c>
      <c r="F366" s="20" t="s">
        <v>145</v>
      </c>
      <c r="G366" s="26">
        <f>G367</f>
        <v>63</v>
      </c>
      <c r="H366" s="26">
        <f>H367</f>
        <v>63</v>
      </c>
      <c r="I366" s="201"/>
    </row>
    <row r="367" spans="1:13" ht="15.75" x14ac:dyDescent="0.25">
      <c r="A367" s="25" t="s">
        <v>568</v>
      </c>
      <c r="B367" s="16">
        <v>903</v>
      </c>
      <c r="C367" s="20" t="s">
        <v>299</v>
      </c>
      <c r="D367" s="20" t="s">
        <v>118</v>
      </c>
      <c r="E367" s="20" t="s">
        <v>1205</v>
      </c>
      <c r="F367" s="20" t="s">
        <v>138</v>
      </c>
      <c r="G367" s="26">
        <v>63</v>
      </c>
      <c r="H367" s="26">
        <f t="shared" ref="H367:H377" si="29">G367</f>
        <v>63</v>
      </c>
      <c r="I367" s="201"/>
    </row>
    <row r="368" spans="1:13" ht="31.5" x14ac:dyDescent="0.25">
      <c r="A368" s="212" t="s">
        <v>1304</v>
      </c>
      <c r="B368" s="19">
        <v>903</v>
      </c>
      <c r="C368" s="24" t="s">
        <v>299</v>
      </c>
      <c r="D368" s="24" t="s">
        <v>118</v>
      </c>
      <c r="E368" s="24" t="s">
        <v>1206</v>
      </c>
      <c r="F368" s="24"/>
      <c r="G368" s="21">
        <f>G369</f>
        <v>1380</v>
      </c>
      <c r="H368" s="21">
        <f>H369</f>
        <v>1380</v>
      </c>
      <c r="I368" s="201"/>
    </row>
    <row r="369" spans="1:9" ht="31.5" x14ac:dyDescent="0.25">
      <c r="A369" s="31" t="s">
        <v>816</v>
      </c>
      <c r="B369" s="16">
        <v>903</v>
      </c>
      <c r="C369" s="20" t="s">
        <v>299</v>
      </c>
      <c r="D369" s="20" t="s">
        <v>118</v>
      </c>
      <c r="E369" s="20" t="s">
        <v>1208</v>
      </c>
      <c r="F369" s="20"/>
      <c r="G369" s="26">
        <f>G370+G372</f>
        <v>1380</v>
      </c>
      <c r="H369" s="26">
        <f>H370+H372</f>
        <v>1380</v>
      </c>
      <c r="I369" s="201"/>
    </row>
    <row r="370" spans="1:9" ht="78.75" x14ac:dyDescent="0.25">
      <c r="A370" s="25" t="s">
        <v>127</v>
      </c>
      <c r="B370" s="16">
        <v>903</v>
      </c>
      <c r="C370" s="20" t="s">
        <v>299</v>
      </c>
      <c r="D370" s="20" t="s">
        <v>118</v>
      </c>
      <c r="E370" s="20" t="s">
        <v>896</v>
      </c>
      <c r="F370" s="20" t="s">
        <v>128</v>
      </c>
      <c r="G370" s="26">
        <f>G371</f>
        <v>0</v>
      </c>
      <c r="H370" s="26">
        <f>H371</f>
        <v>0</v>
      </c>
      <c r="I370" s="201"/>
    </row>
    <row r="371" spans="1:9" ht="15.75" x14ac:dyDescent="0.25">
      <c r="A371" s="25" t="s">
        <v>208</v>
      </c>
      <c r="B371" s="16">
        <v>903</v>
      </c>
      <c r="C371" s="20" t="s">
        <v>299</v>
      </c>
      <c r="D371" s="20" t="s">
        <v>118</v>
      </c>
      <c r="E371" s="20" t="s">
        <v>896</v>
      </c>
      <c r="F371" s="20" t="s">
        <v>209</v>
      </c>
      <c r="G371" s="26">
        <v>0</v>
      </c>
      <c r="H371" s="26">
        <v>0</v>
      </c>
      <c r="I371" s="201"/>
    </row>
    <row r="372" spans="1:9" ht="31.5" x14ac:dyDescent="0.25">
      <c r="A372" s="25" t="s">
        <v>131</v>
      </c>
      <c r="B372" s="16">
        <v>903</v>
      </c>
      <c r="C372" s="20" t="s">
        <v>299</v>
      </c>
      <c r="D372" s="20" t="s">
        <v>118</v>
      </c>
      <c r="E372" s="20" t="s">
        <v>1208</v>
      </c>
      <c r="F372" s="20" t="s">
        <v>132</v>
      </c>
      <c r="G372" s="26">
        <f>G373</f>
        <v>1380</v>
      </c>
      <c r="H372" s="26">
        <f>H373</f>
        <v>1380</v>
      </c>
      <c r="I372" s="201"/>
    </row>
    <row r="373" spans="1:9" ht="31.9" customHeight="1" x14ac:dyDescent="0.25">
      <c r="A373" s="25" t="s">
        <v>133</v>
      </c>
      <c r="B373" s="16">
        <v>903</v>
      </c>
      <c r="C373" s="20" t="s">
        <v>299</v>
      </c>
      <c r="D373" s="20" t="s">
        <v>118</v>
      </c>
      <c r="E373" s="20" t="s">
        <v>1208</v>
      </c>
      <c r="F373" s="20" t="s">
        <v>134</v>
      </c>
      <c r="G373" s="26">
        <f>380+1000</f>
        <v>1380</v>
      </c>
      <c r="H373" s="26">
        <f t="shared" si="29"/>
        <v>1380</v>
      </c>
      <c r="I373" s="201"/>
    </row>
    <row r="374" spans="1:9" ht="31.5" x14ac:dyDescent="0.25">
      <c r="A374" s="23" t="s">
        <v>947</v>
      </c>
      <c r="B374" s="19">
        <v>903</v>
      </c>
      <c r="C374" s="24" t="s">
        <v>299</v>
      </c>
      <c r="D374" s="24" t="s">
        <v>118</v>
      </c>
      <c r="E374" s="24" t="s">
        <v>1209</v>
      </c>
      <c r="F374" s="24"/>
      <c r="G374" s="44">
        <f t="shared" ref="G374:H376" si="30">G375</f>
        <v>875</v>
      </c>
      <c r="H374" s="44">
        <f t="shared" si="30"/>
        <v>875</v>
      </c>
      <c r="I374" s="201"/>
    </row>
    <row r="375" spans="1:9" ht="47.25" x14ac:dyDescent="0.25">
      <c r="A375" s="25" t="s">
        <v>839</v>
      </c>
      <c r="B375" s="16">
        <v>903</v>
      </c>
      <c r="C375" s="20" t="s">
        <v>299</v>
      </c>
      <c r="D375" s="20" t="s">
        <v>118</v>
      </c>
      <c r="E375" s="20" t="s">
        <v>1210</v>
      </c>
      <c r="F375" s="20"/>
      <c r="G375" s="26">
        <f t="shared" si="30"/>
        <v>875</v>
      </c>
      <c r="H375" s="26">
        <f t="shared" si="30"/>
        <v>875</v>
      </c>
      <c r="I375" s="201"/>
    </row>
    <row r="376" spans="1:9" ht="78.75" x14ac:dyDescent="0.25">
      <c r="A376" s="25" t="s">
        <v>127</v>
      </c>
      <c r="B376" s="16">
        <v>903</v>
      </c>
      <c r="C376" s="20" t="s">
        <v>299</v>
      </c>
      <c r="D376" s="20" t="s">
        <v>118</v>
      </c>
      <c r="E376" s="20" t="s">
        <v>1210</v>
      </c>
      <c r="F376" s="20" t="s">
        <v>128</v>
      </c>
      <c r="G376" s="26">
        <f t="shared" si="30"/>
        <v>875</v>
      </c>
      <c r="H376" s="26">
        <f t="shared" si="30"/>
        <v>875</v>
      </c>
      <c r="I376" s="201"/>
    </row>
    <row r="377" spans="1:9" ht="31.5" x14ac:dyDescent="0.25">
      <c r="A377" s="25" t="s">
        <v>129</v>
      </c>
      <c r="B377" s="16">
        <v>903</v>
      </c>
      <c r="C377" s="20" t="s">
        <v>299</v>
      </c>
      <c r="D377" s="20" t="s">
        <v>118</v>
      </c>
      <c r="E377" s="20" t="s">
        <v>1210</v>
      </c>
      <c r="F377" s="20" t="s">
        <v>209</v>
      </c>
      <c r="G377" s="26">
        <v>875</v>
      </c>
      <c r="H377" s="26">
        <f t="shared" si="29"/>
        <v>875</v>
      </c>
      <c r="I377" s="201"/>
    </row>
    <row r="378" spans="1:9" ht="47.25" x14ac:dyDescent="0.25">
      <c r="A378" s="213" t="s">
        <v>900</v>
      </c>
      <c r="B378" s="19">
        <v>903</v>
      </c>
      <c r="C378" s="24" t="s">
        <v>299</v>
      </c>
      <c r="D378" s="24" t="s">
        <v>118</v>
      </c>
      <c r="E378" s="24" t="s">
        <v>1211</v>
      </c>
      <c r="F378" s="24"/>
      <c r="G378" s="21">
        <f>G379+G382</f>
        <v>2442</v>
      </c>
      <c r="H378" s="21">
        <f>H379+H382</f>
        <v>2442</v>
      </c>
      <c r="I378" s="201"/>
    </row>
    <row r="379" spans="1:9" s="200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1406</v>
      </c>
      <c r="F379" s="20"/>
      <c r="G379" s="26">
        <f t="shared" ref="G379:H380" si="31">G380</f>
        <v>2100.6</v>
      </c>
      <c r="H379" s="26">
        <f t="shared" si="31"/>
        <v>2100.6</v>
      </c>
      <c r="I379" s="201"/>
    </row>
    <row r="380" spans="1:9" s="200" customFormat="1" ht="78.75" x14ac:dyDescent="0.25">
      <c r="A380" s="25" t="s">
        <v>127</v>
      </c>
      <c r="B380" s="16">
        <v>903</v>
      </c>
      <c r="C380" s="20" t="s">
        <v>299</v>
      </c>
      <c r="D380" s="20" t="s">
        <v>118</v>
      </c>
      <c r="E380" s="20" t="s">
        <v>1406</v>
      </c>
      <c r="F380" s="20" t="s">
        <v>128</v>
      </c>
      <c r="G380" s="26">
        <f t="shared" si="31"/>
        <v>2100.6</v>
      </c>
      <c r="H380" s="26">
        <f t="shared" si="31"/>
        <v>2100.6</v>
      </c>
      <c r="I380" s="201"/>
    </row>
    <row r="381" spans="1:9" s="200" customFormat="1" ht="15.75" x14ac:dyDescent="0.25">
      <c r="A381" s="25" t="s">
        <v>208</v>
      </c>
      <c r="B381" s="16">
        <v>903</v>
      </c>
      <c r="C381" s="20" t="s">
        <v>299</v>
      </c>
      <c r="D381" s="20" t="s">
        <v>118</v>
      </c>
      <c r="E381" s="20" t="s">
        <v>1406</v>
      </c>
      <c r="F381" s="20" t="s">
        <v>209</v>
      </c>
      <c r="G381" s="26">
        <v>2100.6</v>
      </c>
      <c r="H381" s="26">
        <f>G381</f>
        <v>2100.6</v>
      </c>
      <c r="I381" s="201"/>
    </row>
    <row r="382" spans="1:9" s="200" customFormat="1" ht="78.75" x14ac:dyDescent="0.25">
      <c r="A382" s="25" t="s">
        <v>331</v>
      </c>
      <c r="B382" s="16">
        <v>903</v>
      </c>
      <c r="C382" s="20" t="s">
        <v>299</v>
      </c>
      <c r="D382" s="20" t="s">
        <v>118</v>
      </c>
      <c r="E382" s="20" t="s">
        <v>1292</v>
      </c>
      <c r="F382" s="20"/>
      <c r="G382" s="26">
        <f>G383</f>
        <v>341.4</v>
      </c>
      <c r="H382" s="26">
        <f>H383</f>
        <v>341.4</v>
      </c>
      <c r="I382" s="201"/>
    </row>
    <row r="383" spans="1:9" s="200" customFormat="1" ht="78.75" x14ac:dyDescent="0.25">
      <c r="A383" s="25" t="s">
        <v>127</v>
      </c>
      <c r="B383" s="16">
        <v>903</v>
      </c>
      <c r="C383" s="20" t="s">
        <v>299</v>
      </c>
      <c r="D383" s="20" t="s">
        <v>118</v>
      </c>
      <c r="E383" s="20" t="s">
        <v>1292</v>
      </c>
      <c r="F383" s="20" t="s">
        <v>128</v>
      </c>
      <c r="G383" s="26">
        <f>G384</f>
        <v>341.4</v>
      </c>
      <c r="H383" s="26">
        <f>H384</f>
        <v>341.4</v>
      </c>
      <c r="I383" s="201"/>
    </row>
    <row r="384" spans="1:9" s="200" customFormat="1" ht="15.75" x14ac:dyDescent="0.25">
      <c r="A384" s="25" t="s">
        <v>208</v>
      </c>
      <c r="B384" s="16">
        <v>903</v>
      </c>
      <c r="C384" s="20" t="s">
        <v>299</v>
      </c>
      <c r="D384" s="20" t="s">
        <v>118</v>
      </c>
      <c r="E384" s="20" t="s">
        <v>1292</v>
      </c>
      <c r="F384" s="20" t="s">
        <v>209</v>
      </c>
      <c r="G384" s="26">
        <v>341.4</v>
      </c>
      <c r="H384" s="26">
        <f>G384</f>
        <v>341.4</v>
      </c>
      <c r="I384" s="201"/>
    </row>
    <row r="385" spans="1:9" s="200" customFormat="1" ht="31.5" x14ac:dyDescent="0.25">
      <c r="A385" s="23" t="s">
        <v>902</v>
      </c>
      <c r="B385" s="19">
        <v>903</v>
      </c>
      <c r="C385" s="24" t="s">
        <v>299</v>
      </c>
      <c r="D385" s="24" t="s">
        <v>118</v>
      </c>
      <c r="E385" s="24" t="s">
        <v>1216</v>
      </c>
      <c r="F385" s="24"/>
      <c r="G385" s="21">
        <f t="shared" ref="G385:H387" si="32">G386</f>
        <v>50</v>
      </c>
      <c r="H385" s="21">
        <f t="shared" si="32"/>
        <v>50</v>
      </c>
      <c r="I385" s="201"/>
    </row>
    <row r="386" spans="1:9" s="200" customFormat="1" ht="31.5" x14ac:dyDescent="0.25">
      <c r="A386" s="25" t="s">
        <v>821</v>
      </c>
      <c r="B386" s="16">
        <v>903</v>
      </c>
      <c r="C386" s="20" t="s">
        <v>299</v>
      </c>
      <c r="D386" s="20" t="s">
        <v>118</v>
      </c>
      <c r="E386" s="20" t="s">
        <v>1217</v>
      </c>
      <c r="F386" s="20"/>
      <c r="G386" s="26">
        <f t="shared" si="32"/>
        <v>50</v>
      </c>
      <c r="H386" s="26">
        <f t="shared" si="32"/>
        <v>50</v>
      </c>
      <c r="I386" s="201"/>
    </row>
    <row r="387" spans="1:9" s="200" customFormat="1" ht="31.5" x14ac:dyDescent="0.25">
      <c r="A387" s="25" t="s">
        <v>131</v>
      </c>
      <c r="B387" s="16">
        <v>903</v>
      </c>
      <c r="C387" s="20" t="s">
        <v>299</v>
      </c>
      <c r="D387" s="20" t="s">
        <v>118</v>
      </c>
      <c r="E387" s="20" t="s">
        <v>1217</v>
      </c>
      <c r="F387" s="20" t="s">
        <v>132</v>
      </c>
      <c r="G387" s="26">
        <f t="shared" si="32"/>
        <v>50</v>
      </c>
      <c r="H387" s="26">
        <f t="shared" si="32"/>
        <v>50</v>
      </c>
      <c r="I387" s="201"/>
    </row>
    <row r="388" spans="1:9" s="200" customFormat="1" ht="31.5" x14ac:dyDescent="0.25">
      <c r="A388" s="25" t="s">
        <v>133</v>
      </c>
      <c r="B388" s="16">
        <v>903</v>
      </c>
      <c r="C388" s="20" t="s">
        <v>299</v>
      </c>
      <c r="D388" s="20" t="s">
        <v>118</v>
      </c>
      <c r="E388" s="20" t="s">
        <v>1217</v>
      </c>
      <c r="F388" s="20" t="s">
        <v>134</v>
      </c>
      <c r="G388" s="26">
        <v>50</v>
      </c>
      <c r="H388" s="26">
        <v>50</v>
      </c>
      <c r="I388" s="201"/>
    </row>
    <row r="389" spans="1:9" s="200" customFormat="1" ht="31.5" x14ac:dyDescent="0.25">
      <c r="A389" s="23" t="s">
        <v>1010</v>
      </c>
      <c r="B389" s="19">
        <v>903</v>
      </c>
      <c r="C389" s="24" t="s">
        <v>299</v>
      </c>
      <c r="D389" s="24" t="s">
        <v>118</v>
      </c>
      <c r="E389" s="24" t="s">
        <v>1218</v>
      </c>
      <c r="F389" s="24"/>
      <c r="G389" s="21">
        <f t="shared" ref="G389:H391" si="33">G390</f>
        <v>68.7</v>
      </c>
      <c r="H389" s="21">
        <f t="shared" si="33"/>
        <v>68.7</v>
      </c>
      <c r="I389" s="201"/>
    </row>
    <row r="390" spans="1:9" s="200" customFormat="1" ht="31.5" x14ac:dyDescent="0.25">
      <c r="A390" s="25" t="s">
        <v>1489</v>
      </c>
      <c r="B390" s="16">
        <v>903</v>
      </c>
      <c r="C390" s="20" t="s">
        <v>299</v>
      </c>
      <c r="D390" s="20" t="s">
        <v>118</v>
      </c>
      <c r="E390" s="20" t="s">
        <v>1219</v>
      </c>
      <c r="F390" s="20"/>
      <c r="G390" s="26">
        <f t="shared" si="33"/>
        <v>68.7</v>
      </c>
      <c r="H390" s="26">
        <f t="shared" si="33"/>
        <v>68.7</v>
      </c>
      <c r="I390" s="201"/>
    </row>
    <row r="391" spans="1:9" s="200" customFormat="1" ht="31.5" x14ac:dyDescent="0.25">
      <c r="A391" s="25" t="s">
        <v>131</v>
      </c>
      <c r="B391" s="16">
        <v>903</v>
      </c>
      <c r="C391" s="20" t="s">
        <v>299</v>
      </c>
      <c r="D391" s="20" t="s">
        <v>118</v>
      </c>
      <c r="E391" s="20" t="s">
        <v>1219</v>
      </c>
      <c r="F391" s="20" t="s">
        <v>132</v>
      </c>
      <c r="G391" s="26">
        <f t="shared" si="33"/>
        <v>68.7</v>
      </c>
      <c r="H391" s="26">
        <f t="shared" si="33"/>
        <v>68.7</v>
      </c>
      <c r="I391" s="201"/>
    </row>
    <row r="392" spans="1:9" s="200" customFormat="1" ht="31.5" x14ac:dyDescent="0.25">
      <c r="A392" s="25" t="s">
        <v>133</v>
      </c>
      <c r="B392" s="16">
        <v>903</v>
      </c>
      <c r="C392" s="20" t="s">
        <v>299</v>
      </c>
      <c r="D392" s="20" t="s">
        <v>118</v>
      </c>
      <c r="E392" s="20" t="s">
        <v>1219</v>
      </c>
      <c r="F392" s="20" t="s">
        <v>134</v>
      </c>
      <c r="G392" s="26">
        <f>3.5+65.2</f>
        <v>68.7</v>
      </c>
      <c r="H392" s="26">
        <f t="shared" ref="H392" si="34">G392</f>
        <v>68.7</v>
      </c>
      <c r="I392" s="201"/>
    </row>
    <row r="393" spans="1:9" s="200" customFormat="1" ht="31.5" x14ac:dyDescent="0.25">
      <c r="A393" s="206" t="s">
        <v>1180</v>
      </c>
      <c r="B393" s="19">
        <v>903</v>
      </c>
      <c r="C393" s="24" t="s">
        <v>299</v>
      </c>
      <c r="D393" s="24" t="s">
        <v>118</v>
      </c>
      <c r="E393" s="24" t="s">
        <v>1214</v>
      </c>
      <c r="F393" s="24"/>
      <c r="G393" s="21">
        <f t="shared" ref="G393:H395" si="35">G394</f>
        <v>300</v>
      </c>
      <c r="H393" s="21">
        <f t="shared" si="35"/>
        <v>1500</v>
      </c>
      <c r="I393" s="201"/>
    </row>
    <row r="394" spans="1:9" s="200" customFormat="1" ht="15.75" x14ac:dyDescent="0.25">
      <c r="A394" s="98" t="s">
        <v>1187</v>
      </c>
      <c r="B394" s="16">
        <v>903</v>
      </c>
      <c r="C394" s="20" t="s">
        <v>299</v>
      </c>
      <c r="D394" s="20" t="s">
        <v>118</v>
      </c>
      <c r="E394" s="20" t="s">
        <v>1215</v>
      </c>
      <c r="F394" s="20"/>
      <c r="G394" s="26">
        <f t="shared" si="35"/>
        <v>300</v>
      </c>
      <c r="H394" s="26">
        <f t="shared" si="35"/>
        <v>1500</v>
      </c>
      <c r="I394" s="201"/>
    </row>
    <row r="395" spans="1:9" s="200" customFormat="1" ht="31.5" x14ac:dyDescent="0.25">
      <c r="A395" s="25" t="s">
        <v>131</v>
      </c>
      <c r="B395" s="16">
        <v>903</v>
      </c>
      <c r="C395" s="20" t="s">
        <v>299</v>
      </c>
      <c r="D395" s="20" t="s">
        <v>118</v>
      </c>
      <c r="E395" s="20" t="s">
        <v>1215</v>
      </c>
      <c r="F395" s="20" t="s">
        <v>132</v>
      </c>
      <c r="G395" s="26">
        <f>G396</f>
        <v>300</v>
      </c>
      <c r="H395" s="26">
        <f t="shared" si="35"/>
        <v>1500</v>
      </c>
      <c r="I395" s="201"/>
    </row>
    <row r="396" spans="1:9" s="200" customFormat="1" ht="31.5" x14ac:dyDescent="0.25">
      <c r="A396" s="25" t="s">
        <v>133</v>
      </c>
      <c r="B396" s="16">
        <v>903</v>
      </c>
      <c r="C396" s="20" t="s">
        <v>299</v>
      </c>
      <c r="D396" s="20" t="s">
        <v>118</v>
      </c>
      <c r="E396" s="20" t="s">
        <v>1215</v>
      </c>
      <c r="F396" s="20" t="s">
        <v>134</v>
      </c>
      <c r="G396" s="26">
        <v>300</v>
      </c>
      <c r="H396" s="26">
        <v>1500</v>
      </c>
      <c r="I396" s="201"/>
    </row>
    <row r="397" spans="1:9" s="200" customFormat="1" ht="31.5" hidden="1" x14ac:dyDescent="0.25">
      <c r="A397" s="328" t="s">
        <v>1334</v>
      </c>
      <c r="B397" s="19">
        <v>903</v>
      </c>
      <c r="C397" s="24" t="s">
        <v>299</v>
      </c>
      <c r="D397" s="24" t="s">
        <v>118</v>
      </c>
      <c r="E397" s="24"/>
      <c r="F397" s="24"/>
      <c r="G397" s="21">
        <f t="shared" ref="G397:H399" si="36">G398</f>
        <v>0</v>
      </c>
      <c r="H397" s="21">
        <f t="shared" si="36"/>
        <v>0</v>
      </c>
      <c r="I397" s="201"/>
    </row>
    <row r="398" spans="1:9" s="200" customFormat="1" ht="15.75" hidden="1" x14ac:dyDescent="0.25">
      <c r="A398" s="25"/>
      <c r="B398" s="16">
        <v>903</v>
      </c>
      <c r="C398" s="20" t="s">
        <v>299</v>
      </c>
      <c r="D398" s="20" t="s">
        <v>118</v>
      </c>
      <c r="E398" s="20"/>
      <c r="F398" s="20"/>
      <c r="G398" s="26">
        <f t="shared" si="36"/>
        <v>0</v>
      </c>
      <c r="H398" s="26">
        <f t="shared" si="36"/>
        <v>0</v>
      </c>
      <c r="I398" s="201"/>
    </row>
    <row r="399" spans="1:9" s="200" customFormat="1" ht="31.5" hidden="1" x14ac:dyDescent="0.25">
      <c r="A399" s="25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26">
        <f t="shared" si="36"/>
        <v>0</v>
      </c>
      <c r="H399" s="26">
        <f t="shared" si="36"/>
        <v>0</v>
      </c>
      <c r="I399" s="201"/>
    </row>
    <row r="400" spans="1:9" s="200" customFormat="1" ht="31.5" hidden="1" x14ac:dyDescent="0.25">
      <c r="A400" s="25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26">
        <v>0</v>
      </c>
      <c r="H400" s="26">
        <v>0</v>
      </c>
      <c r="I400" s="201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21">
        <f>G403</f>
        <v>10</v>
      </c>
      <c r="H401" s="21">
        <f>H403</f>
        <v>0</v>
      </c>
      <c r="I401" s="201"/>
    </row>
    <row r="402" spans="1:9" ht="63" x14ac:dyDescent="0.25">
      <c r="A402" s="34" t="s">
        <v>1025</v>
      </c>
      <c r="B402" s="19">
        <v>903</v>
      </c>
      <c r="C402" s="24" t="s">
        <v>299</v>
      </c>
      <c r="D402" s="24" t="s">
        <v>118</v>
      </c>
      <c r="E402" s="24" t="s">
        <v>934</v>
      </c>
      <c r="F402" s="24"/>
      <c r="G402" s="21">
        <f>G405</f>
        <v>10</v>
      </c>
      <c r="H402" s="21">
        <f>H405</f>
        <v>0</v>
      </c>
      <c r="I402" s="201"/>
    </row>
    <row r="403" spans="1:9" ht="47.25" x14ac:dyDescent="0.25">
      <c r="A403" s="31" t="s">
        <v>1081</v>
      </c>
      <c r="B403" s="16">
        <v>903</v>
      </c>
      <c r="C403" s="20" t="s">
        <v>299</v>
      </c>
      <c r="D403" s="20" t="s">
        <v>118</v>
      </c>
      <c r="E403" s="20" t="s">
        <v>1026</v>
      </c>
      <c r="F403" s="20"/>
      <c r="G403" s="26">
        <f>G404</f>
        <v>10</v>
      </c>
      <c r="H403" s="26">
        <f>H404</f>
        <v>0</v>
      </c>
      <c r="I403" s="201"/>
    </row>
    <row r="404" spans="1:9" ht="31.5" x14ac:dyDescent="0.25">
      <c r="A404" s="25" t="s">
        <v>131</v>
      </c>
      <c r="B404" s="16">
        <v>903</v>
      </c>
      <c r="C404" s="20" t="s">
        <v>299</v>
      </c>
      <c r="D404" s="20" t="s">
        <v>118</v>
      </c>
      <c r="E404" s="20" t="s">
        <v>1026</v>
      </c>
      <c r="F404" s="20" t="s">
        <v>132</v>
      </c>
      <c r="G404" s="26">
        <f>G405</f>
        <v>10</v>
      </c>
      <c r="H404" s="26">
        <f>H405</f>
        <v>0</v>
      </c>
      <c r="I404" s="201"/>
    </row>
    <row r="405" spans="1:9" ht="31.5" x14ac:dyDescent="0.25">
      <c r="A405" s="25" t="s">
        <v>133</v>
      </c>
      <c r="B405" s="16">
        <v>903</v>
      </c>
      <c r="C405" s="20" t="s">
        <v>299</v>
      </c>
      <c r="D405" s="20" t="s">
        <v>118</v>
      </c>
      <c r="E405" s="20" t="s">
        <v>1026</v>
      </c>
      <c r="F405" s="20" t="s">
        <v>134</v>
      </c>
      <c r="G405" s="26">
        <v>10</v>
      </c>
      <c r="H405" s="26">
        <v>0</v>
      </c>
      <c r="I405" s="201"/>
    </row>
    <row r="406" spans="1:9" ht="47.25" x14ac:dyDescent="0.25">
      <c r="A406" s="41" t="s">
        <v>1353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17"/>
      <c r="G406" s="21">
        <f t="shared" ref="G406:H409" si="37">G407</f>
        <v>878.7</v>
      </c>
      <c r="H406" s="21">
        <f t="shared" si="37"/>
        <v>913.9</v>
      </c>
      <c r="I406" s="201"/>
    </row>
    <row r="407" spans="1:9" ht="47.25" x14ac:dyDescent="0.25">
      <c r="A407" s="41" t="s">
        <v>890</v>
      </c>
      <c r="B407" s="19">
        <v>903</v>
      </c>
      <c r="C407" s="24" t="s">
        <v>299</v>
      </c>
      <c r="D407" s="24" t="s">
        <v>118</v>
      </c>
      <c r="E407" s="24" t="s">
        <v>888</v>
      </c>
      <c r="F407" s="217"/>
      <c r="G407" s="21">
        <f t="shared" si="37"/>
        <v>878.7</v>
      </c>
      <c r="H407" s="21">
        <f t="shared" si="37"/>
        <v>913.9</v>
      </c>
      <c r="I407" s="201"/>
    </row>
    <row r="408" spans="1:9" ht="41.25" customHeight="1" x14ac:dyDescent="0.25">
      <c r="A408" s="98" t="s">
        <v>1022</v>
      </c>
      <c r="B408" s="16">
        <v>903</v>
      </c>
      <c r="C408" s="20" t="s">
        <v>299</v>
      </c>
      <c r="D408" s="20" t="s">
        <v>118</v>
      </c>
      <c r="E408" s="20" t="s">
        <v>889</v>
      </c>
      <c r="F408" s="32"/>
      <c r="G408" s="26">
        <f t="shared" si="37"/>
        <v>878.7</v>
      </c>
      <c r="H408" s="26">
        <f t="shared" si="37"/>
        <v>913.9</v>
      </c>
      <c r="I408" s="201"/>
    </row>
    <row r="409" spans="1:9" ht="31.5" x14ac:dyDescent="0.25">
      <c r="A409" s="25" t="s">
        <v>131</v>
      </c>
      <c r="B409" s="16">
        <v>903</v>
      </c>
      <c r="C409" s="20" t="s">
        <v>299</v>
      </c>
      <c r="D409" s="20" t="s">
        <v>118</v>
      </c>
      <c r="E409" s="20" t="s">
        <v>889</v>
      </c>
      <c r="F409" s="32" t="s">
        <v>132</v>
      </c>
      <c r="G409" s="26">
        <f t="shared" si="37"/>
        <v>878.7</v>
      </c>
      <c r="H409" s="26">
        <f t="shared" si="37"/>
        <v>913.9</v>
      </c>
      <c r="I409" s="201"/>
    </row>
    <row r="410" spans="1:9" ht="31.5" x14ac:dyDescent="0.25">
      <c r="A410" s="25" t="s">
        <v>133</v>
      </c>
      <c r="B410" s="16">
        <v>903</v>
      </c>
      <c r="C410" s="20" t="s">
        <v>299</v>
      </c>
      <c r="D410" s="20" t="s">
        <v>118</v>
      </c>
      <c r="E410" s="20" t="s">
        <v>889</v>
      </c>
      <c r="F410" s="32" t="s">
        <v>134</v>
      </c>
      <c r="G410" s="26">
        <v>878.7</v>
      </c>
      <c r="H410" s="26">
        <v>913.9</v>
      </c>
      <c r="I410" s="201"/>
    </row>
    <row r="411" spans="1:9" ht="31.5" x14ac:dyDescent="0.25">
      <c r="A411" s="23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21">
        <f>G412+G422+G434+G440</f>
        <v>18566.400000000001</v>
      </c>
      <c r="H411" s="21">
        <f>H412+H422+H434+H440</f>
        <v>18595.400000000001</v>
      </c>
      <c r="I411" s="201"/>
    </row>
    <row r="412" spans="1:9" ht="31.5" x14ac:dyDescent="0.25">
      <c r="A412" s="23" t="s">
        <v>917</v>
      </c>
      <c r="B412" s="19">
        <v>903</v>
      </c>
      <c r="C412" s="24" t="s">
        <v>299</v>
      </c>
      <c r="D412" s="24" t="s">
        <v>150</v>
      </c>
      <c r="E412" s="24" t="s">
        <v>858</v>
      </c>
      <c r="F412" s="24"/>
      <c r="G412" s="21">
        <f>G413</f>
        <v>7291.6</v>
      </c>
      <c r="H412" s="21">
        <f>H413</f>
        <v>7291.6</v>
      </c>
      <c r="I412" s="201"/>
    </row>
    <row r="413" spans="1:9" ht="15.75" x14ac:dyDescent="0.25">
      <c r="A413" s="23" t="s">
        <v>918</v>
      </c>
      <c r="B413" s="19">
        <v>903</v>
      </c>
      <c r="C413" s="24" t="s">
        <v>299</v>
      </c>
      <c r="D413" s="24" t="s">
        <v>150</v>
      </c>
      <c r="E413" s="24" t="s">
        <v>859</v>
      </c>
      <c r="F413" s="24"/>
      <c r="G413" s="21">
        <f>G414+G419</f>
        <v>7291.6</v>
      </c>
      <c r="H413" s="21">
        <f>H414+H419</f>
        <v>7291.6</v>
      </c>
      <c r="I413" s="201"/>
    </row>
    <row r="414" spans="1:9" ht="31.5" x14ac:dyDescent="0.25">
      <c r="A414" s="25" t="s">
        <v>897</v>
      </c>
      <c r="B414" s="16">
        <v>903</v>
      </c>
      <c r="C414" s="20" t="s">
        <v>299</v>
      </c>
      <c r="D414" s="20" t="s">
        <v>150</v>
      </c>
      <c r="E414" s="20" t="s">
        <v>860</v>
      </c>
      <c r="F414" s="20"/>
      <c r="G414" s="26">
        <f>G415</f>
        <v>7015.6</v>
      </c>
      <c r="H414" s="26">
        <f>H415</f>
        <v>7015.6</v>
      </c>
      <c r="I414" s="201"/>
    </row>
    <row r="415" spans="1:9" ht="78.75" x14ac:dyDescent="0.25">
      <c r="A415" s="25" t="s">
        <v>127</v>
      </c>
      <c r="B415" s="16">
        <v>903</v>
      </c>
      <c r="C415" s="20" t="s">
        <v>299</v>
      </c>
      <c r="D415" s="20" t="s">
        <v>150</v>
      </c>
      <c r="E415" s="20" t="s">
        <v>860</v>
      </c>
      <c r="F415" s="20" t="s">
        <v>128</v>
      </c>
      <c r="G415" s="26">
        <f>G416</f>
        <v>7015.6</v>
      </c>
      <c r="H415" s="26">
        <f>H416</f>
        <v>7015.6</v>
      </c>
      <c r="I415" s="201"/>
    </row>
    <row r="416" spans="1:9" ht="31.5" x14ac:dyDescent="0.25">
      <c r="A416" s="25" t="s">
        <v>129</v>
      </c>
      <c r="B416" s="16">
        <v>903</v>
      </c>
      <c r="C416" s="20" t="s">
        <v>299</v>
      </c>
      <c r="D416" s="20" t="s">
        <v>150</v>
      </c>
      <c r="E416" s="20" t="s">
        <v>860</v>
      </c>
      <c r="F416" s="20" t="s">
        <v>130</v>
      </c>
      <c r="G416" s="26">
        <v>7015.6</v>
      </c>
      <c r="H416" s="26">
        <f t="shared" ref="H416:H499" si="38">G416</f>
        <v>7015.6</v>
      </c>
      <c r="I416" s="201"/>
    </row>
    <row r="417" spans="1:9" ht="31.5" hidden="1" x14ac:dyDescent="0.25">
      <c r="A417" s="25" t="s">
        <v>131</v>
      </c>
      <c r="B417" s="16">
        <v>903</v>
      </c>
      <c r="C417" s="20" t="s">
        <v>299</v>
      </c>
      <c r="D417" s="20" t="s">
        <v>150</v>
      </c>
      <c r="E417" s="20" t="s">
        <v>860</v>
      </c>
      <c r="F417" s="20" t="s">
        <v>132</v>
      </c>
      <c r="G417" s="26">
        <f>'Пр.4 ведом.21'!G433</f>
        <v>0</v>
      </c>
      <c r="H417" s="26">
        <f t="shared" si="38"/>
        <v>0</v>
      </c>
      <c r="I417" s="201"/>
    </row>
    <row r="418" spans="1:9" ht="31.5" hidden="1" x14ac:dyDescent="0.25">
      <c r="A418" s="25" t="s">
        <v>133</v>
      </c>
      <c r="B418" s="16">
        <v>903</v>
      </c>
      <c r="C418" s="20" t="s">
        <v>299</v>
      </c>
      <c r="D418" s="20" t="s">
        <v>150</v>
      </c>
      <c r="E418" s="20" t="s">
        <v>860</v>
      </c>
      <c r="F418" s="20" t="s">
        <v>134</v>
      </c>
      <c r="G418" s="26">
        <f>'Пр.4 ведом.21'!G434</f>
        <v>0</v>
      </c>
      <c r="H418" s="26">
        <f t="shared" si="38"/>
        <v>0</v>
      </c>
      <c r="I418" s="201"/>
    </row>
    <row r="419" spans="1:9" ht="47.25" x14ac:dyDescent="0.25">
      <c r="A419" s="25" t="s">
        <v>839</v>
      </c>
      <c r="B419" s="16">
        <v>903</v>
      </c>
      <c r="C419" s="20" t="s">
        <v>299</v>
      </c>
      <c r="D419" s="20" t="s">
        <v>150</v>
      </c>
      <c r="E419" s="20" t="s">
        <v>862</v>
      </c>
      <c r="F419" s="20"/>
      <c r="G419" s="26">
        <f>G420</f>
        <v>276</v>
      </c>
      <c r="H419" s="26">
        <f>H420</f>
        <v>276</v>
      </c>
      <c r="I419" s="201"/>
    </row>
    <row r="420" spans="1:9" ht="78.75" x14ac:dyDescent="0.25">
      <c r="A420" s="25" t="s">
        <v>127</v>
      </c>
      <c r="B420" s="16">
        <v>903</v>
      </c>
      <c r="C420" s="20" t="s">
        <v>299</v>
      </c>
      <c r="D420" s="20" t="s">
        <v>150</v>
      </c>
      <c r="E420" s="20" t="s">
        <v>862</v>
      </c>
      <c r="F420" s="20" t="s">
        <v>128</v>
      </c>
      <c r="G420" s="26">
        <f>G421</f>
        <v>276</v>
      </c>
      <c r="H420" s="26">
        <f>H421</f>
        <v>276</v>
      </c>
      <c r="I420" s="201"/>
    </row>
    <row r="421" spans="1:9" ht="31.5" x14ac:dyDescent="0.25">
      <c r="A421" s="25" t="s">
        <v>129</v>
      </c>
      <c r="B421" s="16">
        <v>903</v>
      </c>
      <c r="C421" s="20" t="s">
        <v>299</v>
      </c>
      <c r="D421" s="20" t="s">
        <v>150</v>
      </c>
      <c r="E421" s="20" t="s">
        <v>862</v>
      </c>
      <c r="F421" s="20" t="s">
        <v>130</v>
      </c>
      <c r="G421" s="26">
        <v>276</v>
      </c>
      <c r="H421" s="26">
        <f t="shared" si="38"/>
        <v>276</v>
      </c>
      <c r="I421" s="201"/>
    </row>
    <row r="422" spans="1:9" ht="15.75" x14ac:dyDescent="0.25">
      <c r="A422" s="23" t="s">
        <v>926</v>
      </c>
      <c r="B422" s="19">
        <v>903</v>
      </c>
      <c r="C422" s="24" t="s">
        <v>299</v>
      </c>
      <c r="D422" s="24" t="s">
        <v>150</v>
      </c>
      <c r="E422" s="24" t="s">
        <v>866</v>
      </c>
      <c r="F422" s="24"/>
      <c r="G422" s="21">
        <f>G423</f>
        <v>11014.8</v>
      </c>
      <c r="H422" s="21">
        <f>H423</f>
        <v>11014.8</v>
      </c>
      <c r="I422" s="201"/>
    </row>
    <row r="423" spans="1:9" ht="31.5" x14ac:dyDescent="0.25">
      <c r="A423" s="23" t="s">
        <v>929</v>
      </c>
      <c r="B423" s="19">
        <v>903</v>
      </c>
      <c r="C423" s="24" t="s">
        <v>299</v>
      </c>
      <c r="D423" s="24" t="s">
        <v>150</v>
      </c>
      <c r="E423" s="24" t="s">
        <v>914</v>
      </c>
      <c r="F423" s="24"/>
      <c r="G423" s="21">
        <f>G424+G431</f>
        <v>11014.8</v>
      </c>
      <c r="H423" s="21">
        <f>H424+H431</f>
        <v>11014.8</v>
      </c>
      <c r="I423" s="201"/>
    </row>
    <row r="424" spans="1:9" ht="31.5" x14ac:dyDescent="0.25">
      <c r="A424" s="25" t="s">
        <v>903</v>
      </c>
      <c r="B424" s="16">
        <v>903</v>
      </c>
      <c r="C424" s="20" t="s">
        <v>299</v>
      </c>
      <c r="D424" s="20" t="s">
        <v>150</v>
      </c>
      <c r="E424" s="20" t="s">
        <v>915</v>
      </c>
      <c r="F424" s="20"/>
      <c r="G424" s="26">
        <f>G425+G427+G429</f>
        <v>10804.8</v>
      </c>
      <c r="H424" s="26">
        <f>H425+H427+H429</f>
        <v>10804.8</v>
      </c>
      <c r="I424" s="201"/>
    </row>
    <row r="425" spans="1:9" ht="78.75" x14ac:dyDescent="0.25">
      <c r="A425" s="25" t="s">
        <v>127</v>
      </c>
      <c r="B425" s="16">
        <v>903</v>
      </c>
      <c r="C425" s="20" t="s">
        <v>299</v>
      </c>
      <c r="D425" s="20" t="s">
        <v>150</v>
      </c>
      <c r="E425" s="20" t="s">
        <v>915</v>
      </c>
      <c r="F425" s="20" t="s">
        <v>128</v>
      </c>
      <c r="G425" s="26">
        <f>G426</f>
        <v>8853.7999999999993</v>
      </c>
      <c r="H425" s="26">
        <f>H426</f>
        <v>8853.7999999999993</v>
      </c>
      <c r="I425" s="201"/>
    </row>
    <row r="426" spans="1:9" ht="24.75" customHeight="1" x14ac:dyDescent="0.25">
      <c r="A426" s="25" t="s">
        <v>342</v>
      </c>
      <c r="B426" s="16">
        <v>903</v>
      </c>
      <c r="C426" s="20" t="s">
        <v>299</v>
      </c>
      <c r="D426" s="20" t="s">
        <v>150</v>
      </c>
      <c r="E426" s="20" t="s">
        <v>915</v>
      </c>
      <c r="F426" s="20" t="s">
        <v>209</v>
      </c>
      <c r="G426" s="26">
        <v>8853.7999999999993</v>
      </c>
      <c r="H426" s="26">
        <f t="shared" si="38"/>
        <v>8853.7999999999993</v>
      </c>
      <c r="I426" s="201"/>
    </row>
    <row r="427" spans="1:9" ht="31.5" x14ac:dyDescent="0.25">
      <c r="A427" s="25" t="s">
        <v>131</v>
      </c>
      <c r="B427" s="16">
        <v>903</v>
      </c>
      <c r="C427" s="20" t="s">
        <v>299</v>
      </c>
      <c r="D427" s="20" t="s">
        <v>150</v>
      </c>
      <c r="E427" s="20" t="s">
        <v>915</v>
      </c>
      <c r="F427" s="20" t="s">
        <v>132</v>
      </c>
      <c r="G427" s="26">
        <f>G428</f>
        <v>1937</v>
      </c>
      <c r="H427" s="26">
        <f>H428</f>
        <v>1937</v>
      </c>
      <c r="I427" s="201"/>
    </row>
    <row r="428" spans="1:9" ht="31.5" x14ac:dyDescent="0.25">
      <c r="A428" s="25" t="s">
        <v>133</v>
      </c>
      <c r="B428" s="16">
        <v>903</v>
      </c>
      <c r="C428" s="20" t="s">
        <v>299</v>
      </c>
      <c r="D428" s="20" t="s">
        <v>150</v>
      </c>
      <c r="E428" s="20" t="s">
        <v>915</v>
      </c>
      <c r="F428" s="20" t="s">
        <v>134</v>
      </c>
      <c r="G428" s="26">
        <f>1937</f>
        <v>1937</v>
      </c>
      <c r="H428" s="26">
        <f t="shared" si="38"/>
        <v>1937</v>
      </c>
      <c r="I428" s="201"/>
    </row>
    <row r="429" spans="1:9" ht="15.75" x14ac:dyDescent="0.25">
      <c r="A429" s="25" t="s">
        <v>135</v>
      </c>
      <c r="B429" s="16">
        <v>903</v>
      </c>
      <c r="C429" s="20" t="s">
        <v>299</v>
      </c>
      <c r="D429" s="20" t="s">
        <v>150</v>
      </c>
      <c r="E429" s="20" t="s">
        <v>915</v>
      </c>
      <c r="F429" s="20" t="s">
        <v>145</v>
      </c>
      <c r="G429" s="26">
        <f>G430</f>
        <v>14</v>
      </c>
      <c r="H429" s="26">
        <f>H430</f>
        <v>14</v>
      </c>
      <c r="I429" s="201"/>
    </row>
    <row r="430" spans="1:9" ht="15.75" x14ac:dyDescent="0.25">
      <c r="A430" s="25" t="s">
        <v>568</v>
      </c>
      <c r="B430" s="16">
        <v>903</v>
      </c>
      <c r="C430" s="20" t="s">
        <v>299</v>
      </c>
      <c r="D430" s="20" t="s">
        <v>150</v>
      </c>
      <c r="E430" s="20" t="s">
        <v>915</v>
      </c>
      <c r="F430" s="20" t="s">
        <v>138</v>
      </c>
      <c r="G430" s="26">
        <f>14</f>
        <v>14</v>
      </c>
      <c r="H430" s="26">
        <f t="shared" si="38"/>
        <v>14</v>
      </c>
      <c r="I430" s="201"/>
    </row>
    <row r="431" spans="1:9" ht="47.25" x14ac:dyDescent="0.25">
      <c r="A431" s="25" t="s">
        <v>839</v>
      </c>
      <c r="B431" s="16">
        <v>903</v>
      </c>
      <c r="C431" s="20" t="s">
        <v>299</v>
      </c>
      <c r="D431" s="20" t="s">
        <v>150</v>
      </c>
      <c r="E431" s="20" t="s">
        <v>916</v>
      </c>
      <c r="F431" s="20"/>
      <c r="G431" s="26">
        <f>G432</f>
        <v>210</v>
      </c>
      <c r="H431" s="26">
        <f>H432</f>
        <v>210</v>
      </c>
      <c r="I431" s="201"/>
    </row>
    <row r="432" spans="1:9" ht="78.75" x14ac:dyDescent="0.25">
      <c r="A432" s="25" t="s">
        <v>127</v>
      </c>
      <c r="B432" s="16">
        <v>903</v>
      </c>
      <c r="C432" s="20" t="s">
        <v>299</v>
      </c>
      <c r="D432" s="20" t="s">
        <v>150</v>
      </c>
      <c r="E432" s="20" t="s">
        <v>916</v>
      </c>
      <c r="F432" s="20" t="s">
        <v>128</v>
      </c>
      <c r="G432" s="26">
        <f>G433</f>
        <v>210</v>
      </c>
      <c r="H432" s="26">
        <f>H433</f>
        <v>210</v>
      </c>
      <c r="I432" s="201"/>
    </row>
    <row r="433" spans="1:9" ht="25.5" customHeight="1" x14ac:dyDescent="0.25">
      <c r="A433" s="25" t="s">
        <v>342</v>
      </c>
      <c r="B433" s="16">
        <v>903</v>
      </c>
      <c r="C433" s="20" t="s">
        <v>299</v>
      </c>
      <c r="D433" s="20" t="s">
        <v>150</v>
      </c>
      <c r="E433" s="20" t="s">
        <v>916</v>
      </c>
      <c r="F433" s="20" t="s">
        <v>209</v>
      </c>
      <c r="G433" s="26">
        <f>210</f>
        <v>210</v>
      </c>
      <c r="H433" s="26">
        <f t="shared" si="38"/>
        <v>210</v>
      </c>
      <c r="I433" s="201"/>
    </row>
    <row r="434" spans="1:9" ht="47.25" x14ac:dyDescent="0.25">
      <c r="A434" s="23" t="s">
        <v>1369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21">
        <f>G435</f>
        <v>260</v>
      </c>
      <c r="H434" s="21">
        <f>H435</f>
        <v>285</v>
      </c>
      <c r="I434" s="201"/>
    </row>
    <row r="435" spans="1:9" ht="33.950000000000003" customHeight="1" x14ac:dyDescent="0.25">
      <c r="A435" s="23" t="s">
        <v>1356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21">
        <f t="shared" ref="G435:H436" si="39">G436</f>
        <v>260</v>
      </c>
      <c r="H435" s="21">
        <f t="shared" si="39"/>
        <v>285</v>
      </c>
      <c r="I435" s="201"/>
    </row>
    <row r="436" spans="1:9" ht="31.5" x14ac:dyDescent="0.25">
      <c r="A436" s="23" t="s">
        <v>997</v>
      </c>
      <c r="B436" s="19">
        <v>903</v>
      </c>
      <c r="C436" s="24" t="s">
        <v>299</v>
      </c>
      <c r="D436" s="24" t="s">
        <v>150</v>
      </c>
      <c r="E436" s="24" t="s">
        <v>1222</v>
      </c>
      <c r="F436" s="24"/>
      <c r="G436" s="21">
        <f t="shared" si="39"/>
        <v>260</v>
      </c>
      <c r="H436" s="21">
        <f t="shared" si="39"/>
        <v>285</v>
      </c>
      <c r="I436" s="201"/>
    </row>
    <row r="437" spans="1:9" ht="31.5" x14ac:dyDescent="0.25">
      <c r="A437" s="25" t="s">
        <v>996</v>
      </c>
      <c r="B437" s="16">
        <v>903</v>
      </c>
      <c r="C437" s="20" t="s">
        <v>299</v>
      </c>
      <c r="D437" s="20" t="s">
        <v>150</v>
      </c>
      <c r="E437" s="20" t="s">
        <v>1223</v>
      </c>
      <c r="F437" s="20"/>
      <c r="G437" s="26">
        <f>G438</f>
        <v>260</v>
      </c>
      <c r="H437" s="26">
        <f>H438</f>
        <v>285</v>
      </c>
      <c r="I437" s="201"/>
    </row>
    <row r="438" spans="1:9" ht="31.5" x14ac:dyDescent="0.25">
      <c r="A438" s="25" t="s">
        <v>131</v>
      </c>
      <c r="B438" s="16">
        <v>903</v>
      </c>
      <c r="C438" s="20" t="s">
        <v>299</v>
      </c>
      <c r="D438" s="20" t="s">
        <v>150</v>
      </c>
      <c r="E438" s="20" t="s">
        <v>1223</v>
      </c>
      <c r="F438" s="20" t="s">
        <v>132</v>
      </c>
      <c r="G438" s="26">
        <f>G439</f>
        <v>260</v>
      </c>
      <c r="H438" s="26">
        <f>H439</f>
        <v>285</v>
      </c>
      <c r="I438" s="201"/>
    </row>
    <row r="439" spans="1:9" ht="37.35" customHeight="1" x14ac:dyDescent="0.25">
      <c r="A439" s="25" t="s">
        <v>133</v>
      </c>
      <c r="B439" s="16">
        <v>903</v>
      </c>
      <c r="C439" s="20" t="s">
        <v>299</v>
      </c>
      <c r="D439" s="20" t="s">
        <v>150</v>
      </c>
      <c r="E439" s="20" t="s">
        <v>1223</v>
      </c>
      <c r="F439" s="20" t="s">
        <v>134</v>
      </c>
      <c r="G439" s="26">
        <f>260</f>
        <v>260</v>
      </c>
      <c r="H439" s="26">
        <v>285</v>
      </c>
      <c r="I439" s="201"/>
    </row>
    <row r="440" spans="1:9" s="200" customFormat="1" ht="51" customHeight="1" x14ac:dyDescent="0.25">
      <c r="A440" s="34" t="s">
        <v>1439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21">
        <f>G442</f>
        <v>0</v>
      </c>
      <c r="H440" s="21">
        <f>H441</f>
        <v>4</v>
      </c>
      <c r="I440" s="201"/>
    </row>
    <row r="441" spans="1:9" s="200" customFormat="1" ht="59.1" customHeight="1" x14ac:dyDescent="0.25">
      <c r="A441" s="34" t="s">
        <v>1025</v>
      </c>
      <c r="B441" s="19">
        <v>903</v>
      </c>
      <c r="C441" s="24" t="s">
        <v>299</v>
      </c>
      <c r="D441" s="24" t="s">
        <v>150</v>
      </c>
      <c r="E441" s="24" t="s">
        <v>934</v>
      </c>
      <c r="F441" s="24"/>
      <c r="G441" s="21">
        <f>G444</f>
        <v>0</v>
      </c>
      <c r="H441" s="21">
        <f>H442</f>
        <v>4</v>
      </c>
      <c r="I441" s="201"/>
    </row>
    <row r="442" spans="1:9" s="200" customFormat="1" ht="53.1" customHeight="1" x14ac:dyDescent="0.25">
      <c r="A442" s="31" t="s">
        <v>1081</v>
      </c>
      <c r="B442" s="16">
        <v>903</v>
      </c>
      <c r="C442" s="20" t="s">
        <v>299</v>
      </c>
      <c r="D442" s="20" t="s">
        <v>150</v>
      </c>
      <c r="E442" s="20" t="s">
        <v>1026</v>
      </c>
      <c r="F442" s="20"/>
      <c r="G442" s="26">
        <f>G443</f>
        <v>0</v>
      </c>
      <c r="H442" s="26">
        <f>H443</f>
        <v>4</v>
      </c>
      <c r="I442" s="201"/>
    </row>
    <row r="443" spans="1:9" s="200" customFormat="1" ht="37.35" customHeight="1" x14ac:dyDescent="0.25">
      <c r="A443" s="25" t="s">
        <v>131</v>
      </c>
      <c r="B443" s="16">
        <v>903</v>
      </c>
      <c r="C443" s="20" t="s">
        <v>299</v>
      </c>
      <c r="D443" s="20" t="s">
        <v>150</v>
      </c>
      <c r="E443" s="20" t="s">
        <v>1026</v>
      </c>
      <c r="F443" s="20" t="s">
        <v>132</v>
      </c>
      <c r="G443" s="26">
        <f>G444</f>
        <v>0</v>
      </c>
      <c r="H443" s="26">
        <f>H444</f>
        <v>4</v>
      </c>
      <c r="I443" s="201"/>
    </row>
    <row r="444" spans="1:9" s="200" customFormat="1" ht="37.35" customHeight="1" x14ac:dyDescent="0.25">
      <c r="A444" s="25" t="s">
        <v>133</v>
      </c>
      <c r="B444" s="16">
        <v>903</v>
      </c>
      <c r="C444" s="20" t="s">
        <v>299</v>
      </c>
      <c r="D444" s="20" t="s">
        <v>150</v>
      </c>
      <c r="E444" s="20" t="s">
        <v>1026</v>
      </c>
      <c r="F444" s="20" t="s">
        <v>134</v>
      </c>
      <c r="G444" s="26">
        <v>0</v>
      </c>
      <c r="H444" s="26">
        <v>4</v>
      </c>
      <c r="I444" s="201"/>
    </row>
    <row r="445" spans="1:9" ht="15.75" x14ac:dyDescent="0.25">
      <c r="A445" s="23" t="s">
        <v>243</v>
      </c>
      <c r="B445" s="19">
        <v>903</v>
      </c>
      <c r="C445" s="24" t="s">
        <v>244</v>
      </c>
      <c r="D445" s="24"/>
      <c r="E445" s="24"/>
      <c r="F445" s="24"/>
      <c r="G445" s="21">
        <f>G446</f>
        <v>2001.6100000000001</v>
      </c>
      <c r="H445" s="21">
        <f>H446</f>
        <v>2026.1100000000001</v>
      </c>
      <c r="I445" s="201"/>
    </row>
    <row r="446" spans="1:9" ht="15.75" x14ac:dyDescent="0.25">
      <c r="A446" s="23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21">
        <f>G447</f>
        <v>2001.6100000000001</v>
      </c>
      <c r="H446" s="21">
        <f>H447</f>
        <v>2026.1100000000001</v>
      </c>
      <c r="I446" s="201"/>
    </row>
    <row r="447" spans="1:9" ht="47.25" x14ac:dyDescent="0.25">
      <c r="A447" s="23" t="s">
        <v>1369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21">
        <f>G448+G453</f>
        <v>2001.6100000000001</v>
      </c>
      <c r="H447" s="21">
        <f>H448+H453</f>
        <v>2026.1100000000001</v>
      </c>
      <c r="I447" s="201"/>
    </row>
    <row r="448" spans="1:9" ht="31.5" x14ac:dyDescent="0.25">
      <c r="A448" s="23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21">
        <f t="shared" ref="G448:H451" si="40">G449</f>
        <v>294.61</v>
      </c>
      <c r="H448" s="21">
        <f t="shared" si="40"/>
        <v>289.11</v>
      </c>
      <c r="I448" s="201"/>
    </row>
    <row r="449" spans="1:13" ht="31.5" x14ac:dyDescent="0.25">
      <c r="A449" s="23" t="s">
        <v>905</v>
      </c>
      <c r="B449" s="19">
        <v>903</v>
      </c>
      <c r="C449" s="24" t="s">
        <v>244</v>
      </c>
      <c r="D449" s="24" t="s">
        <v>215</v>
      </c>
      <c r="E449" s="24" t="s">
        <v>904</v>
      </c>
      <c r="F449" s="24"/>
      <c r="G449" s="21">
        <f t="shared" si="40"/>
        <v>294.61</v>
      </c>
      <c r="H449" s="21">
        <f t="shared" si="40"/>
        <v>289.11</v>
      </c>
      <c r="I449" s="201"/>
    </row>
    <row r="450" spans="1:13" ht="31.5" x14ac:dyDescent="0.25">
      <c r="A450" s="25" t="s">
        <v>824</v>
      </c>
      <c r="B450" s="16">
        <v>903</v>
      </c>
      <c r="C450" s="20" t="s">
        <v>244</v>
      </c>
      <c r="D450" s="20" t="s">
        <v>215</v>
      </c>
      <c r="E450" s="20" t="s">
        <v>906</v>
      </c>
      <c r="F450" s="20"/>
      <c r="G450" s="26">
        <f t="shared" si="40"/>
        <v>294.61</v>
      </c>
      <c r="H450" s="26">
        <f t="shared" si="40"/>
        <v>289.11</v>
      </c>
      <c r="I450" s="201"/>
    </row>
    <row r="451" spans="1:13" ht="21.2" customHeight="1" x14ac:dyDescent="0.25">
      <c r="A451" s="25" t="s">
        <v>248</v>
      </c>
      <c r="B451" s="16">
        <v>903</v>
      </c>
      <c r="C451" s="20" t="s">
        <v>244</v>
      </c>
      <c r="D451" s="20" t="s">
        <v>215</v>
      </c>
      <c r="E451" s="20" t="s">
        <v>906</v>
      </c>
      <c r="F451" s="20" t="s">
        <v>249</v>
      </c>
      <c r="G451" s="26">
        <f>G452</f>
        <v>294.61</v>
      </c>
      <c r="H451" s="26">
        <f t="shared" si="40"/>
        <v>289.11</v>
      </c>
      <c r="I451" s="201"/>
    </row>
    <row r="452" spans="1:13" ht="31.5" x14ac:dyDescent="0.25">
      <c r="A452" s="25" t="s">
        <v>250</v>
      </c>
      <c r="B452" s="16">
        <v>903</v>
      </c>
      <c r="C452" s="20" t="s">
        <v>244</v>
      </c>
      <c r="D452" s="20" t="s">
        <v>215</v>
      </c>
      <c r="E452" s="20" t="s">
        <v>906</v>
      </c>
      <c r="F452" s="20" t="s">
        <v>251</v>
      </c>
      <c r="G452" s="26">
        <f>267.8+26.81</f>
        <v>294.61</v>
      </c>
      <c r="H452" s="26">
        <f>262.8+26.31</f>
        <v>289.11</v>
      </c>
      <c r="I452" s="201"/>
      <c r="L452">
        <v>26.81</v>
      </c>
      <c r="M452">
        <v>26.31</v>
      </c>
    </row>
    <row r="453" spans="1:13" ht="31.5" x14ac:dyDescent="0.25">
      <c r="A453" s="23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21">
        <f>G455+G458+G464</f>
        <v>1707</v>
      </c>
      <c r="H453" s="21">
        <f>H455+H458+H464</f>
        <v>1737</v>
      </c>
      <c r="I453" s="201"/>
    </row>
    <row r="454" spans="1:13" ht="31.5" x14ac:dyDescent="0.25">
      <c r="A454" s="23" t="s">
        <v>1038</v>
      </c>
      <c r="B454" s="19">
        <v>903</v>
      </c>
      <c r="C454" s="19">
        <v>10</v>
      </c>
      <c r="D454" s="24" t="s">
        <v>215</v>
      </c>
      <c r="E454" s="24" t="s">
        <v>913</v>
      </c>
      <c r="F454" s="24"/>
      <c r="G454" s="21">
        <f t="shared" ref="G454:H456" si="41">G455</f>
        <v>630</v>
      </c>
      <c r="H454" s="21">
        <f t="shared" si="41"/>
        <v>630</v>
      </c>
      <c r="I454" s="201"/>
    </row>
    <row r="455" spans="1:13" ht="47.25" x14ac:dyDescent="0.25">
      <c r="A455" s="98" t="s">
        <v>1039</v>
      </c>
      <c r="B455" s="16">
        <v>903</v>
      </c>
      <c r="C455" s="20" t="s">
        <v>244</v>
      </c>
      <c r="D455" s="20" t="s">
        <v>215</v>
      </c>
      <c r="E455" s="20" t="s">
        <v>1225</v>
      </c>
      <c r="F455" s="20"/>
      <c r="G455" s="26">
        <f t="shared" si="41"/>
        <v>630</v>
      </c>
      <c r="H455" s="26">
        <f t="shared" si="41"/>
        <v>630</v>
      </c>
      <c r="I455" s="201"/>
    </row>
    <row r="456" spans="1:13" ht="22.7" customHeight="1" x14ac:dyDescent="0.25">
      <c r="A456" s="25" t="s">
        <v>248</v>
      </c>
      <c r="B456" s="16">
        <v>903</v>
      </c>
      <c r="C456" s="20" t="s">
        <v>244</v>
      </c>
      <c r="D456" s="20" t="s">
        <v>215</v>
      </c>
      <c r="E456" s="20" t="s">
        <v>1225</v>
      </c>
      <c r="F456" s="20" t="s">
        <v>249</v>
      </c>
      <c r="G456" s="26">
        <f t="shared" si="41"/>
        <v>630</v>
      </c>
      <c r="H456" s="26">
        <f t="shared" si="41"/>
        <v>630</v>
      </c>
      <c r="I456" s="201"/>
    </row>
    <row r="457" spans="1:13" ht="31.5" x14ac:dyDescent="0.25">
      <c r="A457" s="25" t="s">
        <v>348</v>
      </c>
      <c r="B457" s="16">
        <v>903</v>
      </c>
      <c r="C457" s="20" t="s">
        <v>244</v>
      </c>
      <c r="D457" s="20" t="s">
        <v>215</v>
      </c>
      <c r="E457" s="20" t="s">
        <v>1225</v>
      </c>
      <c r="F457" s="20" t="s">
        <v>349</v>
      </c>
      <c r="G457" s="26">
        <v>630</v>
      </c>
      <c r="H457" s="26">
        <f t="shared" si="38"/>
        <v>630</v>
      </c>
      <c r="I457" s="201"/>
    </row>
    <row r="458" spans="1:13" ht="31.5" x14ac:dyDescent="0.25">
      <c r="A458" s="23" t="s">
        <v>1229</v>
      </c>
      <c r="B458" s="19">
        <v>903</v>
      </c>
      <c r="C458" s="19">
        <v>10</v>
      </c>
      <c r="D458" s="24" t="s">
        <v>215</v>
      </c>
      <c r="E458" s="24" t="s">
        <v>1227</v>
      </c>
      <c r="F458" s="24"/>
      <c r="G458" s="21">
        <f>G459+G462</f>
        <v>657</v>
      </c>
      <c r="H458" s="21">
        <f>H459+H462</f>
        <v>657</v>
      </c>
      <c r="I458" s="201"/>
    </row>
    <row r="459" spans="1:13" ht="31.5" x14ac:dyDescent="0.25">
      <c r="A459" s="25" t="s">
        <v>1226</v>
      </c>
      <c r="B459" s="16">
        <v>903</v>
      </c>
      <c r="C459" s="20" t="s">
        <v>244</v>
      </c>
      <c r="D459" s="20" t="s">
        <v>215</v>
      </c>
      <c r="E459" s="20" t="s">
        <v>1228</v>
      </c>
      <c r="F459" s="20"/>
      <c r="G459" s="26">
        <f>G460</f>
        <v>400</v>
      </c>
      <c r="H459" s="26">
        <f>H460</f>
        <v>400</v>
      </c>
      <c r="I459" s="201"/>
    </row>
    <row r="460" spans="1:13" ht="31.5" x14ac:dyDescent="0.25">
      <c r="A460" s="25" t="s">
        <v>131</v>
      </c>
      <c r="B460" s="16">
        <v>903</v>
      </c>
      <c r="C460" s="20" t="s">
        <v>244</v>
      </c>
      <c r="D460" s="20" t="s">
        <v>215</v>
      </c>
      <c r="E460" s="20" t="s">
        <v>1228</v>
      </c>
      <c r="F460" s="20" t="s">
        <v>132</v>
      </c>
      <c r="G460" s="26">
        <f>G461</f>
        <v>400</v>
      </c>
      <c r="H460" s="26">
        <f>H461</f>
        <v>400</v>
      </c>
      <c r="I460" s="201"/>
    </row>
    <row r="461" spans="1:13" ht="31.5" x14ac:dyDescent="0.25">
      <c r="A461" s="25" t="s">
        <v>133</v>
      </c>
      <c r="B461" s="16">
        <v>903</v>
      </c>
      <c r="C461" s="20" t="s">
        <v>244</v>
      </c>
      <c r="D461" s="20" t="s">
        <v>215</v>
      </c>
      <c r="E461" s="20" t="s">
        <v>1228</v>
      </c>
      <c r="F461" s="20" t="s">
        <v>134</v>
      </c>
      <c r="G461" s="26">
        <v>400</v>
      </c>
      <c r="H461" s="26">
        <f t="shared" si="38"/>
        <v>400</v>
      </c>
      <c r="I461" s="201"/>
    </row>
    <row r="462" spans="1:13" s="200" customFormat="1" ht="31.5" x14ac:dyDescent="0.25">
      <c r="A462" s="25" t="s">
        <v>248</v>
      </c>
      <c r="B462" s="16">
        <v>903</v>
      </c>
      <c r="C462" s="20" t="s">
        <v>244</v>
      </c>
      <c r="D462" s="20" t="s">
        <v>215</v>
      </c>
      <c r="E462" s="20" t="s">
        <v>1228</v>
      </c>
      <c r="F462" s="20" t="s">
        <v>249</v>
      </c>
      <c r="G462" s="26">
        <f>G463</f>
        <v>257</v>
      </c>
      <c r="H462" s="26">
        <f>H463</f>
        <v>257</v>
      </c>
      <c r="I462" s="201"/>
    </row>
    <row r="463" spans="1:13" s="200" customFormat="1" ht="31.5" x14ac:dyDescent="0.25">
      <c r="A463" s="25" t="s">
        <v>348</v>
      </c>
      <c r="B463" s="16">
        <v>903</v>
      </c>
      <c r="C463" s="20" t="s">
        <v>244</v>
      </c>
      <c r="D463" s="20" t="s">
        <v>215</v>
      </c>
      <c r="E463" s="20" t="s">
        <v>1228</v>
      </c>
      <c r="F463" s="20" t="s">
        <v>349</v>
      </c>
      <c r="G463" s="26">
        <v>257</v>
      </c>
      <c r="H463" s="26">
        <f t="shared" si="38"/>
        <v>257</v>
      </c>
      <c r="I463" s="201"/>
    </row>
    <row r="464" spans="1:13" ht="31.5" x14ac:dyDescent="0.25">
      <c r="A464" s="23" t="s">
        <v>997</v>
      </c>
      <c r="B464" s="19">
        <v>903</v>
      </c>
      <c r="C464" s="19">
        <v>10</v>
      </c>
      <c r="D464" s="24" t="s">
        <v>215</v>
      </c>
      <c r="E464" s="24" t="s">
        <v>1222</v>
      </c>
      <c r="F464" s="24"/>
      <c r="G464" s="21">
        <f>G465</f>
        <v>420</v>
      </c>
      <c r="H464" s="21">
        <f t="shared" ref="H464:H466" si="42">H465</f>
        <v>450</v>
      </c>
      <c r="I464" s="201"/>
    </row>
    <row r="465" spans="1:9" ht="15.75" x14ac:dyDescent="0.25">
      <c r="A465" s="25" t="s">
        <v>1036</v>
      </c>
      <c r="B465" s="16">
        <v>903</v>
      </c>
      <c r="C465" s="20" t="s">
        <v>244</v>
      </c>
      <c r="D465" s="20" t="s">
        <v>215</v>
      </c>
      <c r="E465" s="20" t="s">
        <v>1224</v>
      </c>
      <c r="F465" s="20"/>
      <c r="G465" s="26">
        <f>G466</f>
        <v>420</v>
      </c>
      <c r="H465" s="26">
        <f t="shared" si="42"/>
        <v>450</v>
      </c>
      <c r="I465" s="201"/>
    </row>
    <row r="466" spans="1:9" ht="17.45" customHeight="1" x14ac:dyDescent="0.25">
      <c r="A466" s="25" t="s">
        <v>248</v>
      </c>
      <c r="B466" s="16">
        <v>903</v>
      </c>
      <c r="C466" s="20" t="s">
        <v>244</v>
      </c>
      <c r="D466" s="20" t="s">
        <v>215</v>
      </c>
      <c r="E466" s="20" t="s">
        <v>1224</v>
      </c>
      <c r="F466" s="20" t="s">
        <v>249</v>
      </c>
      <c r="G466" s="26">
        <f>G467</f>
        <v>420</v>
      </c>
      <c r="H466" s="26">
        <f t="shared" si="42"/>
        <v>450</v>
      </c>
      <c r="I466" s="201"/>
    </row>
    <row r="467" spans="1:9" ht="31.5" x14ac:dyDescent="0.25">
      <c r="A467" s="25" t="s">
        <v>348</v>
      </c>
      <c r="B467" s="16">
        <v>903</v>
      </c>
      <c r="C467" s="20" t="s">
        <v>244</v>
      </c>
      <c r="D467" s="20" t="s">
        <v>215</v>
      </c>
      <c r="E467" s="20" t="s">
        <v>1224</v>
      </c>
      <c r="F467" s="20" t="s">
        <v>349</v>
      </c>
      <c r="G467" s="26">
        <v>420</v>
      </c>
      <c r="H467" s="26">
        <v>450</v>
      </c>
      <c r="I467" s="201"/>
    </row>
    <row r="468" spans="1:9" s="200" customFormat="1" ht="15.75" x14ac:dyDescent="0.25">
      <c r="A468" s="23" t="s">
        <v>582</v>
      </c>
      <c r="B468" s="19">
        <v>903</v>
      </c>
      <c r="C468" s="24" t="s">
        <v>238</v>
      </c>
      <c r="D468" s="20"/>
      <c r="E468" s="20"/>
      <c r="F468" s="20"/>
      <c r="G468" s="21">
        <f>G469</f>
        <v>5873.2</v>
      </c>
      <c r="H468" s="21">
        <f>H469</f>
        <v>5876.2</v>
      </c>
      <c r="I468" s="201"/>
    </row>
    <row r="469" spans="1:9" s="200" customFormat="1" ht="15.75" x14ac:dyDescent="0.25">
      <c r="A469" s="23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21">
        <f>G470+G483</f>
        <v>5873.2</v>
      </c>
      <c r="H469" s="21">
        <f>H470+H483</f>
        <v>5876.2</v>
      </c>
      <c r="I469" s="201"/>
    </row>
    <row r="470" spans="1:9" s="200" customFormat="1" ht="31.5" x14ac:dyDescent="0.25">
      <c r="A470" s="23" t="s">
        <v>1354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21">
        <f>G471+G479</f>
        <v>5798.3</v>
      </c>
      <c r="H470" s="21">
        <f>H471+H479</f>
        <v>5798.3</v>
      </c>
      <c r="I470" s="201"/>
    </row>
    <row r="471" spans="1:9" s="200" customFormat="1" ht="31.5" x14ac:dyDescent="0.25">
      <c r="A471" s="23" t="s">
        <v>1301</v>
      </c>
      <c r="B471" s="19">
        <v>903</v>
      </c>
      <c r="C471" s="24" t="s">
        <v>238</v>
      </c>
      <c r="D471" s="24" t="s">
        <v>213</v>
      </c>
      <c r="E471" s="24" t="s">
        <v>1204</v>
      </c>
      <c r="F471" s="24"/>
      <c r="G471" s="21">
        <f>G472</f>
        <v>5522.3</v>
      </c>
      <c r="H471" s="21">
        <f>H472</f>
        <v>5522.3</v>
      </c>
      <c r="I471" s="201"/>
    </row>
    <row r="472" spans="1:9" s="200" customFormat="1" ht="15.75" x14ac:dyDescent="0.25">
      <c r="A472" s="25" t="s">
        <v>801</v>
      </c>
      <c r="B472" s="16">
        <v>903</v>
      </c>
      <c r="C472" s="20" t="s">
        <v>238</v>
      </c>
      <c r="D472" s="20" t="s">
        <v>213</v>
      </c>
      <c r="E472" s="20" t="s">
        <v>1205</v>
      </c>
      <c r="F472" s="20"/>
      <c r="G472" s="26">
        <f>G473+G475+G477</f>
        <v>5522.3</v>
      </c>
      <c r="H472" s="26">
        <f>H473+H475+H477</f>
        <v>5522.3</v>
      </c>
      <c r="I472" s="201"/>
    </row>
    <row r="473" spans="1:9" s="200" customFormat="1" ht="78.75" x14ac:dyDescent="0.25">
      <c r="A473" s="25" t="s">
        <v>127</v>
      </c>
      <c r="B473" s="16">
        <v>903</v>
      </c>
      <c r="C473" s="20" t="s">
        <v>238</v>
      </c>
      <c r="D473" s="20" t="s">
        <v>213</v>
      </c>
      <c r="E473" s="20" t="s">
        <v>1205</v>
      </c>
      <c r="F473" s="20" t="s">
        <v>128</v>
      </c>
      <c r="G473" s="26">
        <f>G474</f>
        <v>4897.2</v>
      </c>
      <c r="H473" s="26">
        <f>H474</f>
        <v>4897.2</v>
      </c>
      <c r="I473" s="201"/>
    </row>
    <row r="474" spans="1:9" s="200" customFormat="1" ht="15.75" x14ac:dyDescent="0.25">
      <c r="A474" s="25" t="s">
        <v>208</v>
      </c>
      <c r="B474" s="16">
        <v>903</v>
      </c>
      <c r="C474" s="20" t="s">
        <v>238</v>
      </c>
      <c r="D474" s="20" t="s">
        <v>213</v>
      </c>
      <c r="E474" s="20" t="s">
        <v>1205</v>
      </c>
      <c r="F474" s="20" t="s">
        <v>209</v>
      </c>
      <c r="G474" s="27">
        <v>4897.2</v>
      </c>
      <c r="H474" s="27">
        <f>G474</f>
        <v>4897.2</v>
      </c>
      <c r="I474" s="201"/>
    </row>
    <row r="475" spans="1:9" s="200" customFormat="1" ht="31.5" x14ac:dyDescent="0.25">
      <c r="A475" s="25" t="s">
        <v>131</v>
      </c>
      <c r="B475" s="16">
        <v>903</v>
      </c>
      <c r="C475" s="20" t="s">
        <v>238</v>
      </c>
      <c r="D475" s="20" t="s">
        <v>213</v>
      </c>
      <c r="E475" s="20" t="s">
        <v>1205</v>
      </c>
      <c r="F475" s="20" t="s">
        <v>132</v>
      </c>
      <c r="G475" s="26">
        <f>G476</f>
        <v>595.1</v>
      </c>
      <c r="H475" s="26">
        <f>H476</f>
        <v>595.1</v>
      </c>
      <c r="I475" s="201"/>
    </row>
    <row r="476" spans="1:9" s="200" customFormat="1" ht="33.4" customHeight="1" x14ac:dyDescent="0.25">
      <c r="A476" s="25" t="s">
        <v>133</v>
      </c>
      <c r="B476" s="16">
        <v>903</v>
      </c>
      <c r="C476" s="20" t="s">
        <v>238</v>
      </c>
      <c r="D476" s="20" t="s">
        <v>213</v>
      </c>
      <c r="E476" s="20" t="s">
        <v>1205</v>
      </c>
      <c r="F476" s="20" t="s">
        <v>134</v>
      </c>
      <c r="G476" s="27">
        <v>595.1</v>
      </c>
      <c r="H476" s="27">
        <f>G476</f>
        <v>595.1</v>
      </c>
      <c r="I476" s="201"/>
    </row>
    <row r="477" spans="1:9" s="200" customFormat="1" ht="15.75" x14ac:dyDescent="0.25">
      <c r="A477" s="25" t="s">
        <v>135</v>
      </c>
      <c r="B477" s="16">
        <v>903</v>
      </c>
      <c r="C477" s="20" t="s">
        <v>238</v>
      </c>
      <c r="D477" s="20" t="s">
        <v>213</v>
      </c>
      <c r="E477" s="20" t="s">
        <v>1205</v>
      </c>
      <c r="F477" s="20" t="s">
        <v>145</v>
      </c>
      <c r="G477" s="26">
        <f>G478</f>
        <v>30</v>
      </c>
      <c r="H477" s="26">
        <f>H478</f>
        <v>30</v>
      </c>
      <c r="I477" s="201"/>
    </row>
    <row r="478" spans="1:9" s="200" customFormat="1" ht="15.75" x14ac:dyDescent="0.25">
      <c r="A478" s="25" t="s">
        <v>568</v>
      </c>
      <c r="B478" s="16">
        <v>903</v>
      </c>
      <c r="C478" s="20" t="s">
        <v>238</v>
      </c>
      <c r="D478" s="20" t="s">
        <v>213</v>
      </c>
      <c r="E478" s="20" t="s">
        <v>1205</v>
      </c>
      <c r="F478" s="20" t="s">
        <v>138</v>
      </c>
      <c r="G478" s="26">
        <v>30</v>
      </c>
      <c r="H478" s="26">
        <f>G478</f>
        <v>30</v>
      </c>
      <c r="I478" s="201"/>
    </row>
    <row r="479" spans="1:9" s="200" customFormat="1" ht="31.5" x14ac:dyDescent="0.25">
      <c r="A479" s="23" t="s">
        <v>947</v>
      </c>
      <c r="B479" s="19">
        <v>903</v>
      </c>
      <c r="C479" s="24" t="s">
        <v>238</v>
      </c>
      <c r="D479" s="24" t="s">
        <v>213</v>
      </c>
      <c r="E479" s="24" t="s">
        <v>1209</v>
      </c>
      <c r="F479" s="24"/>
      <c r="G479" s="21">
        <f t="shared" ref="G479:H481" si="43">G480</f>
        <v>276</v>
      </c>
      <c r="H479" s="21">
        <f t="shared" si="43"/>
        <v>276</v>
      </c>
      <c r="I479" s="201"/>
    </row>
    <row r="480" spans="1:9" s="200" customFormat="1" ht="47.25" x14ac:dyDescent="0.25">
      <c r="A480" s="25" t="s">
        <v>839</v>
      </c>
      <c r="B480" s="16">
        <v>903</v>
      </c>
      <c r="C480" s="20" t="s">
        <v>238</v>
      </c>
      <c r="D480" s="20" t="s">
        <v>213</v>
      </c>
      <c r="E480" s="20" t="s">
        <v>1210</v>
      </c>
      <c r="F480" s="20"/>
      <c r="G480" s="26">
        <f t="shared" si="43"/>
        <v>276</v>
      </c>
      <c r="H480" s="26">
        <f t="shared" si="43"/>
        <v>276</v>
      </c>
      <c r="I480" s="201"/>
    </row>
    <row r="481" spans="1:9" s="200" customFormat="1" ht="78.75" x14ac:dyDescent="0.25">
      <c r="A481" s="25" t="s">
        <v>127</v>
      </c>
      <c r="B481" s="16">
        <v>903</v>
      </c>
      <c r="C481" s="20" t="s">
        <v>238</v>
      </c>
      <c r="D481" s="20" t="s">
        <v>213</v>
      </c>
      <c r="E481" s="20" t="s">
        <v>1210</v>
      </c>
      <c r="F481" s="20" t="s">
        <v>128</v>
      </c>
      <c r="G481" s="26">
        <f t="shared" si="43"/>
        <v>276</v>
      </c>
      <c r="H481" s="26">
        <f t="shared" si="43"/>
        <v>276</v>
      </c>
      <c r="I481" s="201"/>
    </row>
    <row r="482" spans="1:9" s="200" customFormat="1" ht="15.75" x14ac:dyDescent="0.25">
      <c r="A482" s="25" t="s">
        <v>208</v>
      </c>
      <c r="B482" s="16">
        <v>903</v>
      </c>
      <c r="C482" s="20" t="s">
        <v>238</v>
      </c>
      <c r="D482" s="20" t="s">
        <v>213</v>
      </c>
      <c r="E482" s="20" t="s">
        <v>1210</v>
      </c>
      <c r="F482" s="20" t="s">
        <v>209</v>
      </c>
      <c r="G482" s="26">
        <v>276</v>
      </c>
      <c r="H482" s="26">
        <f>G482</f>
        <v>276</v>
      </c>
      <c r="I482" s="201"/>
    </row>
    <row r="483" spans="1:9" s="200" customFormat="1" ht="47.25" x14ac:dyDescent="0.25">
      <c r="A483" s="41" t="s">
        <v>1355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17"/>
      <c r="G483" s="21">
        <f>G485</f>
        <v>74.900000000000006</v>
      </c>
      <c r="H483" s="21">
        <f>H485</f>
        <v>77.900000000000006</v>
      </c>
      <c r="I483" s="201"/>
    </row>
    <row r="484" spans="1:9" s="200" customFormat="1" ht="47.25" x14ac:dyDescent="0.25">
      <c r="A484" s="41" t="s">
        <v>890</v>
      </c>
      <c r="B484" s="19">
        <v>903</v>
      </c>
      <c r="C484" s="24" t="s">
        <v>238</v>
      </c>
      <c r="D484" s="24" t="s">
        <v>213</v>
      </c>
      <c r="E484" s="24" t="s">
        <v>888</v>
      </c>
      <c r="F484" s="217"/>
      <c r="G484" s="21">
        <f t="shared" ref="G484:H486" si="44">G485</f>
        <v>74.900000000000006</v>
      </c>
      <c r="H484" s="21">
        <f t="shared" si="44"/>
        <v>77.900000000000006</v>
      </c>
      <c r="I484" s="201"/>
    </row>
    <row r="485" spans="1:9" s="200" customFormat="1" ht="29.25" customHeight="1" x14ac:dyDescent="0.25">
      <c r="A485" s="98" t="s">
        <v>1004</v>
      </c>
      <c r="B485" s="16">
        <v>903</v>
      </c>
      <c r="C485" s="20" t="s">
        <v>238</v>
      </c>
      <c r="D485" s="20" t="s">
        <v>213</v>
      </c>
      <c r="E485" s="20" t="s">
        <v>889</v>
      </c>
      <c r="F485" s="32"/>
      <c r="G485" s="26">
        <f t="shared" si="44"/>
        <v>74.900000000000006</v>
      </c>
      <c r="H485" s="26">
        <f t="shared" si="44"/>
        <v>77.900000000000006</v>
      </c>
      <c r="I485" s="201"/>
    </row>
    <row r="486" spans="1:9" s="200" customFormat="1" ht="31.5" x14ac:dyDescent="0.25">
      <c r="A486" s="25" t="s">
        <v>131</v>
      </c>
      <c r="B486" s="16">
        <v>903</v>
      </c>
      <c r="C486" s="20" t="s">
        <v>238</v>
      </c>
      <c r="D486" s="20" t="s">
        <v>213</v>
      </c>
      <c r="E486" s="20" t="s">
        <v>889</v>
      </c>
      <c r="F486" s="32" t="s">
        <v>132</v>
      </c>
      <c r="G486" s="26">
        <f t="shared" si="44"/>
        <v>74.900000000000006</v>
      </c>
      <c r="H486" s="26">
        <f t="shared" si="44"/>
        <v>77.900000000000006</v>
      </c>
      <c r="I486" s="201"/>
    </row>
    <row r="487" spans="1:9" s="200" customFormat="1" ht="30.6" customHeight="1" x14ac:dyDescent="0.25">
      <c r="A487" s="25" t="s">
        <v>133</v>
      </c>
      <c r="B487" s="16">
        <v>903</v>
      </c>
      <c r="C487" s="20" t="s">
        <v>238</v>
      </c>
      <c r="D487" s="20" t="s">
        <v>213</v>
      </c>
      <c r="E487" s="20" t="s">
        <v>889</v>
      </c>
      <c r="F487" s="32" t="s">
        <v>134</v>
      </c>
      <c r="G487" s="26">
        <v>74.900000000000006</v>
      </c>
      <c r="H487" s="26">
        <v>77.900000000000006</v>
      </c>
      <c r="I487" s="201"/>
    </row>
    <row r="488" spans="1:9" ht="47.25" x14ac:dyDescent="0.25">
      <c r="A488" s="19" t="s">
        <v>387</v>
      </c>
      <c r="B488" s="19">
        <v>905</v>
      </c>
      <c r="C488" s="20"/>
      <c r="D488" s="20"/>
      <c r="E488" s="20"/>
      <c r="F488" s="20"/>
      <c r="G488" s="21">
        <f>G489+G521+G531</f>
        <v>20108.5</v>
      </c>
      <c r="H488" s="21">
        <f>H489+H521+H531</f>
        <v>28442.600000000002</v>
      </c>
      <c r="I488" s="201"/>
    </row>
    <row r="489" spans="1:9" ht="15.75" x14ac:dyDescent="0.25">
      <c r="A489" s="23" t="s">
        <v>117</v>
      </c>
      <c r="B489" s="19">
        <v>905</v>
      </c>
      <c r="C489" s="24" t="s">
        <v>118</v>
      </c>
      <c r="D489" s="20"/>
      <c r="E489" s="20"/>
      <c r="F489" s="20"/>
      <c r="G489" s="21">
        <f>G490+G507</f>
        <v>17369</v>
      </c>
      <c r="H489" s="21">
        <f>H490+H507</f>
        <v>17369</v>
      </c>
      <c r="I489" s="201"/>
    </row>
    <row r="490" spans="1:9" ht="63" x14ac:dyDescent="0.25">
      <c r="A490" s="23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21">
        <f>G491</f>
        <v>12166.9</v>
      </c>
      <c r="H490" s="21">
        <f>H491</f>
        <v>12166.9</v>
      </c>
      <c r="I490" s="201"/>
    </row>
    <row r="491" spans="1:9" ht="31.5" x14ac:dyDescent="0.25">
      <c r="A491" s="23" t="s">
        <v>917</v>
      </c>
      <c r="B491" s="19">
        <v>905</v>
      </c>
      <c r="C491" s="24" t="s">
        <v>118</v>
      </c>
      <c r="D491" s="24" t="s">
        <v>150</v>
      </c>
      <c r="E491" s="24" t="s">
        <v>858</v>
      </c>
      <c r="F491" s="24"/>
      <c r="G491" s="21">
        <f>G492+G503</f>
        <v>12166.9</v>
      </c>
      <c r="H491" s="21">
        <f>H492+H503</f>
        <v>12166.9</v>
      </c>
      <c r="I491" s="201"/>
    </row>
    <row r="492" spans="1:9" ht="15.75" x14ac:dyDescent="0.25">
      <c r="A492" s="23" t="s">
        <v>918</v>
      </c>
      <c r="B492" s="19">
        <v>905</v>
      </c>
      <c r="C492" s="24" t="s">
        <v>118</v>
      </c>
      <c r="D492" s="24" t="s">
        <v>150</v>
      </c>
      <c r="E492" s="24" t="s">
        <v>859</v>
      </c>
      <c r="F492" s="24"/>
      <c r="G492" s="21">
        <f>G493+G500</f>
        <v>12144.6</v>
      </c>
      <c r="H492" s="21">
        <f>H493+H500</f>
        <v>12144.6</v>
      </c>
      <c r="I492" s="201"/>
    </row>
    <row r="493" spans="1:9" ht="31.5" x14ac:dyDescent="0.25">
      <c r="A493" s="25" t="s">
        <v>897</v>
      </c>
      <c r="B493" s="16">
        <v>905</v>
      </c>
      <c r="C493" s="20" t="s">
        <v>118</v>
      </c>
      <c r="D493" s="20" t="s">
        <v>150</v>
      </c>
      <c r="E493" s="20" t="s">
        <v>860</v>
      </c>
      <c r="F493" s="20"/>
      <c r="G493" s="26">
        <f>G494+G496+G498</f>
        <v>11682.6</v>
      </c>
      <c r="H493" s="26">
        <f>H494+H496+H498</f>
        <v>11682.6</v>
      </c>
      <c r="I493" s="201"/>
    </row>
    <row r="494" spans="1:9" ht="78.75" x14ac:dyDescent="0.25">
      <c r="A494" s="25" t="s">
        <v>127</v>
      </c>
      <c r="B494" s="16">
        <v>905</v>
      </c>
      <c r="C494" s="20" t="s">
        <v>118</v>
      </c>
      <c r="D494" s="20" t="s">
        <v>150</v>
      </c>
      <c r="E494" s="20" t="s">
        <v>860</v>
      </c>
      <c r="F494" s="20" t="s">
        <v>128</v>
      </c>
      <c r="G494" s="26">
        <f>G495</f>
        <v>11111.6</v>
      </c>
      <c r="H494" s="26">
        <f>H495</f>
        <v>11111.6</v>
      </c>
      <c r="I494" s="201"/>
    </row>
    <row r="495" spans="1:9" ht="31.5" x14ac:dyDescent="0.25">
      <c r="A495" s="25" t="s">
        <v>129</v>
      </c>
      <c r="B495" s="16">
        <v>905</v>
      </c>
      <c r="C495" s="20" t="s">
        <v>118</v>
      </c>
      <c r="D495" s="20" t="s">
        <v>150</v>
      </c>
      <c r="E495" s="20" t="s">
        <v>860</v>
      </c>
      <c r="F495" s="20" t="s">
        <v>130</v>
      </c>
      <c r="G495" s="26">
        <v>11111.6</v>
      </c>
      <c r="H495" s="26">
        <f t="shared" si="38"/>
        <v>11111.6</v>
      </c>
      <c r="I495" s="201"/>
    </row>
    <row r="496" spans="1:9" ht="31.5" x14ac:dyDescent="0.25">
      <c r="A496" s="25" t="s">
        <v>131</v>
      </c>
      <c r="B496" s="16">
        <v>905</v>
      </c>
      <c r="C496" s="20" t="s">
        <v>118</v>
      </c>
      <c r="D496" s="20" t="s">
        <v>150</v>
      </c>
      <c r="E496" s="20" t="s">
        <v>860</v>
      </c>
      <c r="F496" s="20" t="s">
        <v>132</v>
      </c>
      <c r="G496" s="26">
        <f>G497</f>
        <v>440</v>
      </c>
      <c r="H496" s="26">
        <f>H497</f>
        <v>440</v>
      </c>
      <c r="I496" s="201"/>
    </row>
    <row r="497" spans="1:9" ht="31.5" x14ac:dyDescent="0.25">
      <c r="A497" s="25" t="s">
        <v>133</v>
      </c>
      <c r="B497" s="16">
        <v>905</v>
      </c>
      <c r="C497" s="20" t="s">
        <v>118</v>
      </c>
      <c r="D497" s="20" t="s">
        <v>150</v>
      </c>
      <c r="E497" s="20" t="s">
        <v>860</v>
      </c>
      <c r="F497" s="20" t="s">
        <v>134</v>
      </c>
      <c r="G497" s="26">
        <f>440</f>
        <v>440</v>
      </c>
      <c r="H497" s="26">
        <f t="shared" si="38"/>
        <v>440</v>
      </c>
      <c r="I497" s="201"/>
    </row>
    <row r="498" spans="1:9" ht="15.75" x14ac:dyDescent="0.25">
      <c r="A498" s="25" t="s">
        <v>135</v>
      </c>
      <c r="B498" s="16">
        <v>905</v>
      </c>
      <c r="C498" s="20" t="s">
        <v>118</v>
      </c>
      <c r="D498" s="20" t="s">
        <v>150</v>
      </c>
      <c r="E498" s="20" t="s">
        <v>860</v>
      </c>
      <c r="F498" s="20" t="s">
        <v>145</v>
      </c>
      <c r="G498" s="26">
        <f>G499</f>
        <v>131</v>
      </c>
      <c r="H498" s="26">
        <f>H499</f>
        <v>131</v>
      </c>
      <c r="I498" s="201"/>
    </row>
    <row r="499" spans="1:9" ht="15.75" x14ac:dyDescent="0.25">
      <c r="A499" s="25" t="s">
        <v>568</v>
      </c>
      <c r="B499" s="16">
        <v>905</v>
      </c>
      <c r="C499" s="20" t="s">
        <v>118</v>
      </c>
      <c r="D499" s="20" t="s">
        <v>150</v>
      </c>
      <c r="E499" s="20" t="s">
        <v>860</v>
      </c>
      <c r="F499" s="20" t="s">
        <v>138</v>
      </c>
      <c r="G499" s="26">
        <f>131</f>
        <v>131</v>
      </c>
      <c r="H499" s="26">
        <f t="shared" si="38"/>
        <v>131</v>
      </c>
      <c r="I499" s="201"/>
    </row>
    <row r="500" spans="1:9" ht="47.25" x14ac:dyDescent="0.25">
      <c r="A500" s="25" t="s">
        <v>839</v>
      </c>
      <c r="B500" s="16">
        <v>905</v>
      </c>
      <c r="C500" s="20" t="s">
        <v>118</v>
      </c>
      <c r="D500" s="20" t="s">
        <v>150</v>
      </c>
      <c r="E500" s="20" t="s">
        <v>862</v>
      </c>
      <c r="F500" s="20"/>
      <c r="G500" s="26">
        <f>G501</f>
        <v>462</v>
      </c>
      <c r="H500" s="26">
        <f>H501</f>
        <v>462</v>
      </c>
      <c r="I500" s="201"/>
    </row>
    <row r="501" spans="1:9" ht="78.75" x14ac:dyDescent="0.25">
      <c r="A501" s="25" t="s">
        <v>127</v>
      </c>
      <c r="B501" s="16">
        <v>905</v>
      </c>
      <c r="C501" s="20" t="s">
        <v>118</v>
      </c>
      <c r="D501" s="20" t="s">
        <v>150</v>
      </c>
      <c r="E501" s="20" t="s">
        <v>862</v>
      </c>
      <c r="F501" s="20" t="s">
        <v>128</v>
      </c>
      <c r="G501" s="26">
        <f>G502</f>
        <v>462</v>
      </c>
      <c r="H501" s="26">
        <f>H502</f>
        <v>462</v>
      </c>
      <c r="I501" s="201"/>
    </row>
    <row r="502" spans="1:9" ht="31.5" x14ac:dyDescent="0.25">
      <c r="A502" s="25" t="s">
        <v>129</v>
      </c>
      <c r="B502" s="16">
        <v>905</v>
      </c>
      <c r="C502" s="20" t="s">
        <v>118</v>
      </c>
      <c r="D502" s="20" t="s">
        <v>150</v>
      </c>
      <c r="E502" s="20" t="s">
        <v>862</v>
      </c>
      <c r="F502" s="20" t="s">
        <v>130</v>
      </c>
      <c r="G502" s="26">
        <v>462</v>
      </c>
      <c r="H502" s="26">
        <f t="shared" ref="H502:H569" si="45">G502</f>
        <v>462</v>
      </c>
      <c r="I502" s="201"/>
    </row>
    <row r="503" spans="1:9" s="200" customFormat="1" ht="31.5" x14ac:dyDescent="0.25">
      <c r="A503" s="23" t="s">
        <v>885</v>
      </c>
      <c r="B503" s="19">
        <v>905</v>
      </c>
      <c r="C503" s="24" t="s">
        <v>118</v>
      </c>
      <c r="D503" s="24" t="s">
        <v>150</v>
      </c>
      <c r="E503" s="24" t="s">
        <v>863</v>
      </c>
      <c r="F503" s="24"/>
      <c r="G503" s="21">
        <f t="shared" ref="G503:H505" si="46">G504</f>
        <v>22.3</v>
      </c>
      <c r="H503" s="21">
        <f t="shared" si="46"/>
        <v>22.3</v>
      </c>
      <c r="I503" s="201"/>
    </row>
    <row r="504" spans="1:9" s="200" customFormat="1" ht="94.5" x14ac:dyDescent="0.25">
      <c r="A504" s="31" t="s">
        <v>1170</v>
      </c>
      <c r="B504" s="16">
        <v>905</v>
      </c>
      <c r="C504" s="20" t="s">
        <v>118</v>
      </c>
      <c r="D504" s="20" t="s">
        <v>150</v>
      </c>
      <c r="E504" s="20" t="s">
        <v>1169</v>
      </c>
      <c r="F504" s="20"/>
      <c r="G504" s="26">
        <f t="shared" si="46"/>
        <v>22.3</v>
      </c>
      <c r="H504" s="26">
        <f t="shared" si="46"/>
        <v>22.3</v>
      </c>
      <c r="I504" s="201"/>
    </row>
    <row r="505" spans="1:9" s="200" customFormat="1" ht="78.75" x14ac:dyDescent="0.25">
      <c r="A505" s="25" t="s">
        <v>127</v>
      </c>
      <c r="B505" s="16">
        <v>905</v>
      </c>
      <c r="C505" s="20" t="s">
        <v>118</v>
      </c>
      <c r="D505" s="20" t="s">
        <v>150</v>
      </c>
      <c r="E505" s="20" t="s">
        <v>1169</v>
      </c>
      <c r="F505" s="20" t="s">
        <v>128</v>
      </c>
      <c r="G505" s="26">
        <f>G506</f>
        <v>22.3</v>
      </c>
      <c r="H505" s="26">
        <f t="shared" si="46"/>
        <v>22.3</v>
      </c>
      <c r="I505" s="201"/>
    </row>
    <row r="506" spans="1:9" s="200" customFormat="1" ht="31.5" x14ac:dyDescent="0.25">
      <c r="A506" s="25" t="s">
        <v>129</v>
      </c>
      <c r="B506" s="16">
        <v>905</v>
      </c>
      <c r="C506" s="20" t="s">
        <v>118</v>
      </c>
      <c r="D506" s="20" t="s">
        <v>150</v>
      </c>
      <c r="E506" s="20" t="s">
        <v>1169</v>
      </c>
      <c r="F506" s="20" t="s">
        <v>130</v>
      </c>
      <c r="G506" s="26">
        <v>22.3</v>
      </c>
      <c r="H506" s="26">
        <v>22.3</v>
      </c>
      <c r="I506" s="201"/>
    </row>
    <row r="507" spans="1:9" ht="15.75" x14ac:dyDescent="0.25">
      <c r="A507" s="23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21">
        <f>G508+G516</f>
        <v>5202.1000000000004</v>
      </c>
      <c r="H507" s="21">
        <f>H508+H516</f>
        <v>5202.1000000000004</v>
      </c>
      <c r="I507" s="201"/>
    </row>
    <row r="508" spans="1:9" ht="15.75" x14ac:dyDescent="0.25">
      <c r="A508" s="23" t="s">
        <v>141</v>
      </c>
      <c r="B508" s="19">
        <v>905</v>
      </c>
      <c r="C508" s="24" t="s">
        <v>118</v>
      </c>
      <c r="D508" s="24" t="s">
        <v>140</v>
      </c>
      <c r="E508" s="24" t="s">
        <v>866</v>
      </c>
      <c r="F508" s="24"/>
      <c r="G508" s="21">
        <f>G509</f>
        <v>5202.1000000000004</v>
      </c>
      <c r="H508" s="21">
        <f>H509</f>
        <v>5202.1000000000004</v>
      </c>
      <c r="I508" s="201"/>
    </row>
    <row r="509" spans="1:9" ht="31.5" x14ac:dyDescent="0.25">
      <c r="A509" s="23" t="s">
        <v>870</v>
      </c>
      <c r="B509" s="19">
        <v>905</v>
      </c>
      <c r="C509" s="24" t="s">
        <v>118</v>
      </c>
      <c r="D509" s="24" t="s">
        <v>140</v>
      </c>
      <c r="E509" s="24" t="s">
        <v>865</v>
      </c>
      <c r="F509" s="24"/>
      <c r="G509" s="21">
        <f>G510+G513</f>
        <v>5202.1000000000004</v>
      </c>
      <c r="H509" s="21">
        <f>H510+H513</f>
        <v>5202.1000000000004</v>
      </c>
      <c r="I509" s="201"/>
    </row>
    <row r="510" spans="1:9" ht="47.25" x14ac:dyDescent="0.25">
      <c r="A510" s="25" t="s">
        <v>388</v>
      </c>
      <c r="B510" s="16">
        <v>905</v>
      </c>
      <c r="C510" s="20" t="s">
        <v>118</v>
      </c>
      <c r="D510" s="20" t="s">
        <v>140</v>
      </c>
      <c r="E510" s="20" t="s">
        <v>1011</v>
      </c>
      <c r="F510" s="20"/>
      <c r="G510" s="26">
        <f>G511</f>
        <v>5202.1000000000004</v>
      </c>
      <c r="H510" s="26">
        <f>H511</f>
        <v>5202.1000000000004</v>
      </c>
      <c r="I510" s="201"/>
    </row>
    <row r="511" spans="1:9" ht="31.5" x14ac:dyDescent="0.25">
      <c r="A511" s="25" t="s">
        <v>131</v>
      </c>
      <c r="B511" s="16">
        <v>905</v>
      </c>
      <c r="C511" s="20" t="s">
        <v>118</v>
      </c>
      <c r="D511" s="20" t="s">
        <v>140</v>
      </c>
      <c r="E511" s="20" t="s">
        <v>1011</v>
      </c>
      <c r="F511" s="20" t="s">
        <v>132</v>
      </c>
      <c r="G511" s="26">
        <f>G512</f>
        <v>5202.1000000000004</v>
      </c>
      <c r="H511" s="26">
        <f>H512</f>
        <v>5202.1000000000004</v>
      </c>
      <c r="I511" s="201"/>
    </row>
    <row r="512" spans="1:9" ht="35.450000000000003" customHeight="1" x14ac:dyDescent="0.25">
      <c r="A512" s="25" t="s">
        <v>133</v>
      </c>
      <c r="B512" s="16">
        <v>905</v>
      </c>
      <c r="C512" s="20" t="s">
        <v>118</v>
      </c>
      <c r="D512" s="20" t="s">
        <v>140</v>
      </c>
      <c r="E512" s="20" t="s">
        <v>1011</v>
      </c>
      <c r="F512" s="20" t="s">
        <v>134</v>
      </c>
      <c r="G512" s="26">
        <v>5202.1000000000004</v>
      </c>
      <c r="H512" s="26">
        <f t="shared" si="45"/>
        <v>5202.1000000000004</v>
      </c>
      <c r="I512" s="201"/>
    </row>
    <row r="513" spans="1:9" ht="31.5" hidden="1" x14ac:dyDescent="0.25">
      <c r="A513" s="25" t="s">
        <v>931</v>
      </c>
      <c r="B513" s="16">
        <v>905</v>
      </c>
      <c r="C513" s="20" t="s">
        <v>118</v>
      </c>
      <c r="D513" s="20" t="s">
        <v>140</v>
      </c>
      <c r="E513" s="20" t="s">
        <v>1012</v>
      </c>
      <c r="F513" s="20"/>
      <c r="G513" s="26">
        <f>'Пр.4 ведом.21'!G537</f>
        <v>0</v>
      </c>
      <c r="H513" s="26">
        <f t="shared" si="45"/>
        <v>0</v>
      </c>
      <c r="I513" s="201"/>
    </row>
    <row r="514" spans="1:9" ht="31.5" hidden="1" x14ac:dyDescent="0.25">
      <c r="A514" s="25" t="s">
        <v>131</v>
      </c>
      <c r="B514" s="16">
        <v>905</v>
      </c>
      <c r="C514" s="20" t="s">
        <v>118</v>
      </c>
      <c r="D514" s="20" t="s">
        <v>140</v>
      </c>
      <c r="E514" s="20" t="s">
        <v>1012</v>
      </c>
      <c r="F514" s="20" t="s">
        <v>132</v>
      </c>
      <c r="G514" s="26">
        <f>'Пр.4 ведом.21'!G538</f>
        <v>0</v>
      </c>
      <c r="H514" s="26">
        <f t="shared" si="45"/>
        <v>0</v>
      </c>
      <c r="I514" s="201"/>
    </row>
    <row r="515" spans="1:9" ht="31.5" hidden="1" x14ac:dyDescent="0.25">
      <c r="A515" s="25" t="s">
        <v>133</v>
      </c>
      <c r="B515" s="16">
        <v>905</v>
      </c>
      <c r="C515" s="20" t="s">
        <v>118</v>
      </c>
      <c r="D515" s="20" t="s">
        <v>140</v>
      </c>
      <c r="E515" s="20" t="s">
        <v>1012</v>
      </c>
      <c r="F515" s="20" t="s">
        <v>134</v>
      </c>
      <c r="G515" s="26">
        <f>'Пр.4 ведом.21'!G539</f>
        <v>0</v>
      </c>
      <c r="H515" s="26">
        <f t="shared" si="45"/>
        <v>0</v>
      </c>
      <c r="I515" s="201"/>
    </row>
    <row r="516" spans="1:9" ht="63" hidden="1" x14ac:dyDescent="0.25">
      <c r="A516" s="23" t="s">
        <v>1178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21">
        <f t="shared" ref="G516:H519" si="47">G517</f>
        <v>0</v>
      </c>
      <c r="H516" s="21">
        <f t="shared" si="47"/>
        <v>0</v>
      </c>
      <c r="I516" s="201"/>
    </row>
    <row r="517" spans="1:9" ht="31.5" hidden="1" x14ac:dyDescent="0.25">
      <c r="A517" s="23" t="s">
        <v>930</v>
      </c>
      <c r="B517" s="19">
        <v>905</v>
      </c>
      <c r="C517" s="24" t="s">
        <v>118</v>
      </c>
      <c r="D517" s="24" t="s">
        <v>140</v>
      </c>
      <c r="E517" s="24" t="s">
        <v>1020</v>
      </c>
      <c r="F517" s="24"/>
      <c r="G517" s="21">
        <f t="shared" si="47"/>
        <v>0</v>
      </c>
      <c r="H517" s="21">
        <f t="shared" si="47"/>
        <v>0</v>
      </c>
      <c r="I517" s="201"/>
    </row>
    <row r="518" spans="1:9" ht="31.5" hidden="1" x14ac:dyDescent="0.25">
      <c r="A518" s="25" t="s">
        <v>790</v>
      </c>
      <c r="B518" s="16">
        <v>905</v>
      </c>
      <c r="C518" s="20" t="s">
        <v>118</v>
      </c>
      <c r="D518" s="20" t="s">
        <v>140</v>
      </c>
      <c r="E518" s="20" t="s">
        <v>1021</v>
      </c>
      <c r="F518" s="20"/>
      <c r="G518" s="26">
        <f t="shared" si="47"/>
        <v>0</v>
      </c>
      <c r="H518" s="26">
        <f t="shared" si="47"/>
        <v>0</v>
      </c>
      <c r="I518" s="201"/>
    </row>
    <row r="519" spans="1:9" ht="31.5" hidden="1" x14ac:dyDescent="0.25">
      <c r="A519" s="25" t="s">
        <v>131</v>
      </c>
      <c r="B519" s="16">
        <v>905</v>
      </c>
      <c r="C519" s="20" t="s">
        <v>118</v>
      </c>
      <c r="D519" s="20" t="s">
        <v>140</v>
      </c>
      <c r="E519" s="20" t="s">
        <v>1021</v>
      </c>
      <c r="F519" s="20" t="s">
        <v>132</v>
      </c>
      <c r="G519" s="26">
        <f t="shared" si="47"/>
        <v>0</v>
      </c>
      <c r="H519" s="26">
        <f t="shared" si="47"/>
        <v>0</v>
      </c>
      <c r="I519" s="201"/>
    </row>
    <row r="520" spans="1:9" ht="31.5" hidden="1" x14ac:dyDescent="0.25">
      <c r="A520" s="25" t="s">
        <v>133</v>
      </c>
      <c r="B520" s="16">
        <v>905</v>
      </c>
      <c r="C520" s="20" t="s">
        <v>118</v>
      </c>
      <c r="D520" s="20" t="s">
        <v>140</v>
      </c>
      <c r="E520" s="20" t="s">
        <v>1021</v>
      </c>
      <c r="F520" s="20" t="s">
        <v>134</v>
      </c>
      <c r="G520" s="26">
        <v>0</v>
      </c>
      <c r="H520" s="26">
        <v>0</v>
      </c>
      <c r="I520" s="201"/>
    </row>
    <row r="521" spans="1:9" ht="15.75" x14ac:dyDescent="0.25">
      <c r="A521" s="41" t="s">
        <v>390</v>
      </c>
      <c r="B521" s="19">
        <v>905</v>
      </c>
      <c r="C521" s="24" t="s">
        <v>234</v>
      </c>
      <c r="D521" s="24"/>
      <c r="E521" s="24"/>
      <c r="F521" s="24"/>
      <c r="G521" s="21">
        <f t="shared" ref="G521:H523" si="48">G522</f>
        <v>270.39999999999998</v>
      </c>
      <c r="H521" s="21">
        <f t="shared" si="48"/>
        <v>270.39999999999998</v>
      </c>
      <c r="I521" s="201"/>
    </row>
    <row r="522" spans="1:9" ht="15.75" x14ac:dyDescent="0.25">
      <c r="A522" s="41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21">
        <f t="shared" si="48"/>
        <v>270.39999999999998</v>
      </c>
      <c r="H522" s="21">
        <f t="shared" si="48"/>
        <v>270.39999999999998</v>
      </c>
      <c r="I522" s="201"/>
    </row>
    <row r="523" spans="1:9" ht="15.75" x14ac:dyDescent="0.25">
      <c r="A523" s="23" t="s">
        <v>141</v>
      </c>
      <c r="B523" s="19">
        <v>905</v>
      </c>
      <c r="C523" s="24" t="s">
        <v>234</v>
      </c>
      <c r="D523" s="24" t="s">
        <v>118</v>
      </c>
      <c r="E523" s="24" t="s">
        <v>866</v>
      </c>
      <c r="F523" s="24"/>
      <c r="G523" s="21">
        <f t="shared" si="48"/>
        <v>270.39999999999998</v>
      </c>
      <c r="H523" s="21">
        <f t="shared" si="48"/>
        <v>270.39999999999998</v>
      </c>
      <c r="I523" s="201"/>
    </row>
    <row r="524" spans="1:9" ht="31.5" x14ac:dyDescent="0.25">
      <c r="A524" s="23" t="s">
        <v>870</v>
      </c>
      <c r="B524" s="19">
        <v>905</v>
      </c>
      <c r="C524" s="24" t="s">
        <v>234</v>
      </c>
      <c r="D524" s="24" t="s">
        <v>118</v>
      </c>
      <c r="E524" s="24" t="s">
        <v>865</v>
      </c>
      <c r="F524" s="24"/>
      <c r="G524" s="21">
        <f>G525+G528</f>
        <v>270.39999999999998</v>
      </c>
      <c r="H524" s="21">
        <f>H525+H528</f>
        <v>270.39999999999998</v>
      </c>
      <c r="I524" s="201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961</v>
      </c>
      <c r="F525" s="20"/>
      <c r="G525" s="26">
        <f>G526</f>
        <v>270.39999999999998</v>
      </c>
      <c r="H525" s="26">
        <f>H526</f>
        <v>270.39999999999998</v>
      </c>
      <c r="I525" s="201"/>
    </row>
    <row r="526" spans="1:9" ht="31.5" x14ac:dyDescent="0.25">
      <c r="A526" s="25" t="s">
        <v>131</v>
      </c>
      <c r="B526" s="16">
        <v>905</v>
      </c>
      <c r="C526" s="20" t="s">
        <v>234</v>
      </c>
      <c r="D526" s="20" t="s">
        <v>118</v>
      </c>
      <c r="E526" s="20" t="s">
        <v>961</v>
      </c>
      <c r="F526" s="20" t="s">
        <v>132</v>
      </c>
      <c r="G526" s="26">
        <f>G527</f>
        <v>270.39999999999998</v>
      </c>
      <c r="H526" s="26">
        <f>H527</f>
        <v>270.39999999999998</v>
      </c>
      <c r="I526" s="201"/>
    </row>
    <row r="527" spans="1:9" ht="31.5" x14ac:dyDescent="0.25">
      <c r="A527" s="25" t="s">
        <v>133</v>
      </c>
      <c r="B527" s="16">
        <v>905</v>
      </c>
      <c r="C527" s="20" t="s">
        <v>234</v>
      </c>
      <c r="D527" s="20" t="s">
        <v>118</v>
      </c>
      <c r="E527" s="20" t="s">
        <v>961</v>
      </c>
      <c r="F527" s="20" t="s">
        <v>134</v>
      </c>
      <c r="G527" s="26">
        <f>270.4</f>
        <v>270.39999999999998</v>
      </c>
      <c r="H527" s="26">
        <f t="shared" si="45"/>
        <v>270.39999999999998</v>
      </c>
      <c r="I527" s="201"/>
    </row>
    <row r="528" spans="1:9" ht="31.5" hidden="1" x14ac:dyDescent="0.25">
      <c r="A528" s="29" t="s">
        <v>932</v>
      </c>
      <c r="B528" s="16">
        <v>905</v>
      </c>
      <c r="C528" s="20" t="s">
        <v>234</v>
      </c>
      <c r="D528" s="20" t="s">
        <v>118</v>
      </c>
      <c r="E528" s="20" t="s">
        <v>962</v>
      </c>
      <c r="F528" s="20"/>
      <c r="G528" s="26">
        <f>G529</f>
        <v>0</v>
      </c>
      <c r="H528" s="26">
        <f>H529</f>
        <v>0</v>
      </c>
      <c r="I528" s="201"/>
    </row>
    <row r="529" spans="1:15" ht="31.5" hidden="1" x14ac:dyDescent="0.25">
      <c r="A529" s="25" t="s">
        <v>131</v>
      </c>
      <c r="B529" s="16">
        <v>905</v>
      </c>
      <c r="C529" s="20" t="s">
        <v>234</v>
      </c>
      <c r="D529" s="20" t="s">
        <v>118</v>
      </c>
      <c r="E529" s="20" t="s">
        <v>962</v>
      </c>
      <c r="F529" s="20" t="s">
        <v>132</v>
      </c>
      <c r="G529" s="26">
        <f>G530</f>
        <v>0</v>
      </c>
      <c r="H529" s="26">
        <f>H530</f>
        <v>0</v>
      </c>
      <c r="I529" s="201"/>
    </row>
    <row r="530" spans="1:15" ht="31.5" hidden="1" x14ac:dyDescent="0.25">
      <c r="A530" s="25" t="s">
        <v>133</v>
      </c>
      <c r="B530" s="16">
        <v>905</v>
      </c>
      <c r="C530" s="20" t="s">
        <v>234</v>
      </c>
      <c r="D530" s="20" t="s">
        <v>118</v>
      </c>
      <c r="E530" s="20" t="s">
        <v>962</v>
      </c>
      <c r="F530" s="20" t="s">
        <v>134</v>
      </c>
      <c r="G530" s="26">
        <v>0</v>
      </c>
      <c r="H530" s="26">
        <v>0</v>
      </c>
      <c r="I530" s="201"/>
    </row>
    <row r="531" spans="1:15" s="200" customFormat="1" ht="15.75" x14ac:dyDescent="0.25">
      <c r="A531" s="23" t="s">
        <v>243</v>
      </c>
      <c r="B531" s="19">
        <v>905</v>
      </c>
      <c r="C531" s="24" t="s">
        <v>244</v>
      </c>
      <c r="D531" s="20"/>
      <c r="E531" s="20"/>
      <c r="F531" s="20"/>
      <c r="G531" s="21">
        <f t="shared" ref="G531:H535" si="49">G532</f>
        <v>2469.1</v>
      </c>
      <c r="H531" s="21">
        <f t="shared" si="49"/>
        <v>10803.2</v>
      </c>
      <c r="I531" s="201"/>
    </row>
    <row r="532" spans="1:15" s="200" customFormat="1" ht="15.75" x14ac:dyDescent="0.25">
      <c r="A532" s="23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21">
        <f t="shared" si="49"/>
        <v>2469.1</v>
      </c>
      <c r="H532" s="21">
        <f t="shared" si="49"/>
        <v>10803.2</v>
      </c>
      <c r="I532" s="201"/>
    </row>
    <row r="533" spans="1:15" s="200" customFormat="1" ht="31.5" x14ac:dyDescent="0.25">
      <c r="A533" s="23" t="s">
        <v>885</v>
      </c>
      <c r="B533" s="19">
        <v>905</v>
      </c>
      <c r="C533" s="24" t="s">
        <v>244</v>
      </c>
      <c r="D533" s="24" t="s">
        <v>150</v>
      </c>
      <c r="E533" s="24" t="s">
        <v>863</v>
      </c>
      <c r="F533" s="20"/>
      <c r="G533" s="21">
        <f t="shared" si="49"/>
        <v>2469.1</v>
      </c>
      <c r="H533" s="21">
        <f t="shared" si="49"/>
        <v>10803.2</v>
      </c>
      <c r="I533" s="201"/>
    </row>
    <row r="534" spans="1:15" s="200" customFormat="1" ht="47.25" x14ac:dyDescent="0.25">
      <c r="A534" s="25" t="s">
        <v>1172</v>
      </c>
      <c r="B534" s="16">
        <v>905</v>
      </c>
      <c r="C534" s="20" t="s">
        <v>244</v>
      </c>
      <c r="D534" s="20" t="s">
        <v>150</v>
      </c>
      <c r="E534" s="20" t="s">
        <v>1171</v>
      </c>
      <c r="F534" s="20"/>
      <c r="G534" s="26">
        <f t="shared" si="49"/>
        <v>2469.1</v>
      </c>
      <c r="H534" s="26">
        <f t="shared" si="49"/>
        <v>10803.2</v>
      </c>
      <c r="I534" s="201"/>
    </row>
    <row r="535" spans="1:15" s="200" customFormat="1" ht="31.5" x14ac:dyDescent="0.25">
      <c r="A535" s="25" t="s">
        <v>131</v>
      </c>
      <c r="B535" s="16">
        <v>905</v>
      </c>
      <c r="C535" s="20" t="s">
        <v>244</v>
      </c>
      <c r="D535" s="20" t="s">
        <v>150</v>
      </c>
      <c r="E535" s="20" t="s">
        <v>1171</v>
      </c>
      <c r="F535" s="20" t="s">
        <v>132</v>
      </c>
      <c r="G535" s="26">
        <f t="shared" si="49"/>
        <v>2469.1</v>
      </c>
      <c r="H535" s="26">
        <f t="shared" si="49"/>
        <v>10803.2</v>
      </c>
      <c r="I535" s="201"/>
    </row>
    <row r="536" spans="1:15" s="200" customFormat="1" ht="32.65" customHeight="1" x14ac:dyDescent="0.25">
      <c r="A536" s="25" t="s">
        <v>133</v>
      </c>
      <c r="B536" s="16">
        <v>905</v>
      </c>
      <c r="C536" s="20" t="s">
        <v>244</v>
      </c>
      <c r="D536" s="20" t="s">
        <v>150</v>
      </c>
      <c r="E536" s="20" t="s">
        <v>1171</v>
      </c>
      <c r="F536" s="20" t="s">
        <v>134</v>
      </c>
      <c r="G536" s="26">
        <v>2469.1</v>
      </c>
      <c r="H536" s="26">
        <v>10803.2</v>
      </c>
      <c r="I536" s="201"/>
    </row>
    <row r="537" spans="1:15" ht="31.5" x14ac:dyDescent="0.25">
      <c r="A537" s="19" t="s">
        <v>403</v>
      </c>
      <c r="B537" s="19">
        <v>906</v>
      </c>
      <c r="C537" s="24"/>
      <c r="D537" s="24"/>
      <c r="E537" s="24"/>
      <c r="F537" s="24"/>
      <c r="G537" s="21">
        <f>G548+G538</f>
        <v>347296.19999999995</v>
      </c>
      <c r="H537" s="21">
        <f>H548+H538</f>
        <v>370350.95</v>
      </c>
      <c r="I537" s="201"/>
      <c r="M537" s="22"/>
      <c r="O537" s="227"/>
    </row>
    <row r="538" spans="1:15" ht="15.75" hidden="1" x14ac:dyDescent="0.25">
      <c r="A538" s="23" t="s">
        <v>117</v>
      </c>
      <c r="B538" s="19">
        <v>906</v>
      </c>
      <c r="C538" s="24" t="s">
        <v>118</v>
      </c>
      <c r="D538" s="24"/>
      <c r="E538" s="24"/>
      <c r="F538" s="24"/>
      <c r="G538" s="21">
        <f t="shared" ref="G538:H541" si="50">G539</f>
        <v>0</v>
      </c>
      <c r="H538" s="21">
        <f t="shared" si="50"/>
        <v>0</v>
      </c>
      <c r="I538" s="201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21">
        <f t="shared" si="50"/>
        <v>0</v>
      </c>
      <c r="H539" s="21">
        <f t="shared" si="50"/>
        <v>0</v>
      </c>
      <c r="I539" s="201"/>
    </row>
    <row r="540" spans="1:15" ht="47.25" hidden="1" x14ac:dyDescent="0.25">
      <c r="A540" s="23" t="s">
        <v>1358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21">
        <f t="shared" si="50"/>
        <v>0</v>
      </c>
      <c r="H540" s="21">
        <f t="shared" si="50"/>
        <v>0</v>
      </c>
      <c r="I540" s="201"/>
    </row>
    <row r="541" spans="1:15" ht="31.5" hidden="1" x14ac:dyDescent="0.25">
      <c r="A541" s="208" t="s">
        <v>1050</v>
      </c>
      <c r="B541" s="19">
        <v>906</v>
      </c>
      <c r="C541" s="24" t="s">
        <v>118</v>
      </c>
      <c r="D541" s="24" t="s">
        <v>140</v>
      </c>
      <c r="E541" s="24" t="s">
        <v>1051</v>
      </c>
      <c r="F541" s="24"/>
      <c r="G541" s="21">
        <f t="shared" si="50"/>
        <v>0</v>
      </c>
      <c r="H541" s="21">
        <f t="shared" si="50"/>
        <v>0</v>
      </c>
      <c r="I541" s="201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1052</v>
      </c>
      <c r="F542" s="20"/>
      <c r="G542" s="26">
        <f>G543</f>
        <v>0</v>
      </c>
      <c r="H542" s="26">
        <f>H543</f>
        <v>0</v>
      </c>
      <c r="I542" s="201"/>
    </row>
    <row r="543" spans="1:15" ht="31.5" hidden="1" x14ac:dyDescent="0.25">
      <c r="A543" s="25" t="s">
        <v>131</v>
      </c>
      <c r="B543" s="16">
        <v>906</v>
      </c>
      <c r="C543" s="20" t="s">
        <v>118</v>
      </c>
      <c r="D543" s="20" t="s">
        <v>140</v>
      </c>
      <c r="E543" s="20" t="s">
        <v>1052</v>
      </c>
      <c r="F543" s="20" t="s">
        <v>132</v>
      </c>
      <c r="G543" s="26">
        <f>G544</f>
        <v>0</v>
      </c>
      <c r="H543" s="26">
        <f>H544</f>
        <v>0</v>
      </c>
      <c r="I543" s="201"/>
    </row>
    <row r="544" spans="1:15" ht="31.5" hidden="1" x14ac:dyDescent="0.25">
      <c r="A544" s="25" t="s">
        <v>133</v>
      </c>
      <c r="B544" s="16">
        <v>906</v>
      </c>
      <c r="C544" s="20" t="s">
        <v>118</v>
      </c>
      <c r="D544" s="20" t="s">
        <v>140</v>
      </c>
      <c r="E544" s="20" t="s">
        <v>1052</v>
      </c>
      <c r="F544" s="20" t="s">
        <v>134</v>
      </c>
      <c r="G544" s="26">
        <v>0</v>
      </c>
      <c r="H544" s="26">
        <v>0</v>
      </c>
      <c r="I544" s="201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1074</v>
      </c>
      <c r="F545" s="20"/>
      <c r="G545" s="26" t="e">
        <f>'Пр.4 ведом.21'!#REF!</f>
        <v>#REF!</v>
      </c>
      <c r="H545" s="26" t="e">
        <f t="shared" si="45"/>
        <v>#REF!</v>
      </c>
      <c r="I545" s="201"/>
    </row>
    <row r="546" spans="1:9" ht="31.5" hidden="1" x14ac:dyDescent="0.25">
      <c r="A546" s="25" t="s">
        <v>131</v>
      </c>
      <c r="B546" s="16">
        <v>906</v>
      </c>
      <c r="C546" s="20" t="s">
        <v>118</v>
      </c>
      <c r="D546" s="20" t="s">
        <v>140</v>
      </c>
      <c r="E546" s="20" t="s">
        <v>1074</v>
      </c>
      <c r="F546" s="20" t="s">
        <v>132</v>
      </c>
      <c r="G546" s="26" t="e">
        <f>'Пр.4 ведом.21'!#REF!</f>
        <v>#REF!</v>
      </c>
      <c r="H546" s="26" t="e">
        <f t="shared" si="45"/>
        <v>#REF!</v>
      </c>
      <c r="I546" s="201"/>
    </row>
    <row r="547" spans="1:9" ht="31.5" hidden="1" x14ac:dyDescent="0.25">
      <c r="A547" s="25" t="s">
        <v>133</v>
      </c>
      <c r="B547" s="16">
        <v>906</v>
      </c>
      <c r="C547" s="20" t="s">
        <v>118</v>
      </c>
      <c r="D547" s="20" t="s">
        <v>140</v>
      </c>
      <c r="E547" s="20" t="s">
        <v>1074</v>
      </c>
      <c r="F547" s="20" t="s">
        <v>134</v>
      </c>
      <c r="G547" s="26" t="e">
        <f>'Пр.4 ведом.21'!#REF!</f>
        <v>#REF!</v>
      </c>
      <c r="H547" s="26" t="e">
        <f t="shared" si="45"/>
        <v>#REF!</v>
      </c>
      <c r="I547" s="201"/>
    </row>
    <row r="548" spans="1:9" ht="15.75" x14ac:dyDescent="0.25">
      <c r="A548" s="23" t="s">
        <v>263</v>
      </c>
      <c r="B548" s="19">
        <v>906</v>
      </c>
      <c r="C548" s="24" t="s">
        <v>264</v>
      </c>
      <c r="D548" s="24"/>
      <c r="E548" s="24"/>
      <c r="F548" s="24"/>
      <c r="G548" s="21">
        <f>G549+G609+G720+G729+G691</f>
        <v>347296.19999999995</v>
      </c>
      <c r="H548" s="21">
        <f>H549+H609+H720+H729+H691</f>
        <v>370350.95</v>
      </c>
      <c r="I548" s="201"/>
    </row>
    <row r="549" spans="1:9" ht="15.75" x14ac:dyDescent="0.25">
      <c r="A549" s="23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21">
        <f>G550+G599+G604</f>
        <v>102807.3</v>
      </c>
      <c r="H549" s="21">
        <f>H550+H599+H604</f>
        <v>106386.20000000001</v>
      </c>
      <c r="I549" s="201"/>
    </row>
    <row r="550" spans="1:9" ht="31.9" customHeight="1" x14ac:dyDescent="0.25">
      <c r="A550" s="23" t="s">
        <v>1361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21">
        <f>G551+G555+G568+G578+G588+G592</f>
        <v>102156.40000000001</v>
      </c>
      <c r="H550" s="21">
        <f>H551+H555+H568+H578+H588+H592</f>
        <v>105767.40000000001</v>
      </c>
      <c r="I550" s="201"/>
    </row>
    <row r="551" spans="1:9" ht="31.5" x14ac:dyDescent="0.25">
      <c r="A551" s="23" t="s">
        <v>937</v>
      </c>
      <c r="B551" s="19">
        <v>906</v>
      </c>
      <c r="C551" s="24" t="s">
        <v>264</v>
      </c>
      <c r="D551" s="24" t="s">
        <v>118</v>
      </c>
      <c r="E551" s="24" t="s">
        <v>1231</v>
      </c>
      <c r="F551" s="24"/>
      <c r="G551" s="21">
        <f t="shared" ref="G551:H553" si="51">G552</f>
        <v>14795.6</v>
      </c>
      <c r="H551" s="21">
        <f t="shared" si="51"/>
        <v>14795.6</v>
      </c>
      <c r="I551" s="201"/>
    </row>
    <row r="552" spans="1:9" ht="43.5" customHeight="1" x14ac:dyDescent="0.25">
      <c r="A552" s="25" t="s">
        <v>1230</v>
      </c>
      <c r="B552" s="16">
        <v>906</v>
      </c>
      <c r="C552" s="20" t="s">
        <v>264</v>
      </c>
      <c r="D552" s="20" t="s">
        <v>118</v>
      </c>
      <c r="E552" s="20" t="s">
        <v>1232</v>
      </c>
      <c r="F552" s="20"/>
      <c r="G552" s="26">
        <f t="shared" si="51"/>
        <v>14795.6</v>
      </c>
      <c r="H552" s="26">
        <f t="shared" si="51"/>
        <v>14795.6</v>
      </c>
      <c r="I552" s="201"/>
    </row>
    <row r="553" spans="1:9" ht="31.5" x14ac:dyDescent="0.25">
      <c r="A553" s="25" t="s">
        <v>272</v>
      </c>
      <c r="B553" s="16">
        <v>906</v>
      </c>
      <c r="C553" s="20" t="s">
        <v>264</v>
      </c>
      <c r="D553" s="20" t="s">
        <v>118</v>
      </c>
      <c r="E553" s="20" t="s">
        <v>1232</v>
      </c>
      <c r="F553" s="20" t="s">
        <v>273</v>
      </c>
      <c r="G553" s="26">
        <f t="shared" si="51"/>
        <v>14795.6</v>
      </c>
      <c r="H553" s="26">
        <f t="shared" si="51"/>
        <v>14795.6</v>
      </c>
      <c r="I553" s="201"/>
    </row>
    <row r="554" spans="1:9" ht="15.75" x14ac:dyDescent="0.25">
      <c r="A554" s="25" t="s">
        <v>274</v>
      </c>
      <c r="B554" s="16">
        <v>906</v>
      </c>
      <c r="C554" s="20" t="s">
        <v>264</v>
      </c>
      <c r="D554" s="20" t="s">
        <v>118</v>
      </c>
      <c r="E554" s="20" t="s">
        <v>1232</v>
      </c>
      <c r="F554" s="20" t="s">
        <v>275</v>
      </c>
      <c r="G554" s="26">
        <v>14795.6</v>
      </c>
      <c r="H554" s="26">
        <f t="shared" si="45"/>
        <v>14795.6</v>
      </c>
      <c r="I554" s="201"/>
    </row>
    <row r="555" spans="1:9" ht="47.25" x14ac:dyDescent="0.25">
      <c r="A555" s="23" t="s">
        <v>900</v>
      </c>
      <c r="B555" s="19">
        <v>906</v>
      </c>
      <c r="C555" s="24" t="s">
        <v>264</v>
      </c>
      <c r="D555" s="24" t="s">
        <v>118</v>
      </c>
      <c r="E555" s="24" t="s">
        <v>1233</v>
      </c>
      <c r="F555" s="24"/>
      <c r="G555" s="44">
        <f>G559+G562+G565+G556</f>
        <v>75561.5</v>
      </c>
      <c r="H555" s="44">
        <f>H559+H562+H565+H556</f>
        <v>79924.100000000006</v>
      </c>
      <c r="I555" s="201"/>
    </row>
    <row r="556" spans="1:9" s="200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1393</v>
      </c>
      <c r="F556" s="20"/>
      <c r="G556" s="26">
        <f>G557</f>
        <v>3230</v>
      </c>
      <c r="H556" s="26">
        <f>H557</f>
        <v>3230</v>
      </c>
      <c r="I556" s="201"/>
    </row>
    <row r="557" spans="1:9" s="200" customFormat="1" ht="31.5" x14ac:dyDescent="0.25">
      <c r="A557" s="25" t="s">
        <v>272</v>
      </c>
      <c r="B557" s="16">
        <v>906</v>
      </c>
      <c r="C557" s="20" t="s">
        <v>264</v>
      </c>
      <c r="D557" s="20" t="s">
        <v>118</v>
      </c>
      <c r="E557" s="20" t="s">
        <v>1393</v>
      </c>
      <c r="F557" s="20" t="s">
        <v>273</v>
      </c>
      <c r="G557" s="26">
        <f>G558</f>
        <v>3230</v>
      </c>
      <c r="H557" s="26">
        <f>H558</f>
        <v>3230</v>
      </c>
      <c r="I557" s="201"/>
    </row>
    <row r="558" spans="1:9" s="200" customFormat="1" ht="15.75" x14ac:dyDescent="0.25">
      <c r="A558" s="25" t="s">
        <v>274</v>
      </c>
      <c r="B558" s="16">
        <v>906</v>
      </c>
      <c r="C558" s="20" t="s">
        <v>264</v>
      </c>
      <c r="D558" s="20" t="s">
        <v>118</v>
      </c>
      <c r="E558" s="20" t="s">
        <v>1393</v>
      </c>
      <c r="F558" s="20" t="s">
        <v>275</v>
      </c>
      <c r="G558" s="26">
        <v>3230</v>
      </c>
      <c r="H558" s="26">
        <f>G558</f>
        <v>3230</v>
      </c>
      <c r="I558" s="201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1234</v>
      </c>
      <c r="F559" s="20"/>
      <c r="G559" s="26">
        <f>G560</f>
        <v>589</v>
      </c>
      <c r="H559" s="26">
        <f>H560</f>
        <v>589</v>
      </c>
      <c r="I559" s="201"/>
    </row>
    <row r="560" spans="1:9" ht="31.5" x14ac:dyDescent="0.25">
      <c r="A560" s="25" t="s">
        <v>272</v>
      </c>
      <c r="B560" s="16">
        <v>906</v>
      </c>
      <c r="C560" s="20" t="s">
        <v>264</v>
      </c>
      <c r="D560" s="20" t="s">
        <v>118</v>
      </c>
      <c r="E560" s="20" t="s">
        <v>1234</v>
      </c>
      <c r="F560" s="20" t="s">
        <v>273</v>
      </c>
      <c r="G560" s="26">
        <f>G561</f>
        <v>589</v>
      </c>
      <c r="H560" s="26">
        <f>H561</f>
        <v>589</v>
      </c>
      <c r="I560" s="201"/>
    </row>
    <row r="561" spans="1:9" ht="15.75" x14ac:dyDescent="0.25">
      <c r="A561" s="25" t="s">
        <v>274</v>
      </c>
      <c r="B561" s="16">
        <v>906</v>
      </c>
      <c r="C561" s="20" t="s">
        <v>264</v>
      </c>
      <c r="D561" s="20" t="s">
        <v>118</v>
      </c>
      <c r="E561" s="20" t="s">
        <v>1234</v>
      </c>
      <c r="F561" s="20" t="s">
        <v>275</v>
      </c>
      <c r="G561" s="26">
        <v>589</v>
      </c>
      <c r="H561" s="26">
        <f t="shared" si="45"/>
        <v>589</v>
      </c>
      <c r="I561" s="201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1235</v>
      </c>
      <c r="F562" s="20"/>
      <c r="G562" s="26">
        <f>G563</f>
        <v>1629.3</v>
      </c>
      <c r="H562" s="26">
        <f>H563</f>
        <v>1629.3</v>
      </c>
      <c r="I562" s="201"/>
    </row>
    <row r="563" spans="1:9" ht="31.5" x14ac:dyDescent="0.25">
      <c r="A563" s="25" t="s">
        <v>272</v>
      </c>
      <c r="B563" s="16">
        <v>906</v>
      </c>
      <c r="C563" s="20" t="s">
        <v>264</v>
      </c>
      <c r="D563" s="20" t="s">
        <v>118</v>
      </c>
      <c r="E563" s="20" t="s">
        <v>1235</v>
      </c>
      <c r="F563" s="20" t="s">
        <v>273</v>
      </c>
      <c r="G563" s="26">
        <f>G564</f>
        <v>1629.3</v>
      </c>
      <c r="H563" s="26">
        <f>H564</f>
        <v>1629.3</v>
      </c>
      <c r="I563" s="201"/>
    </row>
    <row r="564" spans="1:9" ht="15.75" x14ac:dyDescent="0.25">
      <c r="A564" s="25" t="s">
        <v>274</v>
      </c>
      <c r="B564" s="16">
        <v>906</v>
      </c>
      <c r="C564" s="20" t="s">
        <v>264</v>
      </c>
      <c r="D564" s="20" t="s">
        <v>118</v>
      </c>
      <c r="E564" s="20" t="s">
        <v>1235</v>
      </c>
      <c r="F564" s="20" t="s">
        <v>275</v>
      </c>
      <c r="G564" s="26">
        <f>1629.3</f>
        <v>1629.3</v>
      </c>
      <c r="H564" s="26">
        <f t="shared" si="45"/>
        <v>1629.3</v>
      </c>
      <c r="I564" s="201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1236</v>
      </c>
      <c r="F565" s="20"/>
      <c r="G565" s="26">
        <f>G566</f>
        <v>70113.2</v>
      </c>
      <c r="H565" s="26">
        <f>H566</f>
        <v>74475.8</v>
      </c>
      <c r="I565" s="201"/>
    </row>
    <row r="566" spans="1:9" ht="31.5" x14ac:dyDescent="0.25">
      <c r="A566" s="25" t="s">
        <v>272</v>
      </c>
      <c r="B566" s="16">
        <v>906</v>
      </c>
      <c r="C566" s="20" t="s">
        <v>264</v>
      </c>
      <c r="D566" s="20" t="s">
        <v>118</v>
      </c>
      <c r="E566" s="20" t="s">
        <v>1236</v>
      </c>
      <c r="F566" s="20" t="s">
        <v>273</v>
      </c>
      <c r="G566" s="26">
        <f>G567</f>
        <v>70113.2</v>
      </c>
      <c r="H566" s="26">
        <f>H567</f>
        <v>74475.8</v>
      </c>
      <c r="I566" s="201"/>
    </row>
    <row r="567" spans="1:9" ht="15.75" x14ac:dyDescent="0.25">
      <c r="A567" s="25" t="s">
        <v>274</v>
      </c>
      <c r="B567" s="16">
        <v>906</v>
      </c>
      <c r="C567" s="20" t="s">
        <v>264</v>
      </c>
      <c r="D567" s="20" t="s">
        <v>118</v>
      </c>
      <c r="E567" s="20" t="s">
        <v>1236</v>
      </c>
      <c r="F567" s="20" t="s">
        <v>275</v>
      </c>
      <c r="G567" s="26">
        <v>70113.2</v>
      </c>
      <c r="H567" s="26">
        <v>74475.8</v>
      </c>
      <c r="I567" s="201"/>
    </row>
    <row r="568" spans="1:9" ht="31.5" x14ac:dyDescent="0.25">
      <c r="A568" s="23" t="s">
        <v>1293</v>
      </c>
      <c r="B568" s="19">
        <v>906</v>
      </c>
      <c r="C568" s="24" t="s">
        <v>264</v>
      </c>
      <c r="D568" s="24" t="s">
        <v>118</v>
      </c>
      <c r="E568" s="24" t="s">
        <v>1238</v>
      </c>
      <c r="F568" s="24"/>
      <c r="G568" s="21">
        <f>G569+G572+G575</f>
        <v>4987</v>
      </c>
      <c r="H568" s="21">
        <f>H569+H572+H575</f>
        <v>4987</v>
      </c>
      <c r="I568" s="201"/>
    </row>
    <row r="569" spans="1:9" ht="31.5" hidden="1" x14ac:dyDescent="0.25">
      <c r="A569" s="25" t="s">
        <v>278</v>
      </c>
      <c r="B569" s="16">
        <v>906</v>
      </c>
      <c r="C569" s="20" t="s">
        <v>264</v>
      </c>
      <c r="D569" s="20" t="s">
        <v>118</v>
      </c>
      <c r="E569" s="20" t="s">
        <v>1319</v>
      </c>
      <c r="F569" s="20"/>
      <c r="G569" s="26">
        <f>'Пр.4 ведом.21'!G590</f>
        <v>200</v>
      </c>
      <c r="H569" s="26">
        <f t="shared" si="45"/>
        <v>200</v>
      </c>
      <c r="I569" s="201"/>
    </row>
    <row r="570" spans="1:9" ht="31.5" hidden="1" x14ac:dyDescent="0.25">
      <c r="A570" s="25" t="s">
        <v>272</v>
      </c>
      <c r="B570" s="16">
        <v>906</v>
      </c>
      <c r="C570" s="20" t="s">
        <v>264</v>
      </c>
      <c r="D570" s="20" t="s">
        <v>118</v>
      </c>
      <c r="E570" s="20" t="s">
        <v>1319</v>
      </c>
      <c r="F570" s="20" t="s">
        <v>273</v>
      </c>
      <c r="G570" s="26">
        <f>'Пр.4 ведом.21'!G591</f>
        <v>200</v>
      </c>
      <c r="H570" s="26">
        <f t="shared" ref="H570:H630" si="52">G570</f>
        <v>200</v>
      </c>
      <c r="I570" s="201"/>
    </row>
    <row r="571" spans="1:9" ht="15.75" hidden="1" x14ac:dyDescent="0.25">
      <c r="A571" s="25" t="s">
        <v>274</v>
      </c>
      <c r="B571" s="16">
        <v>906</v>
      </c>
      <c r="C571" s="20" t="s">
        <v>264</v>
      </c>
      <c r="D571" s="20" t="s">
        <v>118</v>
      </c>
      <c r="E571" s="20" t="s">
        <v>1319</v>
      </c>
      <c r="F571" s="20" t="s">
        <v>275</v>
      </c>
      <c r="G571" s="26">
        <f>'Пр.4 ведом.21'!G592</f>
        <v>200</v>
      </c>
      <c r="H571" s="26">
        <f t="shared" si="52"/>
        <v>200</v>
      </c>
      <c r="I571" s="201"/>
    </row>
    <row r="572" spans="1:9" ht="31.5" hidden="1" x14ac:dyDescent="0.25">
      <c r="A572" s="25" t="s">
        <v>280</v>
      </c>
      <c r="B572" s="16">
        <v>906</v>
      </c>
      <c r="C572" s="20" t="s">
        <v>264</v>
      </c>
      <c r="D572" s="20" t="s">
        <v>118</v>
      </c>
      <c r="E572" s="20" t="s">
        <v>1320</v>
      </c>
      <c r="F572" s="20"/>
      <c r="G572" s="26">
        <f>'Пр.4 ведом.21'!G593</f>
        <v>357</v>
      </c>
      <c r="H572" s="26">
        <f t="shared" si="52"/>
        <v>357</v>
      </c>
      <c r="I572" s="201"/>
    </row>
    <row r="573" spans="1:9" ht="31.5" hidden="1" x14ac:dyDescent="0.25">
      <c r="A573" s="25" t="s">
        <v>272</v>
      </c>
      <c r="B573" s="16">
        <v>906</v>
      </c>
      <c r="C573" s="20" t="s">
        <v>264</v>
      </c>
      <c r="D573" s="20" t="s">
        <v>118</v>
      </c>
      <c r="E573" s="20" t="s">
        <v>1320</v>
      </c>
      <c r="F573" s="20" t="s">
        <v>273</v>
      </c>
      <c r="G573" s="26">
        <f>'Пр.4 ведом.21'!G594</f>
        <v>357</v>
      </c>
      <c r="H573" s="26">
        <f t="shared" si="52"/>
        <v>357</v>
      </c>
      <c r="I573" s="201"/>
    </row>
    <row r="574" spans="1:9" ht="15.75" hidden="1" x14ac:dyDescent="0.25">
      <c r="A574" s="25" t="s">
        <v>274</v>
      </c>
      <c r="B574" s="16">
        <v>906</v>
      </c>
      <c r="C574" s="20" t="s">
        <v>264</v>
      </c>
      <c r="D574" s="20" t="s">
        <v>118</v>
      </c>
      <c r="E574" s="20" t="s">
        <v>1320</v>
      </c>
      <c r="F574" s="20" t="s">
        <v>275</v>
      </c>
      <c r="G574" s="26">
        <f>'Пр.4 ведом.21'!G595</f>
        <v>357</v>
      </c>
      <c r="H574" s="26">
        <f t="shared" si="52"/>
        <v>357</v>
      </c>
      <c r="I574" s="201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1239</v>
      </c>
      <c r="F575" s="20"/>
      <c r="G575" s="26">
        <f>G576</f>
        <v>4430</v>
      </c>
      <c r="H575" s="26">
        <f>H576</f>
        <v>4430</v>
      </c>
      <c r="I575" s="201"/>
    </row>
    <row r="576" spans="1:9" ht="31.5" x14ac:dyDescent="0.25">
      <c r="A576" s="25" t="s">
        <v>272</v>
      </c>
      <c r="B576" s="16">
        <v>906</v>
      </c>
      <c r="C576" s="20" t="s">
        <v>264</v>
      </c>
      <c r="D576" s="20" t="s">
        <v>118</v>
      </c>
      <c r="E576" s="20" t="s">
        <v>1239</v>
      </c>
      <c r="F576" s="20" t="s">
        <v>273</v>
      </c>
      <c r="G576" s="26">
        <f>G577</f>
        <v>4430</v>
      </c>
      <c r="H576" s="26">
        <f>H577</f>
        <v>4430</v>
      </c>
      <c r="I576" s="201"/>
    </row>
    <row r="577" spans="1:9" ht="15.75" x14ac:dyDescent="0.25">
      <c r="A577" s="25" t="s">
        <v>274</v>
      </c>
      <c r="B577" s="16">
        <v>906</v>
      </c>
      <c r="C577" s="20" t="s">
        <v>264</v>
      </c>
      <c r="D577" s="20" t="s">
        <v>118</v>
      </c>
      <c r="E577" s="20" t="s">
        <v>1239</v>
      </c>
      <c r="F577" s="20" t="s">
        <v>275</v>
      </c>
      <c r="G577" s="26">
        <f>4430</f>
        <v>4430</v>
      </c>
      <c r="H577" s="26">
        <f t="shared" si="52"/>
        <v>4430</v>
      </c>
      <c r="I577" s="201"/>
    </row>
    <row r="578" spans="1:9" ht="31.5" x14ac:dyDescent="0.25">
      <c r="A578" s="214" t="s">
        <v>948</v>
      </c>
      <c r="B578" s="19">
        <v>906</v>
      </c>
      <c r="C578" s="24" t="s">
        <v>264</v>
      </c>
      <c r="D578" s="24" t="s">
        <v>118</v>
      </c>
      <c r="E578" s="24" t="s">
        <v>1241</v>
      </c>
      <c r="F578" s="24"/>
      <c r="G578" s="44">
        <f>G579+G582+G585</f>
        <v>4848</v>
      </c>
      <c r="H578" s="44">
        <f>H579+H582+H585</f>
        <v>4848</v>
      </c>
      <c r="I578" s="201"/>
    </row>
    <row r="579" spans="1:9" ht="31.5" hidden="1" x14ac:dyDescent="0.25">
      <c r="A579" s="25" t="s">
        <v>284</v>
      </c>
      <c r="B579" s="16">
        <v>906</v>
      </c>
      <c r="C579" s="20" t="s">
        <v>264</v>
      </c>
      <c r="D579" s="20" t="s">
        <v>118</v>
      </c>
      <c r="E579" s="20" t="s">
        <v>1259</v>
      </c>
      <c r="F579" s="20"/>
      <c r="G579" s="26">
        <f>'Пр.4 ведом.21'!G600</f>
        <v>0</v>
      </c>
      <c r="H579" s="26">
        <f t="shared" si="52"/>
        <v>0</v>
      </c>
      <c r="I579" s="201"/>
    </row>
    <row r="580" spans="1:9" ht="31.5" hidden="1" x14ac:dyDescent="0.25">
      <c r="A580" s="25" t="s">
        <v>272</v>
      </c>
      <c r="B580" s="16">
        <v>906</v>
      </c>
      <c r="C580" s="20" t="s">
        <v>264</v>
      </c>
      <c r="D580" s="20" t="s">
        <v>118</v>
      </c>
      <c r="E580" s="20" t="s">
        <v>1259</v>
      </c>
      <c r="F580" s="20" t="s">
        <v>273</v>
      </c>
      <c r="G580" s="26">
        <f>'Пр.4 ведом.21'!G601</f>
        <v>0</v>
      </c>
      <c r="H580" s="26">
        <f t="shared" si="52"/>
        <v>0</v>
      </c>
      <c r="I580" s="201"/>
    </row>
    <row r="581" spans="1:9" ht="15.75" hidden="1" x14ac:dyDescent="0.25">
      <c r="A581" s="25" t="s">
        <v>274</v>
      </c>
      <c r="B581" s="16">
        <v>906</v>
      </c>
      <c r="C581" s="20" t="s">
        <v>264</v>
      </c>
      <c r="D581" s="20" t="s">
        <v>118</v>
      </c>
      <c r="E581" s="20" t="s">
        <v>1259</v>
      </c>
      <c r="F581" s="20" t="s">
        <v>275</v>
      </c>
      <c r="G581" s="26">
        <f>'Пр.4 ведом.21'!G602</f>
        <v>0</v>
      </c>
      <c r="H581" s="26">
        <f t="shared" si="52"/>
        <v>0</v>
      </c>
      <c r="I581" s="201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1242</v>
      </c>
      <c r="F582" s="20"/>
      <c r="G582" s="26">
        <f>G583</f>
        <v>3088</v>
      </c>
      <c r="H582" s="26">
        <f>H583</f>
        <v>3088</v>
      </c>
      <c r="I582" s="201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1242</v>
      </c>
      <c r="F583" s="20" t="s">
        <v>273</v>
      </c>
      <c r="G583" s="26">
        <f>G584</f>
        <v>3088</v>
      </c>
      <c r="H583" s="26">
        <f>H584</f>
        <v>3088</v>
      </c>
      <c r="I583" s="201"/>
    </row>
    <row r="584" spans="1:9" ht="15.75" x14ac:dyDescent="0.25">
      <c r="A584" s="182" t="s">
        <v>274</v>
      </c>
      <c r="B584" s="16">
        <v>906</v>
      </c>
      <c r="C584" s="20" t="s">
        <v>264</v>
      </c>
      <c r="D584" s="20" t="s">
        <v>118</v>
      </c>
      <c r="E584" s="20" t="s">
        <v>1242</v>
      </c>
      <c r="F584" s="20" t="s">
        <v>275</v>
      </c>
      <c r="G584" s="26">
        <v>3088</v>
      </c>
      <c r="H584" s="26">
        <f t="shared" si="52"/>
        <v>3088</v>
      </c>
      <c r="I584" s="201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1243</v>
      </c>
      <c r="F585" s="20"/>
      <c r="G585" s="26">
        <f>G586</f>
        <v>1760</v>
      </c>
      <c r="H585" s="26">
        <f>H586</f>
        <v>1760</v>
      </c>
      <c r="I585" s="201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1243</v>
      </c>
      <c r="F586" s="20" t="s">
        <v>273</v>
      </c>
      <c r="G586" s="26">
        <f>G587</f>
        <v>1760</v>
      </c>
      <c r="H586" s="26">
        <f>H587</f>
        <v>1760</v>
      </c>
      <c r="I586" s="201"/>
    </row>
    <row r="587" spans="1:9" ht="15.75" x14ac:dyDescent="0.25">
      <c r="A587" s="182" t="s">
        <v>274</v>
      </c>
      <c r="B587" s="16">
        <v>906</v>
      </c>
      <c r="C587" s="20" t="s">
        <v>264</v>
      </c>
      <c r="D587" s="20" t="s">
        <v>118</v>
      </c>
      <c r="E587" s="20" t="s">
        <v>1243</v>
      </c>
      <c r="F587" s="20" t="s">
        <v>275</v>
      </c>
      <c r="G587" s="26">
        <f>1760</f>
        <v>1760</v>
      </c>
      <c r="H587" s="26">
        <f t="shared" si="52"/>
        <v>1760</v>
      </c>
      <c r="I587" s="201"/>
    </row>
    <row r="588" spans="1:9" ht="63" x14ac:dyDescent="0.25">
      <c r="A588" s="23" t="s">
        <v>933</v>
      </c>
      <c r="B588" s="19">
        <v>906</v>
      </c>
      <c r="C588" s="24" t="s">
        <v>264</v>
      </c>
      <c r="D588" s="24" t="s">
        <v>118</v>
      </c>
      <c r="E588" s="24" t="s">
        <v>1244</v>
      </c>
      <c r="F588" s="24"/>
      <c r="G588" s="21">
        <f t="shared" ref="G588:H590" si="53">G589</f>
        <v>297.70000000000005</v>
      </c>
      <c r="H588" s="21">
        <f t="shared" si="53"/>
        <v>297.70000000000005</v>
      </c>
      <c r="I588" s="201"/>
    </row>
    <row r="589" spans="1:9" ht="115.5" customHeight="1" x14ac:dyDescent="0.25">
      <c r="A589" s="25" t="s">
        <v>1515</v>
      </c>
      <c r="B589" s="16">
        <v>906</v>
      </c>
      <c r="C589" s="20" t="s">
        <v>264</v>
      </c>
      <c r="D589" s="20" t="s">
        <v>118</v>
      </c>
      <c r="E589" s="20" t="s">
        <v>1245</v>
      </c>
      <c r="F589" s="20"/>
      <c r="G589" s="26">
        <f t="shared" si="53"/>
        <v>297.70000000000005</v>
      </c>
      <c r="H589" s="26">
        <f t="shared" si="53"/>
        <v>297.70000000000005</v>
      </c>
      <c r="I589" s="201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1245</v>
      </c>
      <c r="F590" s="20" t="s">
        <v>273</v>
      </c>
      <c r="G590" s="26">
        <f t="shared" si="53"/>
        <v>297.70000000000005</v>
      </c>
      <c r="H590" s="26">
        <f t="shared" si="53"/>
        <v>297.70000000000005</v>
      </c>
      <c r="I590" s="201"/>
    </row>
    <row r="591" spans="1:9" ht="15.75" x14ac:dyDescent="0.25">
      <c r="A591" s="182" t="s">
        <v>274</v>
      </c>
      <c r="B591" s="16">
        <v>906</v>
      </c>
      <c r="C591" s="20" t="s">
        <v>264</v>
      </c>
      <c r="D591" s="20" t="s">
        <v>118</v>
      </c>
      <c r="E591" s="20" t="s">
        <v>1245</v>
      </c>
      <c r="F591" s="20" t="s">
        <v>275</v>
      </c>
      <c r="G591" s="26">
        <f>124.4+173.3</f>
        <v>297.70000000000005</v>
      </c>
      <c r="H591" s="26">
        <f t="shared" si="52"/>
        <v>297.70000000000005</v>
      </c>
      <c r="I591" s="201"/>
    </row>
    <row r="592" spans="1:9" s="200" customFormat="1" ht="94.5" x14ac:dyDescent="0.25">
      <c r="A592" s="23" t="s">
        <v>1167</v>
      </c>
      <c r="B592" s="19">
        <v>906</v>
      </c>
      <c r="C592" s="24" t="s">
        <v>264</v>
      </c>
      <c r="D592" s="24" t="s">
        <v>118</v>
      </c>
      <c r="E592" s="24" t="s">
        <v>1247</v>
      </c>
      <c r="F592" s="24"/>
      <c r="G592" s="21">
        <f>G593+G596</f>
        <v>1666.6</v>
      </c>
      <c r="H592" s="21">
        <f>H593+H596</f>
        <v>915</v>
      </c>
      <c r="I592" s="201"/>
    </row>
    <row r="593" spans="1:9" s="200" customFormat="1" ht="94.5" hidden="1" x14ac:dyDescent="0.25">
      <c r="A593" s="149" t="s">
        <v>1186</v>
      </c>
      <c r="B593" s="16">
        <v>906</v>
      </c>
      <c r="C593" s="20" t="s">
        <v>264</v>
      </c>
      <c r="D593" s="20" t="s">
        <v>118</v>
      </c>
      <c r="E593" s="20" t="s">
        <v>1248</v>
      </c>
      <c r="F593" s="20"/>
      <c r="G593" s="26">
        <f>G594</f>
        <v>0</v>
      </c>
      <c r="H593" s="26">
        <f>H594</f>
        <v>0</v>
      </c>
      <c r="I593" s="201"/>
    </row>
    <row r="594" spans="1:9" s="200" customFormat="1" ht="31.5" hidden="1" x14ac:dyDescent="0.25">
      <c r="A594" s="25" t="s">
        <v>272</v>
      </c>
      <c r="B594" s="16">
        <v>906</v>
      </c>
      <c r="C594" s="20" t="s">
        <v>264</v>
      </c>
      <c r="D594" s="20" t="s">
        <v>118</v>
      </c>
      <c r="E594" s="20" t="s">
        <v>1248</v>
      </c>
      <c r="F594" s="20" t="s">
        <v>273</v>
      </c>
      <c r="G594" s="26">
        <f>G595</f>
        <v>0</v>
      </c>
      <c r="H594" s="26">
        <f>H595</f>
        <v>0</v>
      </c>
      <c r="I594" s="201"/>
    </row>
    <row r="595" spans="1:9" s="200" customFormat="1" ht="15.75" hidden="1" x14ac:dyDescent="0.25">
      <c r="A595" s="25" t="s">
        <v>274</v>
      </c>
      <c r="B595" s="16">
        <v>906</v>
      </c>
      <c r="C595" s="20" t="s">
        <v>264</v>
      </c>
      <c r="D595" s="20" t="s">
        <v>118</v>
      </c>
      <c r="E595" s="20" t="s">
        <v>1248</v>
      </c>
      <c r="F595" s="20" t="s">
        <v>275</v>
      </c>
      <c r="G595" s="26">
        <v>0</v>
      </c>
      <c r="H595" s="26">
        <v>0</v>
      </c>
      <c r="I595" s="201"/>
    </row>
    <row r="596" spans="1:9" s="200" customFormat="1" ht="96.4" customHeight="1" x14ac:dyDescent="0.25">
      <c r="A596" s="149" t="s">
        <v>1498</v>
      </c>
      <c r="B596" s="16">
        <v>906</v>
      </c>
      <c r="C596" s="20" t="s">
        <v>264</v>
      </c>
      <c r="D596" s="20" t="s">
        <v>118</v>
      </c>
      <c r="E596" s="20" t="s">
        <v>1248</v>
      </c>
      <c r="F596" s="20"/>
      <c r="G596" s="26">
        <f>G597</f>
        <v>1666.6</v>
      </c>
      <c r="H596" s="26">
        <f>H597</f>
        <v>915</v>
      </c>
      <c r="I596" s="201"/>
    </row>
    <row r="597" spans="1:9" s="200" customFormat="1" ht="31.5" x14ac:dyDescent="0.25">
      <c r="A597" s="25" t="s">
        <v>272</v>
      </c>
      <c r="B597" s="16">
        <v>906</v>
      </c>
      <c r="C597" s="20" t="s">
        <v>264</v>
      </c>
      <c r="D597" s="20" t="s">
        <v>118</v>
      </c>
      <c r="E597" s="20" t="s">
        <v>1248</v>
      </c>
      <c r="F597" s="20" t="s">
        <v>273</v>
      </c>
      <c r="G597" s="26">
        <f>G598</f>
        <v>1666.6</v>
      </c>
      <c r="H597" s="26">
        <f>H598</f>
        <v>915</v>
      </c>
      <c r="I597" s="201"/>
    </row>
    <row r="598" spans="1:9" s="200" customFormat="1" ht="15.75" x14ac:dyDescent="0.25">
      <c r="A598" s="25" t="s">
        <v>274</v>
      </c>
      <c r="B598" s="16">
        <v>906</v>
      </c>
      <c r="C598" s="20" t="s">
        <v>264</v>
      </c>
      <c r="D598" s="20" t="s">
        <v>118</v>
      </c>
      <c r="E598" s="20" t="s">
        <v>1248</v>
      </c>
      <c r="F598" s="20" t="s">
        <v>275</v>
      </c>
      <c r="G598" s="26">
        <f>1666.6</f>
        <v>1666.6</v>
      </c>
      <c r="H598" s="26">
        <v>915</v>
      </c>
      <c r="I598" s="201"/>
    </row>
    <row r="599" spans="1:9" s="200" customFormat="1" ht="47.25" x14ac:dyDescent="0.25">
      <c r="A599" s="34" t="s">
        <v>1360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21">
        <f t="shared" ref="G599:H602" si="54">G600</f>
        <v>80</v>
      </c>
      <c r="H599" s="21">
        <f t="shared" si="54"/>
        <v>25</v>
      </c>
      <c r="I599" s="201"/>
    </row>
    <row r="600" spans="1:9" s="200" customFormat="1" ht="63" x14ac:dyDescent="0.25">
      <c r="A600" s="34" t="s">
        <v>1009</v>
      </c>
      <c r="B600" s="19">
        <v>906</v>
      </c>
      <c r="C600" s="24" t="s">
        <v>264</v>
      </c>
      <c r="D600" s="24" t="s">
        <v>118</v>
      </c>
      <c r="E600" s="24" t="s">
        <v>934</v>
      </c>
      <c r="F600" s="24"/>
      <c r="G600" s="21">
        <f t="shared" si="54"/>
        <v>80</v>
      </c>
      <c r="H600" s="21">
        <f t="shared" si="54"/>
        <v>25</v>
      </c>
      <c r="I600" s="201"/>
    </row>
    <row r="601" spans="1:9" s="200" customFormat="1" ht="47.25" x14ac:dyDescent="0.25">
      <c r="A601" s="31" t="s">
        <v>1082</v>
      </c>
      <c r="B601" s="16">
        <v>906</v>
      </c>
      <c r="C601" s="20" t="s">
        <v>264</v>
      </c>
      <c r="D601" s="20" t="s">
        <v>118</v>
      </c>
      <c r="E601" s="20" t="s">
        <v>935</v>
      </c>
      <c r="F601" s="20"/>
      <c r="G601" s="26">
        <f t="shared" si="54"/>
        <v>80</v>
      </c>
      <c r="H601" s="26">
        <f t="shared" si="54"/>
        <v>25</v>
      </c>
      <c r="I601" s="201"/>
    </row>
    <row r="602" spans="1:9" s="200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935</v>
      </c>
      <c r="F602" s="20" t="s">
        <v>273</v>
      </c>
      <c r="G602" s="26">
        <f t="shared" si="54"/>
        <v>80</v>
      </c>
      <c r="H602" s="26">
        <f t="shared" si="54"/>
        <v>25</v>
      </c>
      <c r="I602" s="201"/>
    </row>
    <row r="603" spans="1:9" s="200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935</v>
      </c>
      <c r="F603" s="20" t="s">
        <v>275</v>
      </c>
      <c r="G603" s="26">
        <v>80</v>
      </c>
      <c r="H603" s="26">
        <v>25</v>
      </c>
      <c r="I603" s="201"/>
    </row>
    <row r="604" spans="1:9" ht="47.25" x14ac:dyDescent="0.25">
      <c r="A604" s="41" t="s">
        <v>1355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17"/>
      <c r="G604" s="21">
        <f>G606</f>
        <v>570.9</v>
      </c>
      <c r="H604" s="21">
        <f>H606</f>
        <v>593.79999999999995</v>
      </c>
      <c r="I604" s="201"/>
    </row>
    <row r="605" spans="1:9" ht="47.25" x14ac:dyDescent="0.25">
      <c r="A605" s="41" t="s">
        <v>890</v>
      </c>
      <c r="B605" s="19">
        <v>906</v>
      </c>
      <c r="C605" s="24" t="s">
        <v>264</v>
      </c>
      <c r="D605" s="24" t="s">
        <v>118</v>
      </c>
      <c r="E605" s="24" t="s">
        <v>888</v>
      </c>
      <c r="F605" s="217"/>
      <c r="G605" s="21">
        <f t="shared" ref="G605:H607" si="55">G606</f>
        <v>570.9</v>
      </c>
      <c r="H605" s="21">
        <f t="shared" si="55"/>
        <v>593.79999999999995</v>
      </c>
      <c r="I605" s="201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936</v>
      </c>
      <c r="F606" s="32"/>
      <c r="G606" s="26">
        <f t="shared" si="55"/>
        <v>570.9</v>
      </c>
      <c r="H606" s="26">
        <f t="shared" si="55"/>
        <v>593.79999999999995</v>
      </c>
      <c r="I606" s="201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936</v>
      </c>
      <c r="F607" s="32" t="s">
        <v>273</v>
      </c>
      <c r="G607" s="26">
        <f t="shared" si="55"/>
        <v>570.9</v>
      </c>
      <c r="H607" s="26">
        <f t="shared" si="55"/>
        <v>593.79999999999995</v>
      </c>
      <c r="I607" s="201"/>
    </row>
    <row r="608" spans="1:9" ht="15.75" x14ac:dyDescent="0.25">
      <c r="A608" s="182" t="s">
        <v>274</v>
      </c>
      <c r="B608" s="16">
        <v>906</v>
      </c>
      <c r="C608" s="20" t="s">
        <v>264</v>
      </c>
      <c r="D608" s="20" t="s">
        <v>118</v>
      </c>
      <c r="E608" s="20" t="s">
        <v>936</v>
      </c>
      <c r="F608" s="32" t="s">
        <v>275</v>
      </c>
      <c r="G608" s="26">
        <v>570.9</v>
      </c>
      <c r="H608" s="26">
        <v>593.79999999999995</v>
      </c>
      <c r="I608" s="201"/>
    </row>
    <row r="609" spans="1:13" ht="15.75" x14ac:dyDescent="0.25">
      <c r="A609" s="23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21">
        <f>G610+G686+G681</f>
        <v>177860.49999999997</v>
      </c>
      <c r="H609" s="21">
        <f>H610+H686+H681</f>
        <v>197324.15000000002</v>
      </c>
      <c r="I609" s="201"/>
      <c r="M609" s="227"/>
    </row>
    <row r="610" spans="1:13" ht="31.5" x14ac:dyDescent="0.25">
      <c r="A610" s="23" t="s">
        <v>1359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21">
        <f>G611+G615+G634+G647+G654+G658+G662+G673+G669+G677</f>
        <v>176929.99999999997</v>
      </c>
      <c r="H610" s="21">
        <f>H611+H615+H634+H647+H654+H658+H662+H673+H669+H677</f>
        <v>196348.85000000003</v>
      </c>
      <c r="I610" s="201"/>
    </row>
    <row r="611" spans="1:13" ht="31.5" x14ac:dyDescent="0.25">
      <c r="A611" s="23" t="s">
        <v>937</v>
      </c>
      <c r="B611" s="19">
        <v>906</v>
      </c>
      <c r="C611" s="24" t="s">
        <v>264</v>
      </c>
      <c r="D611" s="24" t="s">
        <v>213</v>
      </c>
      <c r="E611" s="24" t="s">
        <v>1231</v>
      </c>
      <c r="F611" s="24"/>
      <c r="G611" s="21">
        <f t="shared" ref="G611:H613" si="56">G612</f>
        <v>28690.799999999999</v>
      </c>
      <c r="H611" s="21">
        <f t="shared" si="56"/>
        <v>28690.799999999999</v>
      </c>
      <c r="I611" s="201"/>
    </row>
    <row r="612" spans="1:13" ht="47.25" x14ac:dyDescent="0.25">
      <c r="A612" s="25" t="s">
        <v>427</v>
      </c>
      <c r="B612" s="16">
        <v>906</v>
      </c>
      <c r="C612" s="20" t="s">
        <v>264</v>
      </c>
      <c r="D612" s="20" t="s">
        <v>213</v>
      </c>
      <c r="E612" s="20" t="s">
        <v>1250</v>
      </c>
      <c r="F612" s="20"/>
      <c r="G612" s="26">
        <f t="shared" si="56"/>
        <v>28690.799999999999</v>
      </c>
      <c r="H612" s="26">
        <f t="shared" si="56"/>
        <v>28690.799999999999</v>
      </c>
      <c r="I612" s="201"/>
    </row>
    <row r="613" spans="1:13" ht="31.5" x14ac:dyDescent="0.25">
      <c r="A613" s="25" t="s">
        <v>272</v>
      </c>
      <c r="B613" s="16">
        <v>906</v>
      </c>
      <c r="C613" s="20" t="s">
        <v>264</v>
      </c>
      <c r="D613" s="20" t="s">
        <v>213</v>
      </c>
      <c r="E613" s="20" t="s">
        <v>1250</v>
      </c>
      <c r="F613" s="20" t="s">
        <v>273</v>
      </c>
      <c r="G613" s="26">
        <f t="shared" si="56"/>
        <v>28690.799999999999</v>
      </c>
      <c r="H613" s="26">
        <f t="shared" si="56"/>
        <v>28690.799999999999</v>
      </c>
      <c r="I613" s="201"/>
    </row>
    <row r="614" spans="1:13" ht="15.75" x14ac:dyDescent="0.25">
      <c r="A614" s="25" t="s">
        <v>274</v>
      </c>
      <c r="B614" s="16">
        <v>906</v>
      </c>
      <c r="C614" s="20" t="s">
        <v>264</v>
      </c>
      <c r="D614" s="20" t="s">
        <v>213</v>
      </c>
      <c r="E614" s="20" t="s">
        <v>1250</v>
      </c>
      <c r="F614" s="20" t="s">
        <v>275</v>
      </c>
      <c r="G614" s="26">
        <v>28690.799999999999</v>
      </c>
      <c r="H614" s="26">
        <f t="shared" si="52"/>
        <v>28690.799999999999</v>
      </c>
      <c r="I614" s="201"/>
    </row>
    <row r="615" spans="1:13" ht="47.25" x14ac:dyDescent="0.25">
      <c r="A615" s="23" t="s">
        <v>900</v>
      </c>
      <c r="B615" s="19">
        <v>906</v>
      </c>
      <c r="C615" s="24" t="s">
        <v>264</v>
      </c>
      <c r="D615" s="24" t="s">
        <v>213</v>
      </c>
      <c r="E615" s="24" t="s">
        <v>1233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1"/>
      <c r="L615" s="227"/>
    </row>
    <row r="616" spans="1:13" s="200" customFormat="1" ht="63" x14ac:dyDescent="0.25">
      <c r="A616" s="25" t="s">
        <v>1395</v>
      </c>
      <c r="B616" s="16">
        <v>906</v>
      </c>
      <c r="C616" s="20" t="s">
        <v>264</v>
      </c>
      <c r="D616" s="20" t="s">
        <v>213</v>
      </c>
      <c r="E616" s="20" t="s">
        <v>1396</v>
      </c>
      <c r="F616" s="20"/>
      <c r="G616" s="27">
        <f>G617</f>
        <v>7226.1</v>
      </c>
      <c r="H616" s="27">
        <f>H617</f>
        <v>7226.1</v>
      </c>
      <c r="I616" s="201"/>
    </row>
    <row r="617" spans="1:13" s="200" customFormat="1" ht="31.5" x14ac:dyDescent="0.25">
      <c r="A617" s="25" t="s">
        <v>272</v>
      </c>
      <c r="B617" s="16">
        <v>906</v>
      </c>
      <c r="C617" s="20" t="s">
        <v>264</v>
      </c>
      <c r="D617" s="20" t="s">
        <v>213</v>
      </c>
      <c r="E617" s="20" t="s">
        <v>1396</v>
      </c>
      <c r="F617" s="20" t="s">
        <v>273</v>
      </c>
      <c r="G617" s="27">
        <f>G618</f>
        <v>7226.1</v>
      </c>
      <c r="H617" s="27">
        <f>H618</f>
        <v>7226.1</v>
      </c>
      <c r="I617" s="201"/>
    </row>
    <row r="618" spans="1:13" s="200" customFormat="1" ht="15.75" x14ac:dyDescent="0.25">
      <c r="A618" s="25" t="s">
        <v>274</v>
      </c>
      <c r="B618" s="16">
        <v>906</v>
      </c>
      <c r="C618" s="20" t="s">
        <v>264</v>
      </c>
      <c r="D618" s="20" t="s">
        <v>213</v>
      </c>
      <c r="E618" s="20" t="s">
        <v>1396</v>
      </c>
      <c r="F618" s="20" t="s">
        <v>275</v>
      </c>
      <c r="G618" s="27">
        <v>7226.1</v>
      </c>
      <c r="H618" s="27">
        <v>7226.1</v>
      </c>
      <c r="I618" s="201"/>
    </row>
    <row r="619" spans="1:13" s="200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1393</v>
      </c>
      <c r="F619" s="20"/>
      <c r="G619" s="26">
        <f>G620</f>
        <v>4610</v>
      </c>
      <c r="H619" s="26">
        <f>H620</f>
        <v>4610</v>
      </c>
      <c r="I619" s="201"/>
    </row>
    <row r="620" spans="1:13" s="200" customFormat="1" ht="31.5" x14ac:dyDescent="0.25">
      <c r="A620" s="25" t="s">
        <v>272</v>
      </c>
      <c r="B620" s="16">
        <v>906</v>
      </c>
      <c r="C620" s="20" t="s">
        <v>264</v>
      </c>
      <c r="D620" s="20" t="s">
        <v>213</v>
      </c>
      <c r="E620" s="20" t="s">
        <v>1393</v>
      </c>
      <c r="F620" s="20" t="s">
        <v>273</v>
      </c>
      <c r="G620" s="26">
        <f>G621</f>
        <v>4610</v>
      </c>
      <c r="H620" s="26">
        <f>H621</f>
        <v>4610</v>
      </c>
      <c r="I620" s="201"/>
    </row>
    <row r="621" spans="1:13" s="200" customFormat="1" ht="15.75" x14ac:dyDescent="0.25">
      <c r="A621" s="25" t="s">
        <v>274</v>
      </c>
      <c r="B621" s="16">
        <v>906</v>
      </c>
      <c r="C621" s="20" t="s">
        <v>264</v>
      </c>
      <c r="D621" s="20" t="s">
        <v>213</v>
      </c>
      <c r="E621" s="20" t="s">
        <v>1393</v>
      </c>
      <c r="F621" s="20" t="s">
        <v>275</v>
      </c>
      <c r="G621" s="26">
        <v>4610</v>
      </c>
      <c r="H621" s="26">
        <f>G621</f>
        <v>4610</v>
      </c>
      <c r="I621" s="201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1251</v>
      </c>
      <c r="F622" s="20"/>
      <c r="G622" s="26">
        <f>G623</f>
        <v>115047.8</v>
      </c>
      <c r="H622" s="26">
        <f>H623</f>
        <v>134211.70000000001</v>
      </c>
      <c r="I622" s="201"/>
    </row>
    <row r="623" spans="1:13" ht="31.5" x14ac:dyDescent="0.25">
      <c r="A623" s="25" t="s">
        <v>272</v>
      </c>
      <c r="B623" s="16">
        <v>906</v>
      </c>
      <c r="C623" s="20" t="s">
        <v>264</v>
      </c>
      <c r="D623" s="20" t="s">
        <v>213</v>
      </c>
      <c r="E623" s="20" t="s">
        <v>1251</v>
      </c>
      <c r="F623" s="20" t="s">
        <v>273</v>
      </c>
      <c r="G623" s="26">
        <f>G624</f>
        <v>115047.8</v>
      </c>
      <c r="H623" s="26">
        <f>H624</f>
        <v>134211.70000000001</v>
      </c>
      <c r="I623" s="201"/>
    </row>
    <row r="624" spans="1:13" ht="15.75" x14ac:dyDescent="0.25">
      <c r="A624" s="25" t="s">
        <v>274</v>
      </c>
      <c r="B624" s="16">
        <v>906</v>
      </c>
      <c r="C624" s="20" t="s">
        <v>264</v>
      </c>
      <c r="D624" s="20" t="s">
        <v>213</v>
      </c>
      <c r="E624" s="20" t="s">
        <v>1251</v>
      </c>
      <c r="F624" s="20" t="s">
        <v>275</v>
      </c>
      <c r="G624" s="26">
        <v>115047.8</v>
      </c>
      <c r="H624" s="26">
        <v>134211.70000000001</v>
      </c>
      <c r="I624" s="201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1234</v>
      </c>
      <c r="F625" s="20"/>
      <c r="G625" s="26">
        <f>G626</f>
        <v>1311</v>
      </c>
      <c r="H625" s="26">
        <f>H626</f>
        <v>1311</v>
      </c>
      <c r="I625" s="201"/>
    </row>
    <row r="626" spans="1:9" ht="31.5" x14ac:dyDescent="0.25">
      <c r="A626" s="25" t="s">
        <v>272</v>
      </c>
      <c r="B626" s="16">
        <v>906</v>
      </c>
      <c r="C626" s="20" t="s">
        <v>264</v>
      </c>
      <c r="D626" s="20" t="s">
        <v>213</v>
      </c>
      <c r="E626" s="20" t="s">
        <v>1234</v>
      </c>
      <c r="F626" s="20" t="s">
        <v>273</v>
      </c>
      <c r="G626" s="26">
        <f>G627</f>
        <v>1311</v>
      </c>
      <c r="H626" s="26">
        <f>H627</f>
        <v>1311</v>
      </c>
      <c r="I626" s="201"/>
    </row>
    <row r="627" spans="1:9" ht="15.75" x14ac:dyDescent="0.25">
      <c r="A627" s="25" t="s">
        <v>274</v>
      </c>
      <c r="B627" s="16">
        <v>906</v>
      </c>
      <c r="C627" s="20" t="s">
        <v>264</v>
      </c>
      <c r="D627" s="20" t="s">
        <v>213</v>
      </c>
      <c r="E627" s="20" t="s">
        <v>1234</v>
      </c>
      <c r="F627" s="20" t="s">
        <v>275</v>
      </c>
      <c r="G627" s="26">
        <v>1311</v>
      </c>
      <c r="H627" s="26">
        <f t="shared" si="52"/>
        <v>1311</v>
      </c>
      <c r="I627" s="201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1235</v>
      </c>
      <c r="F628" s="20"/>
      <c r="G628" s="26">
        <f>G629</f>
        <v>2266.6999999999998</v>
      </c>
      <c r="H628" s="26">
        <f>H629</f>
        <v>2266.6999999999998</v>
      </c>
      <c r="I628" s="201"/>
    </row>
    <row r="629" spans="1:9" ht="31.5" x14ac:dyDescent="0.25">
      <c r="A629" s="25" t="s">
        <v>272</v>
      </c>
      <c r="B629" s="16">
        <v>906</v>
      </c>
      <c r="C629" s="20" t="s">
        <v>264</v>
      </c>
      <c r="D629" s="20" t="s">
        <v>213</v>
      </c>
      <c r="E629" s="20" t="s">
        <v>1235</v>
      </c>
      <c r="F629" s="20" t="s">
        <v>273</v>
      </c>
      <c r="G629" s="26">
        <f>G630</f>
        <v>2266.6999999999998</v>
      </c>
      <c r="H629" s="26">
        <f>H630</f>
        <v>2266.6999999999998</v>
      </c>
      <c r="I629" s="201"/>
    </row>
    <row r="630" spans="1:9" ht="15.75" x14ac:dyDescent="0.25">
      <c r="A630" s="25" t="s">
        <v>274</v>
      </c>
      <c r="B630" s="16">
        <v>906</v>
      </c>
      <c r="C630" s="20" t="s">
        <v>264</v>
      </c>
      <c r="D630" s="20" t="s">
        <v>213</v>
      </c>
      <c r="E630" s="20" t="s">
        <v>1235</v>
      </c>
      <c r="F630" s="20" t="s">
        <v>275</v>
      </c>
      <c r="G630" s="26">
        <f>2266.7</f>
        <v>2266.6999999999998</v>
      </c>
      <c r="H630" s="26">
        <f t="shared" si="52"/>
        <v>2266.6999999999998</v>
      </c>
      <c r="I630" s="201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1252</v>
      </c>
      <c r="F631" s="20"/>
      <c r="G631" s="26">
        <f>G632</f>
        <v>909.3</v>
      </c>
      <c r="H631" s="26">
        <f>H632</f>
        <v>909.3</v>
      </c>
      <c r="I631" s="201"/>
    </row>
    <row r="632" spans="1:9" ht="31.5" x14ac:dyDescent="0.25">
      <c r="A632" s="25" t="s">
        <v>272</v>
      </c>
      <c r="B632" s="16">
        <v>906</v>
      </c>
      <c r="C632" s="20" t="s">
        <v>264</v>
      </c>
      <c r="D632" s="20" t="s">
        <v>213</v>
      </c>
      <c r="E632" s="20" t="s">
        <v>1252</v>
      </c>
      <c r="F632" s="20" t="s">
        <v>273</v>
      </c>
      <c r="G632" s="26">
        <f>G633</f>
        <v>909.3</v>
      </c>
      <c r="H632" s="26">
        <f>H633</f>
        <v>909.3</v>
      </c>
      <c r="I632" s="201"/>
    </row>
    <row r="633" spans="1:9" ht="15.75" x14ac:dyDescent="0.25">
      <c r="A633" s="25" t="s">
        <v>274</v>
      </c>
      <c r="B633" s="16">
        <v>906</v>
      </c>
      <c r="C633" s="20" t="s">
        <v>264</v>
      </c>
      <c r="D633" s="20" t="s">
        <v>213</v>
      </c>
      <c r="E633" s="20" t="s">
        <v>1252</v>
      </c>
      <c r="F633" s="20" t="s">
        <v>275</v>
      </c>
      <c r="G633" s="26">
        <v>909.3</v>
      </c>
      <c r="H633" s="26">
        <v>909.3</v>
      </c>
      <c r="I633" s="201"/>
    </row>
    <row r="634" spans="1:9" ht="31.5" x14ac:dyDescent="0.25">
      <c r="A634" s="23" t="s">
        <v>1253</v>
      </c>
      <c r="B634" s="250">
        <v>906</v>
      </c>
      <c r="C634" s="24" t="s">
        <v>264</v>
      </c>
      <c r="D634" s="24" t="s">
        <v>213</v>
      </c>
      <c r="E634" s="24" t="s">
        <v>1238</v>
      </c>
      <c r="F634" s="24"/>
      <c r="G634" s="21">
        <f>G635+G638+G641+G644</f>
        <v>699</v>
      </c>
      <c r="H634" s="21">
        <f>H635+H638+H641+H644</f>
        <v>699</v>
      </c>
      <c r="I634" s="201"/>
    </row>
    <row r="635" spans="1:9" ht="31.5" hidden="1" x14ac:dyDescent="0.25">
      <c r="A635" s="25" t="s">
        <v>440</v>
      </c>
      <c r="B635" s="37">
        <v>906</v>
      </c>
      <c r="C635" s="20" t="s">
        <v>264</v>
      </c>
      <c r="D635" s="20" t="s">
        <v>213</v>
      </c>
      <c r="E635" s="20" t="s">
        <v>1318</v>
      </c>
      <c r="F635" s="20"/>
      <c r="G635" s="26">
        <f>'Пр.4 ведом.21'!G664</f>
        <v>0</v>
      </c>
      <c r="H635" s="26">
        <f t="shared" ref="H635:H706" si="57">G635</f>
        <v>0</v>
      </c>
      <c r="I635" s="201"/>
    </row>
    <row r="636" spans="1:9" ht="31.5" hidden="1" x14ac:dyDescent="0.25">
      <c r="A636" s="25" t="s">
        <v>272</v>
      </c>
      <c r="B636" s="37">
        <v>906</v>
      </c>
      <c r="C636" s="20" t="s">
        <v>264</v>
      </c>
      <c r="D636" s="20" t="s">
        <v>213</v>
      </c>
      <c r="E636" s="20" t="s">
        <v>1318</v>
      </c>
      <c r="F636" s="20" t="s">
        <v>273</v>
      </c>
      <c r="G636" s="26">
        <f>'Пр.4 ведом.21'!G665</f>
        <v>0</v>
      </c>
      <c r="H636" s="26">
        <f t="shared" si="57"/>
        <v>0</v>
      </c>
      <c r="I636" s="201"/>
    </row>
    <row r="637" spans="1:9" ht="15.75" hidden="1" x14ac:dyDescent="0.25">
      <c r="A637" s="25" t="s">
        <v>274</v>
      </c>
      <c r="B637" s="37">
        <v>906</v>
      </c>
      <c r="C637" s="20" t="s">
        <v>264</v>
      </c>
      <c r="D637" s="20" t="s">
        <v>213</v>
      </c>
      <c r="E637" s="20" t="s">
        <v>1318</v>
      </c>
      <c r="F637" s="20" t="s">
        <v>275</v>
      </c>
      <c r="G637" s="26">
        <f>'Пр.4 ведом.21'!G666</f>
        <v>0</v>
      </c>
      <c r="H637" s="26">
        <f t="shared" si="57"/>
        <v>0</v>
      </c>
      <c r="I637" s="201"/>
    </row>
    <row r="638" spans="1:9" ht="31.5" hidden="1" x14ac:dyDescent="0.25">
      <c r="A638" s="25" t="s">
        <v>278</v>
      </c>
      <c r="B638" s="37">
        <v>906</v>
      </c>
      <c r="C638" s="20" t="s">
        <v>264</v>
      </c>
      <c r="D638" s="20" t="s">
        <v>213</v>
      </c>
      <c r="E638" s="20" t="s">
        <v>1319</v>
      </c>
      <c r="F638" s="20"/>
      <c r="G638" s="26">
        <f>'Пр.4 ведом.21'!G667</f>
        <v>355</v>
      </c>
      <c r="H638" s="26">
        <f t="shared" si="57"/>
        <v>355</v>
      </c>
      <c r="I638" s="201"/>
    </row>
    <row r="639" spans="1:9" ht="31.5" hidden="1" x14ac:dyDescent="0.25">
      <c r="A639" s="25" t="s">
        <v>272</v>
      </c>
      <c r="B639" s="37">
        <v>906</v>
      </c>
      <c r="C639" s="20" t="s">
        <v>264</v>
      </c>
      <c r="D639" s="20" t="s">
        <v>213</v>
      </c>
      <c r="E639" s="20" t="s">
        <v>1319</v>
      </c>
      <c r="F639" s="20" t="s">
        <v>273</v>
      </c>
      <c r="G639" s="26">
        <f>'Пр.4 ведом.21'!G668</f>
        <v>355</v>
      </c>
      <c r="H639" s="26">
        <f t="shared" si="57"/>
        <v>355</v>
      </c>
      <c r="I639" s="201"/>
    </row>
    <row r="640" spans="1:9" ht="15.75" hidden="1" x14ac:dyDescent="0.25">
      <c r="A640" s="25" t="s">
        <v>274</v>
      </c>
      <c r="B640" s="37">
        <v>906</v>
      </c>
      <c r="C640" s="20" t="s">
        <v>264</v>
      </c>
      <c r="D640" s="20" t="s">
        <v>213</v>
      </c>
      <c r="E640" s="20" t="s">
        <v>1319</v>
      </c>
      <c r="F640" s="20" t="s">
        <v>275</v>
      </c>
      <c r="G640" s="26">
        <f>'Пр.4 ведом.21'!G669</f>
        <v>355</v>
      </c>
      <c r="H640" s="26">
        <f t="shared" si="57"/>
        <v>355</v>
      </c>
      <c r="I640" s="201"/>
    </row>
    <row r="641" spans="1:9" ht="31.5" hidden="1" x14ac:dyDescent="0.25">
      <c r="A641" s="25" t="s">
        <v>280</v>
      </c>
      <c r="B641" s="37">
        <v>906</v>
      </c>
      <c r="C641" s="20" t="s">
        <v>264</v>
      </c>
      <c r="D641" s="20" t="s">
        <v>213</v>
      </c>
      <c r="E641" s="20" t="s">
        <v>1320</v>
      </c>
      <c r="F641" s="20"/>
      <c r="G641" s="26">
        <f>'Пр.4 ведом.21'!G670</f>
        <v>120</v>
      </c>
      <c r="H641" s="26">
        <f t="shared" si="57"/>
        <v>120</v>
      </c>
      <c r="I641" s="201"/>
    </row>
    <row r="642" spans="1:9" ht="31.5" hidden="1" x14ac:dyDescent="0.25">
      <c r="A642" s="25" t="s">
        <v>272</v>
      </c>
      <c r="B642" s="37">
        <v>906</v>
      </c>
      <c r="C642" s="20" t="s">
        <v>264</v>
      </c>
      <c r="D642" s="20" t="s">
        <v>213</v>
      </c>
      <c r="E642" s="20" t="s">
        <v>1320</v>
      </c>
      <c r="F642" s="20" t="s">
        <v>273</v>
      </c>
      <c r="G642" s="26">
        <f>'Пр.4 ведом.21'!G671</f>
        <v>120</v>
      </c>
      <c r="H642" s="26">
        <f t="shared" si="57"/>
        <v>120</v>
      </c>
      <c r="I642" s="201"/>
    </row>
    <row r="643" spans="1:9" ht="15.75" hidden="1" x14ac:dyDescent="0.25">
      <c r="A643" s="25" t="s">
        <v>274</v>
      </c>
      <c r="B643" s="37">
        <v>906</v>
      </c>
      <c r="C643" s="20" t="s">
        <v>264</v>
      </c>
      <c r="D643" s="20" t="s">
        <v>213</v>
      </c>
      <c r="E643" s="20" t="s">
        <v>1320</v>
      </c>
      <c r="F643" s="20" t="s">
        <v>275</v>
      </c>
      <c r="G643" s="26">
        <f>'Пр.4 ведом.21'!G672</f>
        <v>120</v>
      </c>
      <c r="H643" s="26">
        <f t="shared" si="57"/>
        <v>120</v>
      </c>
      <c r="I643" s="201"/>
    </row>
    <row r="644" spans="1:9" ht="31.5" x14ac:dyDescent="0.25">
      <c r="A644" s="25" t="s">
        <v>282</v>
      </c>
      <c r="B644" s="37">
        <v>906</v>
      </c>
      <c r="C644" s="20" t="s">
        <v>264</v>
      </c>
      <c r="D644" s="20" t="s">
        <v>213</v>
      </c>
      <c r="E644" s="20" t="s">
        <v>1254</v>
      </c>
      <c r="F644" s="20"/>
      <c r="G644" s="26">
        <f>G645</f>
        <v>224</v>
      </c>
      <c r="H644" s="26">
        <f>H645</f>
        <v>224</v>
      </c>
      <c r="I644" s="201"/>
    </row>
    <row r="645" spans="1:9" ht="31.5" x14ac:dyDescent="0.25">
      <c r="A645" s="25" t="s">
        <v>272</v>
      </c>
      <c r="B645" s="37">
        <v>906</v>
      </c>
      <c r="C645" s="20" t="s">
        <v>264</v>
      </c>
      <c r="D645" s="20" t="s">
        <v>213</v>
      </c>
      <c r="E645" s="20" t="s">
        <v>1254</v>
      </c>
      <c r="F645" s="20" t="s">
        <v>273</v>
      </c>
      <c r="G645" s="26">
        <f>G646</f>
        <v>224</v>
      </c>
      <c r="H645" s="26">
        <f>H646</f>
        <v>224</v>
      </c>
      <c r="I645" s="201"/>
    </row>
    <row r="646" spans="1:9" ht="15.75" x14ac:dyDescent="0.25">
      <c r="A646" s="25" t="s">
        <v>274</v>
      </c>
      <c r="B646" s="37">
        <v>906</v>
      </c>
      <c r="C646" s="20" t="s">
        <v>264</v>
      </c>
      <c r="D646" s="20" t="s">
        <v>213</v>
      </c>
      <c r="E646" s="20" t="s">
        <v>1254</v>
      </c>
      <c r="F646" s="20" t="s">
        <v>275</v>
      </c>
      <c r="G646" s="26">
        <f>224</f>
        <v>224</v>
      </c>
      <c r="H646" s="26">
        <f t="shared" si="57"/>
        <v>224</v>
      </c>
      <c r="I646" s="201"/>
    </row>
    <row r="647" spans="1:9" s="200" customFormat="1" ht="31.5" x14ac:dyDescent="0.25">
      <c r="A647" s="214" t="s">
        <v>948</v>
      </c>
      <c r="B647" s="19">
        <v>906</v>
      </c>
      <c r="C647" s="24" t="s">
        <v>264</v>
      </c>
      <c r="D647" s="24" t="s">
        <v>213</v>
      </c>
      <c r="E647" s="24" t="s">
        <v>1241</v>
      </c>
      <c r="F647" s="24"/>
      <c r="G647" s="44">
        <f>G648+G651</f>
        <v>2932</v>
      </c>
      <c r="H647" s="44">
        <f>H648+H651</f>
        <v>2932</v>
      </c>
      <c r="I647" s="201"/>
    </row>
    <row r="648" spans="1:9" s="200" customFormat="1" ht="31.5" hidden="1" x14ac:dyDescent="0.25">
      <c r="A648" s="25" t="s">
        <v>791</v>
      </c>
      <c r="B648" s="16">
        <v>906</v>
      </c>
      <c r="C648" s="20" t="s">
        <v>264</v>
      </c>
      <c r="D648" s="20" t="s">
        <v>213</v>
      </c>
      <c r="E648" s="20" t="s">
        <v>1259</v>
      </c>
      <c r="F648" s="20"/>
      <c r="G648" s="26">
        <f>'Пр.4 ведом.21'!G677</f>
        <v>44</v>
      </c>
      <c r="H648" s="26">
        <f>G648</f>
        <v>44</v>
      </c>
      <c r="I648" s="201"/>
    </row>
    <row r="649" spans="1:9" s="200" customFormat="1" ht="31.5" hidden="1" x14ac:dyDescent="0.25">
      <c r="A649" s="25" t="s">
        <v>272</v>
      </c>
      <c r="B649" s="16">
        <v>906</v>
      </c>
      <c r="C649" s="20" t="s">
        <v>264</v>
      </c>
      <c r="D649" s="20" t="s">
        <v>213</v>
      </c>
      <c r="E649" s="20" t="s">
        <v>1259</v>
      </c>
      <c r="F649" s="20" t="s">
        <v>273</v>
      </c>
      <c r="G649" s="26">
        <f>'Пр.4 ведом.21'!G678</f>
        <v>44</v>
      </c>
      <c r="H649" s="26">
        <f>G649</f>
        <v>44</v>
      </c>
      <c r="I649" s="201"/>
    </row>
    <row r="650" spans="1:9" s="200" customFormat="1" ht="15.75" hidden="1" x14ac:dyDescent="0.25">
      <c r="A650" s="25" t="s">
        <v>274</v>
      </c>
      <c r="B650" s="16">
        <v>906</v>
      </c>
      <c r="C650" s="20" t="s">
        <v>264</v>
      </c>
      <c r="D650" s="20" t="s">
        <v>213</v>
      </c>
      <c r="E650" s="20" t="s">
        <v>1259</v>
      </c>
      <c r="F650" s="20" t="s">
        <v>275</v>
      </c>
      <c r="G650" s="26">
        <f>'Пр.4 ведом.21'!G679</f>
        <v>44</v>
      </c>
      <c r="H650" s="26">
        <f>G650</f>
        <v>44</v>
      </c>
      <c r="I650" s="201"/>
    </row>
    <row r="651" spans="1:9" s="200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1242</v>
      </c>
      <c r="F651" s="20"/>
      <c r="G651" s="26">
        <f>G652</f>
        <v>2888</v>
      </c>
      <c r="H651" s="26">
        <f>H652</f>
        <v>2888</v>
      </c>
      <c r="I651" s="201"/>
    </row>
    <row r="652" spans="1:9" s="200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1242</v>
      </c>
      <c r="F652" s="20" t="s">
        <v>273</v>
      </c>
      <c r="G652" s="26">
        <f>G653</f>
        <v>2888</v>
      </c>
      <c r="H652" s="26">
        <f>H653</f>
        <v>2888</v>
      </c>
      <c r="I652" s="201"/>
    </row>
    <row r="653" spans="1:9" s="200" customFormat="1" ht="15.75" x14ac:dyDescent="0.25">
      <c r="A653" s="182" t="s">
        <v>274</v>
      </c>
      <c r="B653" s="16">
        <v>906</v>
      </c>
      <c r="C653" s="20" t="s">
        <v>264</v>
      </c>
      <c r="D653" s="20" t="s">
        <v>213</v>
      </c>
      <c r="E653" s="20" t="s">
        <v>1242</v>
      </c>
      <c r="F653" s="20" t="s">
        <v>275</v>
      </c>
      <c r="G653" s="26">
        <v>2888</v>
      </c>
      <c r="H653" s="26">
        <f>G653</f>
        <v>2888</v>
      </c>
      <c r="I653" s="201"/>
    </row>
    <row r="654" spans="1:9" ht="31.5" x14ac:dyDescent="0.25">
      <c r="A654" s="23" t="s">
        <v>938</v>
      </c>
      <c r="B654" s="250">
        <v>906</v>
      </c>
      <c r="C654" s="24" t="s">
        <v>264</v>
      </c>
      <c r="D654" s="24" t="s">
        <v>213</v>
      </c>
      <c r="E654" s="24" t="s">
        <v>1255</v>
      </c>
      <c r="F654" s="24"/>
      <c r="G654" s="21">
        <f t="shared" ref="G654:H656" si="58">G655</f>
        <v>3931.8</v>
      </c>
      <c r="H654" s="21">
        <f t="shared" si="58"/>
        <v>3865.2</v>
      </c>
      <c r="I654" s="201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1256</v>
      </c>
      <c r="F655" s="20"/>
      <c r="G655" s="26">
        <f t="shared" si="58"/>
        <v>3931.8</v>
      </c>
      <c r="H655" s="26">
        <f t="shared" si="58"/>
        <v>3865.2</v>
      </c>
      <c r="I655" s="201"/>
    </row>
    <row r="656" spans="1:9" ht="31.5" x14ac:dyDescent="0.25">
      <c r="A656" s="25" t="s">
        <v>272</v>
      </c>
      <c r="B656" s="37">
        <v>906</v>
      </c>
      <c r="C656" s="20" t="s">
        <v>264</v>
      </c>
      <c r="D656" s="20" t="s">
        <v>213</v>
      </c>
      <c r="E656" s="20" t="s">
        <v>1256</v>
      </c>
      <c r="F656" s="20" t="s">
        <v>273</v>
      </c>
      <c r="G656" s="26">
        <f t="shared" si="58"/>
        <v>3931.8</v>
      </c>
      <c r="H656" s="26">
        <f t="shared" si="58"/>
        <v>3865.2</v>
      </c>
      <c r="I656" s="201"/>
    </row>
    <row r="657" spans="1:15" ht="15.75" x14ac:dyDescent="0.25">
      <c r="A657" s="25" t="s">
        <v>274</v>
      </c>
      <c r="B657" s="37">
        <v>906</v>
      </c>
      <c r="C657" s="20" t="s">
        <v>264</v>
      </c>
      <c r="D657" s="20" t="s">
        <v>213</v>
      </c>
      <c r="E657" s="20" t="s">
        <v>1256</v>
      </c>
      <c r="F657" s="20" t="s">
        <v>275</v>
      </c>
      <c r="G657" s="26">
        <v>3931.8</v>
      </c>
      <c r="H657" s="26">
        <v>3865.2</v>
      </c>
      <c r="I657" s="201"/>
    </row>
    <row r="658" spans="1:15" ht="31.5" x14ac:dyDescent="0.25">
      <c r="A658" s="23" t="s">
        <v>939</v>
      </c>
      <c r="B658" s="250">
        <v>906</v>
      </c>
      <c r="C658" s="24" t="s">
        <v>264</v>
      </c>
      <c r="D658" s="24" t="s">
        <v>213</v>
      </c>
      <c r="E658" s="24" t="s">
        <v>1257</v>
      </c>
      <c r="F658" s="24"/>
      <c r="G658" s="44">
        <f t="shared" ref="G658:H660" si="59">G659</f>
        <v>1384.6</v>
      </c>
      <c r="H658" s="44">
        <f t="shared" si="59"/>
        <v>1384.6</v>
      </c>
      <c r="I658" s="201"/>
    </row>
    <row r="659" spans="1:15" ht="47.25" x14ac:dyDescent="0.25">
      <c r="A659" s="25" t="s">
        <v>438</v>
      </c>
      <c r="B659" s="37">
        <v>906</v>
      </c>
      <c r="C659" s="20" t="s">
        <v>264</v>
      </c>
      <c r="D659" s="20" t="s">
        <v>213</v>
      </c>
      <c r="E659" s="20" t="s">
        <v>1258</v>
      </c>
      <c r="F659" s="20"/>
      <c r="G659" s="26">
        <f t="shared" si="59"/>
        <v>1384.6</v>
      </c>
      <c r="H659" s="26">
        <f t="shared" si="59"/>
        <v>1384.6</v>
      </c>
      <c r="I659" s="201"/>
    </row>
    <row r="660" spans="1:15" ht="31.5" x14ac:dyDescent="0.25">
      <c r="A660" s="25" t="s">
        <v>272</v>
      </c>
      <c r="B660" s="37">
        <v>906</v>
      </c>
      <c r="C660" s="20" t="s">
        <v>264</v>
      </c>
      <c r="D660" s="20" t="s">
        <v>213</v>
      </c>
      <c r="E660" s="20" t="s">
        <v>1258</v>
      </c>
      <c r="F660" s="20" t="s">
        <v>273</v>
      </c>
      <c r="G660" s="26">
        <f t="shared" si="59"/>
        <v>1384.6</v>
      </c>
      <c r="H660" s="26">
        <f t="shared" si="59"/>
        <v>1384.6</v>
      </c>
      <c r="I660" s="201"/>
    </row>
    <row r="661" spans="1:15" ht="15.75" x14ac:dyDescent="0.25">
      <c r="A661" s="25" t="s">
        <v>274</v>
      </c>
      <c r="B661" s="37">
        <v>906</v>
      </c>
      <c r="C661" s="20" t="s">
        <v>264</v>
      </c>
      <c r="D661" s="20" t="s">
        <v>213</v>
      </c>
      <c r="E661" s="20" t="s">
        <v>1258</v>
      </c>
      <c r="F661" s="20" t="s">
        <v>275</v>
      </c>
      <c r="G661" s="26">
        <v>1384.6</v>
      </c>
      <c r="H661" s="26">
        <v>1384.6</v>
      </c>
      <c r="I661" s="201"/>
    </row>
    <row r="662" spans="1:15" ht="31.5" x14ac:dyDescent="0.25">
      <c r="A662" s="212" t="s">
        <v>940</v>
      </c>
      <c r="B662" s="19">
        <v>906</v>
      </c>
      <c r="C662" s="24" t="s">
        <v>264</v>
      </c>
      <c r="D662" s="24" t="s">
        <v>213</v>
      </c>
      <c r="E662" s="24" t="s">
        <v>1260</v>
      </c>
      <c r="F662" s="24"/>
      <c r="G662" s="21">
        <f>G663+G666</f>
        <v>755.8</v>
      </c>
      <c r="H662" s="21">
        <f>H663+H666</f>
        <v>759</v>
      </c>
      <c r="I662" s="201"/>
    </row>
    <row r="663" spans="1:15" ht="50.25" customHeight="1" x14ac:dyDescent="0.25">
      <c r="A663" s="182" t="s">
        <v>828</v>
      </c>
      <c r="B663" s="16">
        <v>906</v>
      </c>
      <c r="C663" s="20" t="s">
        <v>264</v>
      </c>
      <c r="D663" s="20" t="s">
        <v>213</v>
      </c>
      <c r="E663" s="20" t="s">
        <v>1429</v>
      </c>
      <c r="F663" s="20"/>
      <c r="G663" s="26">
        <f>G664</f>
        <v>755.8</v>
      </c>
      <c r="H663" s="26">
        <f t="shared" ref="H663:H664" si="60">H664</f>
        <v>759</v>
      </c>
      <c r="I663" s="201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1429</v>
      </c>
      <c r="F664" s="20" t="s">
        <v>273</v>
      </c>
      <c r="G664" s="26">
        <f>G665</f>
        <v>755.8</v>
      </c>
      <c r="H664" s="26">
        <f t="shared" si="60"/>
        <v>759</v>
      </c>
      <c r="I664" s="201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1429</v>
      </c>
      <c r="F665" s="20" t="s">
        <v>275</v>
      </c>
      <c r="G665" s="26">
        <v>755.8</v>
      </c>
      <c r="H665" s="26">
        <v>759</v>
      </c>
      <c r="I665" s="201"/>
    </row>
    <row r="666" spans="1:15" s="200" customFormat="1" ht="31.5" hidden="1" x14ac:dyDescent="0.25">
      <c r="A666" s="327" t="s">
        <v>1428</v>
      </c>
      <c r="B666" s="16">
        <v>906</v>
      </c>
      <c r="C666" s="20" t="s">
        <v>264</v>
      </c>
      <c r="D666" s="20" t="s">
        <v>213</v>
      </c>
      <c r="E666" s="20" t="s">
        <v>1430</v>
      </c>
      <c r="F666" s="20"/>
      <c r="G666" s="26">
        <f>G667</f>
        <v>0</v>
      </c>
      <c r="H666" s="26">
        <f>H667</f>
        <v>0</v>
      </c>
      <c r="I666" s="201"/>
    </row>
    <row r="667" spans="1:15" s="200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1430</v>
      </c>
      <c r="F667" s="20" t="s">
        <v>273</v>
      </c>
      <c r="G667" s="26">
        <f>G668</f>
        <v>0</v>
      </c>
      <c r="H667" s="26">
        <f>H668</f>
        <v>0</v>
      </c>
      <c r="I667" s="201"/>
    </row>
    <row r="668" spans="1:15" s="200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1430</v>
      </c>
      <c r="F668" s="20" t="s">
        <v>275</v>
      </c>
      <c r="G668" s="26">
        <v>0</v>
      </c>
      <c r="H668" s="26">
        <v>0</v>
      </c>
      <c r="I668" s="201"/>
    </row>
    <row r="669" spans="1:15" s="200" customFormat="1" ht="31.5" x14ac:dyDescent="0.25">
      <c r="A669" s="288" t="s">
        <v>1408</v>
      </c>
      <c r="B669" s="19">
        <v>906</v>
      </c>
      <c r="C669" s="24" t="s">
        <v>264</v>
      </c>
      <c r="D669" s="24" t="s">
        <v>213</v>
      </c>
      <c r="E669" s="24" t="s">
        <v>1407</v>
      </c>
      <c r="F669" s="24"/>
      <c r="G669" s="21">
        <f t="shared" ref="G669:H671" si="61">G670</f>
        <v>5415.6500000000005</v>
      </c>
      <c r="H669" s="21">
        <f t="shared" si="61"/>
        <v>5142.4500000000007</v>
      </c>
      <c r="I669" s="201"/>
    </row>
    <row r="670" spans="1:15" s="200" customFormat="1" ht="63" x14ac:dyDescent="0.25">
      <c r="A670" s="287" t="s">
        <v>1394</v>
      </c>
      <c r="B670" s="16">
        <v>906</v>
      </c>
      <c r="C670" s="20" t="s">
        <v>264</v>
      </c>
      <c r="D670" s="20" t="s">
        <v>213</v>
      </c>
      <c r="E670" s="20" t="s">
        <v>1454</v>
      </c>
      <c r="F670" s="20"/>
      <c r="G670" s="26">
        <f t="shared" si="61"/>
        <v>5415.6500000000005</v>
      </c>
      <c r="H670" s="26">
        <f t="shared" si="61"/>
        <v>5142.4500000000007</v>
      </c>
      <c r="I670" s="201"/>
    </row>
    <row r="671" spans="1:15" s="200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1454</v>
      </c>
      <c r="F671" s="20" t="s">
        <v>273</v>
      </c>
      <c r="G671" s="26">
        <f t="shared" si="61"/>
        <v>5415.6500000000005</v>
      </c>
      <c r="H671" s="26">
        <f t="shared" si="61"/>
        <v>5142.4500000000007</v>
      </c>
      <c r="I671" s="201"/>
    </row>
    <row r="672" spans="1:15" s="200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1454</v>
      </c>
      <c r="F672" s="20" t="s">
        <v>275</v>
      </c>
      <c r="G672" s="26">
        <f>5193.6+222.05</f>
        <v>5415.6500000000005</v>
      </c>
      <c r="H672" s="26">
        <f>4931.6+210.85</f>
        <v>5142.4500000000007</v>
      </c>
      <c r="I672" s="201"/>
      <c r="L672" s="201"/>
      <c r="M672" s="201"/>
      <c r="N672" s="201"/>
      <c r="O672" s="201"/>
    </row>
    <row r="673" spans="1:15" s="200" customFormat="1" ht="47.25" hidden="1" x14ac:dyDescent="0.25">
      <c r="A673" s="212" t="s">
        <v>1173</v>
      </c>
      <c r="B673" s="19">
        <v>906</v>
      </c>
      <c r="C673" s="24" t="s">
        <v>264</v>
      </c>
      <c r="D673" s="24" t="s">
        <v>213</v>
      </c>
      <c r="E673" s="24" t="s">
        <v>1321</v>
      </c>
      <c r="F673" s="24"/>
      <c r="G673" s="21">
        <f t="shared" ref="G673:H677" si="62">G674</f>
        <v>0</v>
      </c>
      <c r="H673" s="21">
        <f t="shared" si="62"/>
        <v>0</v>
      </c>
      <c r="I673" s="201"/>
    </row>
    <row r="674" spans="1:15" s="200" customFormat="1" ht="47.25" hidden="1" x14ac:dyDescent="0.25">
      <c r="A674" s="182" t="s">
        <v>1181</v>
      </c>
      <c r="B674" s="16">
        <v>906</v>
      </c>
      <c r="C674" s="20" t="s">
        <v>264</v>
      </c>
      <c r="D674" s="20" t="s">
        <v>213</v>
      </c>
      <c r="E674" s="20" t="s">
        <v>1322</v>
      </c>
      <c r="F674" s="20"/>
      <c r="G674" s="26">
        <f t="shared" si="62"/>
        <v>0</v>
      </c>
      <c r="H674" s="26">
        <f t="shared" si="62"/>
        <v>0</v>
      </c>
      <c r="I674" s="201"/>
    </row>
    <row r="675" spans="1:15" s="200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1322</v>
      </c>
      <c r="F675" s="20" t="s">
        <v>273</v>
      </c>
      <c r="G675" s="26">
        <f t="shared" si="62"/>
        <v>0</v>
      </c>
      <c r="H675" s="26">
        <f t="shared" si="62"/>
        <v>0</v>
      </c>
      <c r="I675" s="201"/>
    </row>
    <row r="676" spans="1:15" s="200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1322</v>
      </c>
      <c r="F676" s="20" t="s">
        <v>275</v>
      </c>
      <c r="G676" s="26">
        <v>0</v>
      </c>
      <c r="H676" s="26">
        <f>G676</f>
        <v>0</v>
      </c>
      <c r="I676" s="201"/>
    </row>
    <row r="677" spans="1:15" s="200" customFormat="1" ht="31.5" x14ac:dyDescent="0.25">
      <c r="A677" s="34" t="s">
        <v>1477</v>
      </c>
      <c r="B677" s="19">
        <v>906</v>
      </c>
      <c r="C677" s="24" t="s">
        <v>264</v>
      </c>
      <c r="D677" s="24" t="s">
        <v>213</v>
      </c>
      <c r="E677" s="24" t="s">
        <v>1475</v>
      </c>
      <c r="F677" s="24"/>
      <c r="G677" s="21">
        <f t="shared" si="62"/>
        <v>1749.4499999999998</v>
      </c>
      <c r="H677" s="21">
        <f t="shared" si="62"/>
        <v>2341</v>
      </c>
      <c r="I677" s="201"/>
    </row>
    <row r="678" spans="1:15" s="200" customFormat="1" ht="54" customHeight="1" x14ac:dyDescent="0.25">
      <c r="A678" s="380" t="s">
        <v>1529</v>
      </c>
      <c r="B678" s="16">
        <v>906</v>
      </c>
      <c r="C678" s="20" t="s">
        <v>264</v>
      </c>
      <c r="D678" s="20" t="s">
        <v>213</v>
      </c>
      <c r="E678" s="20" t="s">
        <v>1476</v>
      </c>
      <c r="F678" s="20"/>
      <c r="G678" s="26">
        <f>G679</f>
        <v>1749.4499999999998</v>
      </c>
      <c r="H678" s="26">
        <f>H679</f>
        <v>2341</v>
      </c>
      <c r="I678" s="201"/>
    </row>
    <row r="679" spans="1:15" s="200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1476</v>
      </c>
      <c r="F679" s="20" t="s">
        <v>273</v>
      </c>
      <c r="G679" s="26">
        <f>G680</f>
        <v>1749.4499999999998</v>
      </c>
      <c r="H679" s="26">
        <f>H680</f>
        <v>2341</v>
      </c>
      <c r="I679" s="201"/>
    </row>
    <row r="680" spans="1:15" s="200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1476</v>
      </c>
      <c r="F680" s="20" t="s">
        <v>275</v>
      </c>
      <c r="G680" s="26">
        <f>1644.1+33.6+71.75</f>
        <v>1749.4499999999998</v>
      </c>
      <c r="H680" s="26">
        <f>2200+45+96</f>
        <v>2341</v>
      </c>
      <c r="I680" s="201"/>
      <c r="L680" s="201"/>
      <c r="M680" s="201"/>
      <c r="N680" s="201"/>
      <c r="O680" s="201"/>
    </row>
    <row r="681" spans="1:15" ht="47.25" x14ac:dyDescent="0.25">
      <c r="A681" s="34" t="s">
        <v>1360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21">
        <f t="shared" ref="G681:H684" si="63">G682</f>
        <v>60</v>
      </c>
      <c r="H681" s="21">
        <f t="shared" si="63"/>
        <v>70</v>
      </c>
      <c r="I681" s="201"/>
    </row>
    <row r="682" spans="1:15" ht="63" x14ac:dyDescent="0.25">
      <c r="A682" s="34" t="s">
        <v>1024</v>
      </c>
      <c r="B682" s="19">
        <v>906</v>
      </c>
      <c r="C682" s="24" t="s">
        <v>264</v>
      </c>
      <c r="D682" s="24" t="s">
        <v>213</v>
      </c>
      <c r="E682" s="24" t="s">
        <v>934</v>
      </c>
      <c r="F682" s="24"/>
      <c r="G682" s="21">
        <f t="shared" si="63"/>
        <v>60</v>
      </c>
      <c r="H682" s="21">
        <f t="shared" si="63"/>
        <v>70</v>
      </c>
      <c r="I682" s="201"/>
    </row>
    <row r="683" spans="1:15" ht="47.25" x14ac:dyDescent="0.25">
      <c r="A683" s="31" t="s">
        <v>1082</v>
      </c>
      <c r="B683" s="16">
        <v>906</v>
      </c>
      <c r="C683" s="20" t="s">
        <v>264</v>
      </c>
      <c r="D683" s="20" t="s">
        <v>213</v>
      </c>
      <c r="E683" s="20" t="s">
        <v>935</v>
      </c>
      <c r="F683" s="20"/>
      <c r="G683" s="26">
        <f t="shared" si="63"/>
        <v>60</v>
      </c>
      <c r="H683" s="26">
        <f t="shared" si="63"/>
        <v>70</v>
      </c>
      <c r="I683" s="201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935</v>
      </c>
      <c r="F684" s="20" t="s">
        <v>273</v>
      </c>
      <c r="G684" s="26">
        <f t="shared" si="63"/>
        <v>60</v>
      </c>
      <c r="H684" s="26">
        <f t="shared" si="63"/>
        <v>70</v>
      </c>
      <c r="I684" s="201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935</v>
      </c>
      <c r="F685" s="20" t="s">
        <v>275</v>
      </c>
      <c r="G685" s="26">
        <v>60</v>
      </c>
      <c r="H685" s="26">
        <v>70</v>
      </c>
      <c r="I685" s="201"/>
    </row>
    <row r="686" spans="1:15" ht="47.25" x14ac:dyDescent="0.25">
      <c r="A686" s="41" t="s">
        <v>1355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17"/>
      <c r="G686" s="21">
        <f t="shared" ref="G686:H689" si="64">G687</f>
        <v>870.5</v>
      </c>
      <c r="H686" s="21">
        <f t="shared" si="64"/>
        <v>905.3</v>
      </c>
      <c r="I686" s="201"/>
    </row>
    <row r="687" spans="1:15" ht="47.25" x14ac:dyDescent="0.25">
      <c r="A687" s="41" t="s">
        <v>890</v>
      </c>
      <c r="B687" s="19">
        <v>906</v>
      </c>
      <c r="C687" s="24" t="s">
        <v>264</v>
      </c>
      <c r="D687" s="24" t="s">
        <v>213</v>
      </c>
      <c r="E687" s="24" t="s">
        <v>888</v>
      </c>
      <c r="F687" s="217"/>
      <c r="G687" s="21">
        <f t="shared" si="64"/>
        <v>870.5</v>
      </c>
      <c r="H687" s="21">
        <f t="shared" si="64"/>
        <v>905.3</v>
      </c>
      <c r="I687" s="201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936</v>
      </c>
      <c r="F688" s="32"/>
      <c r="G688" s="26">
        <f t="shared" si="64"/>
        <v>870.5</v>
      </c>
      <c r="H688" s="26">
        <f t="shared" si="64"/>
        <v>905.3</v>
      </c>
      <c r="I688" s="201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936</v>
      </c>
      <c r="F689" s="32" t="s">
        <v>273</v>
      </c>
      <c r="G689" s="26">
        <f t="shared" si="64"/>
        <v>870.5</v>
      </c>
      <c r="H689" s="26">
        <f t="shared" si="64"/>
        <v>905.3</v>
      </c>
      <c r="I689" s="201"/>
    </row>
    <row r="690" spans="1:9" ht="15.75" x14ac:dyDescent="0.25">
      <c r="A690" s="182" t="s">
        <v>274</v>
      </c>
      <c r="B690" s="16">
        <v>906</v>
      </c>
      <c r="C690" s="20" t="s">
        <v>264</v>
      </c>
      <c r="D690" s="20" t="s">
        <v>213</v>
      </c>
      <c r="E690" s="20" t="s">
        <v>936</v>
      </c>
      <c r="F690" s="32" t="s">
        <v>275</v>
      </c>
      <c r="G690" s="26">
        <v>870.5</v>
      </c>
      <c r="H690" s="26">
        <v>905.3</v>
      </c>
      <c r="I690" s="201"/>
    </row>
    <row r="691" spans="1:9" ht="15.75" x14ac:dyDescent="0.25">
      <c r="A691" s="23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201"/>
    </row>
    <row r="692" spans="1:9" ht="39.75" customHeight="1" x14ac:dyDescent="0.25">
      <c r="A692" s="23" t="s">
        <v>1361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201"/>
    </row>
    <row r="693" spans="1:9" ht="31.5" x14ac:dyDescent="0.25">
      <c r="A693" s="23" t="s">
        <v>937</v>
      </c>
      <c r="B693" s="19">
        <v>906</v>
      </c>
      <c r="C693" s="24" t="s">
        <v>264</v>
      </c>
      <c r="D693" s="24" t="s">
        <v>215</v>
      </c>
      <c r="E693" s="24" t="s">
        <v>1231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1"/>
    </row>
    <row r="694" spans="1:9" ht="47.25" x14ac:dyDescent="0.25">
      <c r="A694" s="25" t="s">
        <v>270</v>
      </c>
      <c r="B694" s="16">
        <v>906</v>
      </c>
      <c r="C694" s="20" t="s">
        <v>264</v>
      </c>
      <c r="D694" s="20" t="s">
        <v>215</v>
      </c>
      <c r="E694" s="20" t="s">
        <v>1261</v>
      </c>
      <c r="F694" s="20"/>
      <c r="G694" s="26">
        <f t="shared" si="65"/>
        <v>37056.300000000003</v>
      </c>
      <c r="H694" s="26">
        <f t="shared" si="65"/>
        <v>37056.300000000003</v>
      </c>
      <c r="I694" s="201"/>
    </row>
    <row r="695" spans="1:9" ht="31.5" x14ac:dyDescent="0.25">
      <c r="A695" s="25" t="s">
        <v>272</v>
      </c>
      <c r="B695" s="16">
        <v>906</v>
      </c>
      <c r="C695" s="20" t="s">
        <v>264</v>
      </c>
      <c r="D695" s="20" t="s">
        <v>215</v>
      </c>
      <c r="E695" s="20" t="s">
        <v>1261</v>
      </c>
      <c r="F695" s="20" t="s">
        <v>273</v>
      </c>
      <c r="G695" s="26">
        <f t="shared" si="65"/>
        <v>37056.300000000003</v>
      </c>
      <c r="H695" s="26">
        <f t="shared" si="65"/>
        <v>37056.300000000003</v>
      </c>
      <c r="I695" s="201"/>
    </row>
    <row r="696" spans="1:9" ht="15.75" x14ac:dyDescent="0.25">
      <c r="A696" s="25" t="s">
        <v>274</v>
      </c>
      <c r="B696" s="16">
        <v>906</v>
      </c>
      <c r="C696" s="20" t="s">
        <v>264</v>
      </c>
      <c r="D696" s="20" t="s">
        <v>215</v>
      </c>
      <c r="E696" s="20" t="s">
        <v>1261</v>
      </c>
      <c r="F696" s="20" t="s">
        <v>275</v>
      </c>
      <c r="G696" s="26">
        <v>37056.300000000003</v>
      </c>
      <c r="H696" s="26">
        <f t="shared" si="57"/>
        <v>37056.300000000003</v>
      </c>
      <c r="I696" s="201"/>
    </row>
    <row r="697" spans="1:9" ht="47.25" x14ac:dyDescent="0.25">
      <c r="A697" s="23" t="s">
        <v>900</v>
      </c>
      <c r="B697" s="19">
        <v>906</v>
      </c>
      <c r="C697" s="24" t="s">
        <v>264</v>
      </c>
      <c r="D697" s="24" t="s">
        <v>215</v>
      </c>
      <c r="E697" s="24" t="s">
        <v>1233</v>
      </c>
      <c r="F697" s="24"/>
      <c r="G697" s="44">
        <f>G701+G704+G698</f>
        <v>2128.5</v>
      </c>
      <c r="H697" s="44">
        <f>H701+H704+H698</f>
        <v>2128.5</v>
      </c>
      <c r="I697" s="201"/>
    </row>
    <row r="698" spans="1:9" s="200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1393</v>
      </c>
      <c r="F698" s="20"/>
      <c r="G698" s="26">
        <f>G699</f>
        <v>1400</v>
      </c>
      <c r="H698" s="26">
        <f>H699</f>
        <v>1400</v>
      </c>
      <c r="I698" s="201"/>
    </row>
    <row r="699" spans="1:9" s="200" customFormat="1" ht="31.5" x14ac:dyDescent="0.25">
      <c r="A699" s="25" t="s">
        <v>272</v>
      </c>
      <c r="B699" s="16">
        <v>906</v>
      </c>
      <c r="C699" s="20" t="s">
        <v>264</v>
      </c>
      <c r="D699" s="20" t="s">
        <v>215</v>
      </c>
      <c r="E699" s="20" t="s">
        <v>1393</v>
      </c>
      <c r="F699" s="20" t="s">
        <v>273</v>
      </c>
      <c r="G699" s="26">
        <f>G700</f>
        <v>1400</v>
      </c>
      <c r="H699" s="26">
        <f>H700</f>
        <v>1400</v>
      </c>
      <c r="I699" s="201"/>
    </row>
    <row r="700" spans="1:9" s="200" customFormat="1" ht="15.75" x14ac:dyDescent="0.25">
      <c r="A700" s="25" t="s">
        <v>274</v>
      </c>
      <c r="B700" s="16">
        <v>906</v>
      </c>
      <c r="C700" s="20" t="s">
        <v>264</v>
      </c>
      <c r="D700" s="20" t="s">
        <v>215</v>
      </c>
      <c r="E700" s="20" t="s">
        <v>1393</v>
      </c>
      <c r="F700" s="20" t="s">
        <v>275</v>
      </c>
      <c r="G700" s="26">
        <v>1400</v>
      </c>
      <c r="H700" s="26">
        <f>G700</f>
        <v>1400</v>
      </c>
      <c r="I700" s="201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1234</v>
      </c>
      <c r="F701" s="20"/>
      <c r="G701" s="26">
        <f>G702</f>
        <v>179</v>
      </c>
      <c r="H701" s="26">
        <f>H702</f>
        <v>179</v>
      </c>
      <c r="I701" s="201"/>
    </row>
    <row r="702" spans="1:9" ht="31.5" x14ac:dyDescent="0.25">
      <c r="A702" s="25" t="s">
        <v>272</v>
      </c>
      <c r="B702" s="16">
        <v>906</v>
      </c>
      <c r="C702" s="20" t="s">
        <v>264</v>
      </c>
      <c r="D702" s="20" t="s">
        <v>215</v>
      </c>
      <c r="E702" s="20" t="s">
        <v>1234</v>
      </c>
      <c r="F702" s="20" t="s">
        <v>273</v>
      </c>
      <c r="G702" s="26">
        <f>G703</f>
        <v>179</v>
      </c>
      <c r="H702" s="26">
        <f>H703</f>
        <v>179</v>
      </c>
      <c r="I702" s="201"/>
    </row>
    <row r="703" spans="1:9" ht="15.75" x14ac:dyDescent="0.25">
      <c r="A703" s="25" t="s">
        <v>274</v>
      </c>
      <c r="B703" s="16">
        <v>906</v>
      </c>
      <c r="C703" s="20" t="s">
        <v>264</v>
      </c>
      <c r="D703" s="20" t="s">
        <v>215</v>
      </c>
      <c r="E703" s="20" t="s">
        <v>1234</v>
      </c>
      <c r="F703" s="20" t="s">
        <v>275</v>
      </c>
      <c r="G703" s="26">
        <v>179</v>
      </c>
      <c r="H703" s="26">
        <f t="shared" si="57"/>
        <v>179</v>
      </c>
      <c r="I703" s="201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1235</v>
      </c>
      <c r="F704" s="20"/>
      <c r="G704" s="26">
        <f>G705</f>
        <v>549.5</v>
      </c>
      <c r="H704" s="26">
        <f>H705</f>
        <v>549.5</v>
      </c>
      <c r="I704" s="201"/>
    </row>
    <row r="705" spans="1:9" ht="31.5" x14ac:dyDescent="0.25">
      <c r="A705" s="25" t="s">
        <v>272</v>
      </c>
      <c r="B705" s="16">
        <v>906</v>
      </c>
      <c r="C705" s="20" t="s">
        <v>264</v>
      </c>
      <c r="D705" s="20" t="s">
        <v>215</v>
      </c>
      <c r="E705" s="20" t="s">
        <v>1235</v>
      </c>
      <c r="F705" s="20" t="s">
        <v>273</v>
      </c>
      <c r="G705" s="26">
        <f>G706</f>
        <v>549.5</v>
      </c>
      <c r="H705" s="26">
        <f>H706</f>
        <v>549.5</v>
      </c>
      <c r="I705" s="201"/>
    </row>
    <row r="706" spans="1:9" ht="15.75" x14ac:dyDescent="0.25">
      <c r="A706" s="25" t="s">
        <v>274</v>
      </c>
      <c r="B706" s="16">
        <v>906</v>
      </c>
      <c r="C706" s="20" t="s">
        <v>264</v>
      </c>
      <c r="D706" s="20" t="s">
        <v>215</v>
      </c>
      <c r="E706" s="20" t="s">
        <v>1235</v>
      </c>
      <c r="F706" s="20" t="s">
        <v>275</v>
      </c>
      <c r="G706" s="26">
        <f>549.5</f>
        <v>549.5</v>
      </c>
      <c r="H706" s="26">
        <f t="shared" si="57"/>
        <v>549.5</v>
      </c>
      <c r="I706" s="201"/>
    </row>
    <row r="707" spans="1:9" ht="31.5" hidden="1" x14ac:dyDescent="0.25">
      <c r="A707" s="23" t="s">
        <v>941</v>
      </c>
      <c r="B707" s="19">
        <v>906</v>
      </c>
      <c r="C707" s="24" t="s">
        <v>264</v>
      </c>
      <c r="D707" s="24" t="s">
        <v>215</v>
      </c>
      <c r="E707" s="24" t="s">
        <v>1058</v>
      </c>
      <c r="F707" s="24"/>
      <c r="G707" s="44">
        <f>G708</f>
        <v>0</v>
      </c>
      <c r="H707" s="44">
        <f>H708</f>
        <v>0</v>
      </c>
      <c r="I707" s="201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1059</v>
      </c>
      <c r="F708" s="20"/>
      <c r="G708" s="26">
        <f>'Пр.4 ведом.21'!G749</f>
        <v>0</v>
      </c>
      <c r="H708" s="26">
        <f t="shared" ref="H708:H770" si="66">G708</f>
        <v>0</v>
      </c>
      <c r="I708" s="201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1059</v>
      </c>
      <c r="F709" s="20" t="s">
        <v>273</v>
      </c>
      <c r="G709" s="26">
        <f>'Пр.4 ведом.21'!G750</f>
        <v>0</v>
      </c>
      <c r="H709" s="26">
        <f t="shared" si="66"/>
        <v>0</v>
      </c>
      <c r="I709" s="201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1059</v>
      </c>
      <c r="F710" s="20" t="s">
        <v>275</v>
      </c>
      <c r="G710" s="26">
        <f>'Пр.4 ведом.21'!G751</f>
        <v>0</v>
      </c>
      <c r="H710" s="26">
        <f t="shared" si="66"/>
        <v>0</v>
      </c>
      <c r="I710" s="201"/>
    </row>
    <row r="711" spans="1:9" ht="31.5" x14ac:dyDescent="0.25">
      <c r="A711" s="214" t="s">
        <v>948</v>
      </c>
      <c r="B711" s="19">
        <v>906</v>
      </c>
      <c r="C711" s="24" t="s">
        <v>264</v>
      </c>
      <c r="D711" s="24" t="s">
        <v>215</v>
      </c>
      <c r="E711" s="24" t="s">
        <v>1241</v>
      </c>
      <c r="F711" s="24"/>
      <c r="G711" s="44">
        <f t="shared" ref="G711:H713" si="67">G712</f>
        <v>1564</v>
      </c>
      <c r="H711" s="44">
        <f t="shared" si="67"/>
        <v>1564</v>
      </c>
      <c r="I711" s="201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1242</v>
      </c>
      <c r="F712" s="20"/>
      <c r="G712" s="26">
        <f t="shared" si="67"/>
        <v>1564</v>
      </c>
      <c r="H712" s="26">
        <f t="shared" si="67"/>
        <v>1564</v>
      </c>
      <c r="I712" s="201"/>
    </row>
    <row r="713" spans="1:9" ht="31.5" x14ac:dyDescent="0.25">
      <c r="A713" s="25" t="s">
        <v>272</v>
      </c>
      <c r="B713" s="16">
        <v>906</v>
      </c>
      <c r="C713" s="20" t="s">
        <v>264</v>
      </c>
      <c r="D713" s="20" t="s">
        <v>215</v>
      </c>
      <c r="E713" s="20" t="s">
        <v>1242</v>
      </c>
      <c r="F713" s="20" t="s">
        <v>273</v>
      </c>
      <c r="G713" s="26">
        <f t="shared" si="67"/>
        <v>1564</v>
      </c>
      <c r="H713" s="26">
        <f t="shared" si="67"/>
        <v>1564</v>
      </c>
      <c r="I713" s="201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1242</v>
      </c>
      <c r="F714" s="20" t="s">
        <v>275</v>
      </c>
      <c r="G714" s="26">
        <v>1564</v>
      </c>
      <c r="H714" s="26">
        <v>1564</v>
      </c>
      <c r="I714" s="201"/>
    </row>
    <row r="715" spans="1:9" ht="47.25" x14ac:dyDescent="0.25">
      <c r="A715" s="41" t="s">
        <v>1353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17"/>
      <c r="G715" s="44">
        <f>G717</f>
        <v>302.7</v>
      </c>
      <c r="H715" s="44">
        <f>H717</f>
        <v>314.89999999999998</v>
      </c>
      <c r="I715" s="201"/>
    </row>
    <row r="716" spans="1:9" ht="47.25" x14ac:dyDescent="0.25">
      <c r="A716" s="41" t="s">
        <v>890</v>
      </c>
      <c r="B716" s="19">
        <v>906</v>
      </c>
      <c r="C716" s="24" t="s">
        <v>264</v>
      </c>
      <c r="D716" s="24" t="s">
        <v>942</v>
      </c>
      <c r="E716" s="24" t="s">
        <v>888</v>
      </c>
      <c r="F716" s="217"/>
      <c r="G716" s="44">
        <f t="shared" ref="G716:H718" si="68">G717</f>
        <v>302.7</v>
      </c>
      <c r="H716" s="44">
        <f t="shared" si="68"/>
        <v>314.89999999999998</v>
      </c>
      <c r="I716" s="201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936</v>
      </c>
      <c r="F717" s="32"/>
      <c r="G717" s="26">
        <f t="shared" si="68"/>
        <v>302.7</v>
      </c>
      <c r="H717" s="26">
        <f t="shared" si="68"/>
        <v>314.89999999999998</v>
      </c>
      <c r="I717" s="201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936</v>
      </c>
      <c r="F718" s="32" t="s">
        <v>273</v>
      </c>
      <c r="G718" s="26">
        <f t="shared" si="68"/>
        <v>302.7</v>
      </c>
      <c r="H718" s="26">
        <f t="shared" si="68"/>
        <v>314.89999999999998</v>
      </c>
      <c r="I718" s="201"/>
    </row>
    <row r="719" spans="1:9" ht="15.75" x14ac:dyDescent="0.25">
      <c r="A719" s="182" t="s">
        <v>274</v>
      </c>
      <c r="B719" s="16">
        <v>906</v>
      </c>
      <c r="C719" s="20" t="s">
        <v>264</v>
      </c>
      <c r="D719" s="20" t="s">
        <v>215</v>
      </c>
      <c r="E719" s="20" t="s">
        <v>936</v>
      </c>
      <c r="F719" s="32" t="s">
        <v>275</v>
      </c>
      <c r="G719" s="26">
        <v>302.7</v>
      </c>
      <c r="H719" s="26">
        <v>314.89999999999998</v>
      </c>
      <c r="I719" s="201"/>
    </row>
    <row r="720" spans="1:9" ht="15.75" x14ac:dyDescent="0.25">
      <c r="A720" s="23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21">
        <f>G721</f>
        <v>5745.1</v>
      </c>
      <c r="H720" s="21">
        <f>H721</f>
        <v>5745.1</v>
      </c>
      <c r="I720" s="201"/>
    </row>
    <row r="721" spans="1:9" ht="31.5" x14ac:dyDescent="0.25">
      <c r="A721" s="23" t="s">
        <v>1361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21">
        <f>G722</f>
        <v>5745.1</v>
      </c>
      <c r="H721" s="21">
        <f>H722</f>
        <v>5745.1</v>
      </c>
      <c r="I721" s="201"/>
    </row>
    <row r="722" spans="1:9" ht="31.5" x14ac:dyDescent="0.25">
      <c r="A722" s="23" t="s">
        <v>943</v>
      </c>
      <c r="B722" s="19">
        <v>906</v>
      </c>
      <c r="C722" s="24" t="s">
        <v>264</v>
      </c>
      <c r="D722" s="24" t="s">
        <v>264</v>
      </c>
      <c r="E722" s="24" t="s">
        <v>1240</v>
      </c>
      <c r="F722" s="24"/>
      <c r="G722" s="21">
        <f>G723+G726</f>
        <v>5745.1</v>
      </c>
      <c r="H722" s="21">
        <f>H723+H726</f>
        <v>5745.1</v>
      </c>
      <c r="I722" s="201"/>
    </row>
    <row r="723" spans="1:9" ht="31.5" x14ac:dyDescent="0.25">
      <c r="A723" s="31" t="s">
        <v>1060</v>
      </c>
      <c r="B723" s="16">
        <v>906</v>
      </c>
      <c r="C723" s="20" t="s">
        <v>264</v>
      </c>
      <c r="D723" s="20" t="s">
        <v>264</v>
      </c>
      <c r="E723" s="20" t="s">
        <v>1262</v>
      </c>
      <c r="F723" s="20"/>
      <c r="G723" s="26">
        <f>G724</f>
        <v>5745.1</v>
      </c>
      <c r="H723" s="26">
        <f>H724</f>
        <v>5745.1</v>
      </c>
      <c r="I723" s="201"/>
    </row>
    <row r="724" spans="1:9" ht="31.5" x14ac:dyDescent="0.25">
      <c r="A724" s="25" t="s">
        <v>272</v>
      </c>
      <c r="B724" s="16">
        <v>906</v>
      </c>
      <c r="C724" s="20" t="s">
        <v>264</v>
      </c>
      <c r="D724" s="20" t="s">
        <v>264</v>
      </c>
      <c r="E724" s="20" t="s">
        <v>1262</v>
      </c>
      <c r="F724" s="20" t="s">
        <v>273</v>
      </c>
      <c r="G724" s="26">
        <f>G725</f>
        <v>5745.1</v>
      </c>
      <c r="H724" s="26">
        <f>H725</f>
        <v>5745.1</v>
      </c>
      <c r="I724" s="201"/>
    </row>
    <row r="725" spans="1:9" ht="15.75" x14ac:dyDescent="0.25">
      <c r="A725" s="25" t="s">
        <v>274</v>
      </c>
      <c r="B725" s="16">
        <v>906</v>
      </c>
      <c r="C725" s="20" t="s">
        <v>264</v>
      </c>
      <c r="D725" s="20" t="s">
        <v>264</v>
      </c>
      <c r="E725" s="20" t="s">
        <v>1262</v>
      </c>
      <c r="F725" s="20" t="s">
        <v>275</v>
      </c>
      <c r="G725" s="26">
        <v>5745.1</v>
      </c>
      <c r="H725" s="26">
        <v>5745.1</v>
      </c>
      <c r="I725" s="201"/>
    </row>
    <row r="726" spans="1:9" ht="31.5" hidden="1" x14ac:dyDescent="0.25">
      <c r="A726" s="31" t="s">
        <v>1183</v>
      </c>
      <c r="B726" s="16">
        <v>906</v>
      </c>
      <c r="C726" s="20" t="s">
        <v>264</v>
      </c>
      <c r="D726" s="20" t="s">
        <v>264</v>
      </c>
      <c r="E726" s="20" t="s">
        <v>1263</v>
      </c>
      <c r="F726" s="20"/>
      <c r="G726" s="26">
        <f>G727</f>
        <v>0</v>
      </c>
      <c r="H726" s="26">
        <f>H727</f>
        <v>0</v>
      </c>
      <c r="I726" s="201"/>
    </row>
    <row r="727" spans="1:9" ht="31.5" hidden="1" x14ac:dyDescent="0.25">
      <c r="A727" s="25" t="s">
        <v>272</v>
      </c>
      <c r="B727" s="16">
        <v>906</v>
      </c>
      <c r="C727" s="20" t="s">
        <v>264</v>
      </c>
      <c r="D727" s="20" t="s">
        <v>264</v>
      </c>
      <c r="E727" s="20" t="s">
        <v>1263</v>
      </c>
      <c r="F727" s="20" t="s">
        <v>273</v>
      </c>
      <c r="G727" s="26">
        <f>G728</f>
        <v>0</v>
      </c>
      <c r="H727" s="26">
        <f>H728</f>
        <v>0</v>
      </c>
      <c r="I727" s="201"/>
    </row>
    <row r="728" spans="1:9" ht="15.75" hidden="1" x14ac:dyDescent="0.25">
      <c r="A728" s="25" t="s">
        <v>274</v>
      </c>
      <c r="B728" s="16">
        <v>906</v>
      </c>
      <c r="C728" s="20" t="s">
        <v>264</v>
      </c>
      <c r="D728" s="20" t="s">
        <v>264</v>
      </c>
      <c r="E728" s="20" t="s">
        <v>1263</v>
      </c>
      <c r="F728" s="20" t="s">
        <v>275</v>
      </c>
      <c r="G728" s="26">
        <v>0</v>
      </c>
      <c r="H728" s="26">
        <v>0</v>
      </c>
      <c r="I728" s="201"/>
    </row>
    <row r="729" spans="1:9" ht="15.75" x14ac:dyDescent="0.25">
      <c r="A729" s="23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21">
        <f>G730+G740</f>
        <v>19831.8</v>
      </c>
      <c r="H729" s="21">
        <f>H730+H740</f>
        <v>19831.8</v>
      </c>
      <c r="I729" s="201"/>
    </row>
    <row r="730" spans="1:9" ht="44.1" customHeight="1" x14ac:dyDescent="0.25">
      <c r="A730" s="23" t="s">
        <v>917</v>
      </c>
      <c r="B730" s="19">
        <v>906</v>
      </c>
      <c r="C730" s="24" t="s">
        <v>264</v>
      </c>
      <c r="D730" s="24" t="s">
        <v>219</v>
      </c>
      <c r="E730" s="24" t="s">
        <v>858</v>
      </c>
      <c r="F730" s="24"/>
      <c r="G730" s="21">
        <f>G731</f>
        <v>6048.7</v>
      </c>
      <c r="H730" s="21">
        <f>H731</f>
        <v>6048.7</v>
      </c>
      <c r="I730" s="201"/>
    </row>
    <row r="731" spans="1:9" ht="15.75" x14ac:dyDescent="0.25">
      <c r="A731" s="23" t="s">
        <v>918</v>
      </c>
      <c r="B731" s="19">
        <v>906</v>
      </c>
      <c r="C731" s="24" t="s">
        <v>264</v>
      </c>
      <c r="D731" s="24" t="s">
        <v>219</v>
      </c>
      <c r="E731" s="24" t="s">
        <v>859</v>
      </c>
      <c r="F731" s="24"/>
      <c r="G731" s="21">
        <f>G732+G737</f>
        <v>6048.7</v>
      </c>
      <c r="H731" s="21">
        <f>H732+H737</f>
        <v>6048.7</v>
      </c>
      <c r="I731" s="201"/>
    </row>
    <row r="732" spans="1:9" ht="31.5" x14ac:dyDescent="0.25">
      <c r="A732" s="25" t="s">
        <v>897</v>
      </c>
      <c r="B732" s="16">
        <v>906</v>
      </c>
      <c r="C732" s="20" t="s">
        <v>264</v>
      </c>
      <c r="D732" s="20" t="s">
        <v>219</v>
      </c>
      <c r="E732" s="20" t="s">
        <v>860</v>
      </c>
      <c r="F732" s="20"/>
      <c r="G732" s="26">
        <f>G733+G735</f>
        <v>5922.7</v>
      </c>
      <c r="H732" s="26">
        <f>H733+H735</f>
        <v>5922.7</v>
      </c>
      <c r="I732" s="201"/>
    </row>
    <row r="733" spans="1:9" ht="78.75" x14ac:dyDescent="0.25">
      <c r="A733" s="25" t="s">
        <v>127</v>
      </c>
      <c r="B733" s="16">
        <v>906</v>
      </c>
      <c r="C733" s="20" t="s">
        <v>264</v>
      </c>
      <c r="D733" s="20" t="s">
        <v>219</v>
      </c>
      <c r="E733" s="20" t="s">
        <v>860</v>
      </c>
      <c r="F733" s="20" t="s">
        <v>128</v>
      </c>
      <c r="G733" s="26">
        <f>G734</f>
        <v>5710.7</v>
      </c>
      <c r="H733" s="26">
        <f>H734</f>
        <v>5710.7</v>
      </c>
      <c r="I733" s="201"/>
    </row>
    <row r="734" spans="1:9" ht="31.5" x14ac:dyDescent="0.25">
      <c r="A734" s="25" t="s">
        <v>129</v>
      </c>
      <c r="B734" s="16">
        <v>906</v>
      </c>
      <c r="C734" s="20" t="s">
        <v>264</v>
      </c>
      <c r="D734" s="20" t="s">
        <v>219</v>
      </c>
      <c r="E734" s="20" t="s">
        <v>860</v>
      </c>
      <c r="F734" s="20" t="s">
        <v>130</v>
      </c>
      <c r="G734" s="26">
        <v>5710.7</v>
      </c>
      <c r="H734" s="26">
        <f t="shared" si="66"/>
        <v>5710.7</v>
      </c>
      <c r="I734" s="201"/>
    </row>
    <row r="735" spans="1:9" ht="31.5" x14ac:dyDescent="0.25">
      <c r="A735" s="25" t="s">
        <v>131</v>
      </c>
      <c r="B735" s="16">
        <v>906</v>
      </c>
      <c r="C735" s="20" t="s">
        <v>264</v>
      </c>
      <c r="D735" s="20" t="s">
        <v>219</v>
      </c>
      <c r="E735" s="20" t="s">
        <v>860</v>
      </c>
      <c r="F735" s="20" t="s">
        <v>132</v>
      </c>
      <c r="G735" s="26">
        <f>G736</f>
        <v>212</v>
      </c>
      <c r="H735" s="26">
        <f>H736</f>
        <v>212</v>
      </c>
      <c r="I735" s="201"/>
    </row>
    <row r="736" spans="1:9" ht="31.5" x14ac:dyDescent="0.25">
      <c r="A736" s="25" t="s">
        <v>133</v>
      </c>
      <c r="B736" s="16">
        <v>906</v>
      </c>
      <c r="C736" s="20" t="s">
        <v>264</v>
      </c>
      <c r="D736" s="20" t="s">
        <v>219</v>
      </c>
      <c r="E736" s="20" t="s">
        <v>860</v>
      </c>
      <c r="F736" s="20" t="s">
        <v>134</v>
      </c>
      <c r="G736" s="26">
        <f>212</f>
        <v>212</v>
      </c>
      <c r="H736" s="26">
        <f t="shared" si="66"/>
        <v>212</v>
      </c>
      <c r="I736" s="201"/>
    </row>
    <row r="737" spans="1:9" ht="47.25" x14ac:dyDescent="0.25">
      <c r="A737" s="25" t="s">
        <v>839</v>
      </c>
      <c r="B737" s="16">
        <v>906</v>
      </c>
      <c r="C737" s="20" t="s">
        <v>264</v>
      </c>
      <c r="D737" s="20" t="s">
        <v>219</v>
      </c>
      <c r="E737" s="20" t="s">
        <v>862</v>
      </c>
      <c r="F737" s="20"/>
      <c r="G737" s="26">
        <f>G738</f>
        <v>126</v>
      </c>
      <c r="H737" s="26">
        <f>H738</f>
        <v>126</v>
      </c>
      <c r="I737" s="201"/>
    </row>
    <row r="738" spans="1:9" ht="78.75" x14ac:dyDescent="0.25">
      <c r="A738" s="25" t="s">
        <v>127</v>
      </c>
      <c r="B738" s="16">
        <v>906</v>
      </c>
      <c r="C738" s="20" t="s">
        <v>264</v>
      </c>
      <c r="D738" s="20" t="s">
        <v>219</v>
      </c>
      <c r="E738" s="20" t="s">
        <v>862</v>
      </c>
      <c r="F738" s="20" t="s">
        <v>128</v>
      </c>
      <c r="G738" s="26">
        <f>G739</f>
        <v>126</v>
      </c>
      <c r="H738" s="26">
        <f>H739</f>
        <v>126</v>
      </c>
      <c r="I738" s="201"/>
    </row>
    <row r="739" spans="1:9" ht="31.5" x14ac:dyDescent="0.25">
      <c r="A739" s="25" t="s">
        <v>129</v>
      </c>
      <c r="B739" s="16">
        <v>906</v>
      </c>
      <c r="C739" s="20" t="s">
        <v>264</v>
      </c>
      <c r="D739" s="20" t="s">
        <v>219</v>
      </c>
      <c r="E739" s="20" t="s">
        <v>862</v>
      </c>
      <c r="F739" s="20" t="s">
        <v>130</v>
      </c>
      <c r="G739" s="26">
        <f>126</f>
        <v>126</v>
      </c>
      <c r="H739" s="26">
        <f t="shared" si="66"/>
        <v>126</v>
      </c>
      <c r="I739" s="201"/>
    </row>
    <row r="740" spans="1:9" ht="15.75" x14ac:dyDescent="0.25">
      <c r="A740" s="23" t="s">
        <v>141</v>
      </c>
      <c r="B740" s="19">
        <v>906</v>
      </c>
      <c r="C740" s="24" t="s">
        <v>264</v>
      </c>
      <c r="D740" s="24" t="s">
        <v>219</v>
      </c>
      <c r="E740" s="24" t="s">
        <v>866</v>
      </c>
      <c r="F740" s="24"/>
      <c r="G740" s="21">
        <f>G741+G745</f>
        <v>13783.1</v>
      </c>
      <c r="H740" s="21">
        <f>H741+H745</f>
        <v>13783.1</v>
      </c>
      <c r="I740" s="201"/>
    </row>
    <row r="741" spans="1:9" ht="31.5" x14ac:dyDescent="0.25">
      <c r="A741" s="23" t="s">
        <v>870</v>
      </c>
      <c r="B741" s="19">
        <v>906</v>
      </c>
      <c r="C741" s="24" t="s">
        <v>264</v>
      </c>
      <c r="D741" s="24" t="s">
        <v>219</v>
      </c>
      <c r="E741" s="24" t="s">
        <v>865</v>
      </c>
      <c r="F741" s="24"/>
      <c r="G741" s="21">
        <f t="shared" ref="G741:H743" si="69">G742</f>
        <v>300</v>
      </c>
      <c r="H741" s="21">
        <f t="shared" si="69"/>
        <v>300</v>
      </c>
      <c r="I741" s="201"/>
    </row>
    <row r="742" spans="1:9" ht="15.75" x14ac:dyDescent="0.25">
      <c r="A742" s="25" t="s">
        <v>478</v>
      </c>
      <c r="B742" s="16">
        <v>906</v>
      </c>
      <c r="C742" s="20" t="s">
        <v>264</v>
      </c>
      <c r="D742" s="20" t="s">
        <v>219</v>
      </c>
      <c r="E742" s="20" t="s">
        <v>944</v>
      </c>
      <c r="F742" s="20"/>
      <c r="G742" s="26">
        <f t="shared" si="69"/>
        <v>300</v>
      </c>
      <c r="H742" s="26">
        <f t="shared" si="69"/>
        <v>300</v>
      </c>
      <c r="I742" s="201"/>
    </row>
    <row r="743" spans="1:9" ht="31.5" x14ac:dyDescent="0.25">
      <c r="A743" s="25" t="s">
        <v>131</v>
      </c>
      <c r="B743" s="16">
        <v>906</v>
      </c>
      <c r="C743" s="20" t="s">
        <v>264</v>
      </c>
      <c r="D743" s="20" t="s">
        <v>219</v>
      </c>
      <c r="E743" s="20" t="s">
        <v>944</v>
      </c>
      <c r="F743" s="20" t="s">
        <v>132</v>
      </c>
      <c r="G743" s="26">
        <f t="shared" si="69"/>
        <v>300</v>
      </c>
      <c r="H743" s="26">
        <f t="shared" si="69"/>
        <v>300</v>
      </c>
      <c r="I743" s="201"/>
    </row>
    <row r="744" spans="1:9" ht="33.950000000000003" customHeight="1" x14ac:dyDescent="0.25">
      <c r="A744" s="25" t="s">
        <v>133</v>
      </c>
      <c r="B744" s="16">
        <v>906</v>
      </c>
      <c r="C744" s="20" t="s">
        <v>264</v>
      </c>
      <c r="D744" s="20" t="s">
        <v>219</v>
      </c>
      <c r="E744" s="20" t="s">
        <v>944</v>
      </c>
      <c r="F744" s="20" t="s">
        <v>134</v>
      </c>
      <c r="G744" s="26">
        <v>300</v>
      </c>
      <c r="H744" s="26">
        <f t="shared" si="66"/>
        <v>300</v>
      </c>
      <c r="I744" s="201"/>
    </row>
    <row r="745" spans="1:9" ht="31.5" x14ac:dyDescent="0.25">
      <c r="A745" s="23" t="s">
        <v>929</v>
      </c>
      <c r="B745" s="19">
        <v>906</v>
      </c>
      <c r="C745" s="24" t="s">
        <v>264</v>
      </c>
      <c r="D745" s="24" t="s">
        <v>219</v>
      </c>
      <c r="E745" s="24" t="s">
        <v>914</v>
      </c>
      <c r="F745" s="24"/>
      <c r="G745" s="21">
        <f>G746+G753</f>
        <v>13483.1</v>
      </c>
      <c r="H745" s="21">
        <f>H746+H753</f>
        <v>13483.1</v>
      </c>
      <c r="I745" s="201"/>
    </row>
    <row r="746" spans="1:9" ht="31.5" x14ac:dyDescent="0.25">
      <c r="A746" s="25" t="s">
        <v>1084</v>
      </c>
      <c r="B746" s="16">
        <v>906</v>
      </c>
      <c r="C746" s="20" t="s">
        <v>264</v>
      </c>
      <c r="D746" s="20" t="s">
        <v>219</v>
      </c>
      <c r="E746" s="20" t="s">
        <v>915</v>
      </c>
      <c r="F746" s="20"/>
      <c r="G746" s="26">
        <f>G747+G749+G751</f>
        <v>12977.1</v>
      </c>
      <c r="H746" s="26">
        <f>H747+H749+H751</f>
        <v>12977.1</v>
      </c>
      <c r="I746" s="201"/>
    </row>
    <row r="747" spans="1:9" ht="78.75" x14ac:dyDescent="0.25">
      <c r="A747" s="25" t="s">
        <v>127</v>
      </c>
      <c r="B747" s="16">
        <v>906</v>
      </c>
      <c r="C747" s="20" t="s">
        <v>264</v>
      </c>
      <c r="D747" s="20" t="s">
        <v>219</v>
      </c>
      <c r="E747" s="20" t="s">
        <v>915</v>
      </c>
      <c r="F747" s="20" t="s">
        <v>128</v>
      </c>
      <c r="G747" s="26">
        <f>G748</f>
        <v>11885.1</v>
      </c>
      <c r="H747" s="26">
        <f t="shared" si="66"/>
        <v>11885.1</v>
      </c>
      <c r="I747" s="201"/>
    </row>
    <row r="748" spans="1:9" ht="31.5" x14ac:dyDescent="0.25">
      <c r="A748" s="25" t="s">
        <v>342</v>
      </c>
      <c r="B748" s="16">
        <v>906</v>
      </c>
      <c r="C748" s="20" t="s">
        <v>264</v>
      </c>
      <c r="D748" s="20" t="s">
        <v>219</v>
      </c>
      <c r="E748" s="20" t="s">
        <v>915</v>
      </c>
      <c r="F748" s="20" t="s">
        <v>209</v>
      </c>
      <c r="G748" s="26">
        <v>11885.1</v>
      </c>
      <c r="H748" s="26">
        <f t="shared" si="66"/>
        <v>11885.1</v>
      </c>
      <c r="I748" s="201"/>
    </row>
    <row r="749" spans="1:9" ht="31.5" x14ac:dyDescent="0.25">
      <c r="A749" s="25" t="s">
        <v>131</v>
      </c>
      <c r="B749" s="16">
        <v>906</v>
      </c>
      <c r="C749" s="20" t="s">
        <v>264</v>
      </c>
      <c r="D749" s="20" t="s">
        <v>219</v>
      </c>
      <c r="E749" s="20" t="s">
        <v>915</v>
      </c>
      <c r="F749" s="20" t="s">
        <v>132</v>
      </c>
      <c r="G749" s="26">
        <f>G750</f>
        <v>1077</v>
      </c>
      <c r="H749" s="26">
        <f t="shared" si="66"/>
        <v>1077</v>
      </c>
      <c r="I749" s="201"/>
    </row>
    <row r="750" spans="1:9" ht="31.5" x14ac:dyDescent="0.25">
      <c r="A750" s="25" t="s">
        <v>133</v>
      </c>
      <c r="B750" s="16">
        <v>906</v>
      </c>
      <c r="C750" s="20" t="s">
        <v>264</v>
      </c>
      <c r="D750" s="20" t="s">
        <v>219</v>
      </c>
      <c r="E750" s="20" t="s">
        <v>915</v>
      </c>
      <c r="F750" s="20" t="s">
        <v>134</v>
      </c>
      <c r="G750" s="26">
        <f>1077</f>
        <v>1077</v>
      </c>
      <c r="H750" s="26">
        <f t="shared" si="66"/>
        <v>1077</v>
      </c>
      <c r="I750" s="201"/>
    </row>
    <row r="751" spans="1:9" ht="15.75" x14ac:dyDescent="0.25">
      <c r="A751" s="25" t="s">
        <v>135</v>
      </c>
      <c r="B751" s="16">
        <v>906</v>
      </c>
      <c r="C751" s="20" t="s">
        <v>264</v>
      </c>
      <c r="D751" s="20" t="s">
        <v>219</v>
      </c>
      <c r="E751" s="20" t="s">
        <v>915</v>
      </c>
      <c r="F751" s="20" t="s">
        <v>145</v>
      </c>
      <c r="G751" s="26">
        <f>G752</f>
        <v>15</v>
      </c>
      <c r="H751" s="26">
        <f t="shared" si="66"/>
        <v>15</v>
      </c>
      <c r="I751" s="201"/>
    </row>
    <row r="752" spans="1:9" ht="15.75" x14ac:dyDescent="0.25">
      <c r="A752" s="25" t="s">
        <v>568</v>
      </c>
      <c r="B752" s="16">
        <v>906</v>
      </c>
      <c r="C752" s="20" t="s">
        <v>264</v>
      </c>
      <c r="D752" s="20" t="s">
        <v>219</v>
      </c>
      <c r="E752" s="20" t="s">
        <v>915</v>
      </c>
      <c r="F752" s="20" t="s">
        <v>138</v>
      </c>
      <c r="G752" s="26">
        <f>15</f>
        <v>15</v>
      </c>
      <c r="H752" s="26">
        <f t="shared" si="66"/>
        <v>15</v>
      </c>
      <c r="I752" s="201"/>
    </row>
    <row r="753" spans="1:9" ht="47.25" x14ac:dyDescent="0.25">
      <c r="A753" s="25" t="s">
        <v>839</v>
      </c>
      <c r="B753" s="16">
        <v>906</v>
      </c>
      <c r="C753" s="20" t="s">
        <v>264</v>
      </c>
      <c r="D753" s="20" t="s">
        <v>219</v>
      </c>
      <c r="E753" s="20" t="s">
        <v>916</v>
      </c>
      <c r="F753" s="20"/>
      <c r="G753" s="26">
        <f>G754</f>
        <v>506</v>
      </c>
      <c r="H753" s="26">
        <f>H754</f>
        <v>506</v>
      </c>
      <c r="I753" s="201"/>
    </row>
    <row r="754" spans="1:9" ht="78.75" x14ac:dyDescent="0.25">
      <c r="A754" s="25" t="s">
        <v>127</v>
      </c>
      <c r="B754" s="16">
        <v>906</v>
      </c>
      <c r="C754" s="20" t="s">
        <v>264</v>
      </c>
      <c r="D754" s="20" t="s">
        <v>219</v>
      </c>
      <c r="E754" s="20" t="s">
        <v>916</v>
      </c>
      <c r="F754" s="20" t="s">
        <v>128</v>
      </c>
      <c r="G754" s="26">
        <f>G755</f>
        <v>506</v>
      </c>
      <c r="H754" s="26">
        <f>H755</f>
        <v>506</v>
      </c>
      <c r="I754" s="201"/>
    </row>
    <row r="755" spans="1:9" ht="31.5" x14ac:dyDescent="0.25">
      <c r="A755" s="25" t="s">
        <v>342</v>
      </c>
      <c r="B755" s="16">
        <v>906</v>
      </c>
      <c r="C755" s="20" t="s">
        <v>264</v>
      </c>
      <c r="D755" s="20" t="s">
        <v>219</v>
      </c>
      <c r="E755" s="20" t="s">
        <v>916</v>
      </c>
      <c r="F755" s="20" t="s">
        <v>209</v>
      </c>
      <c r="G755" s="26">
        <v>506</v>
      </c>
      <c r="H755" s="26">
        <v>506</v>
      </c>
      <c r="I755" s="201"/>
    </row>
    <row r="756" spans="1:9" ht="31.5" x14ac:dyDescent="0.25">
      <c r="A756" s="19" t="s">
        <v>1371</v>
      </c>
      <c r="B756" s="19">
        <v>907</v>
      </c>
      <c r="C756" s="20"/>
      <c r="D756" s="20"/>
      <c r="E756" s="20"/>
      <c r="F756" s="20"/>
      <c r="G756" s="21">
        <f>G764+G757</f>
        <v>64155.099999999991</v>
      </c>
      <c r="H756" s="21">
        <f>H764+H757</f>
        <v>64086.3</v>
      </c>
      <c r="I756" s="201"/>
    </row>
    <row r="757" spans="1:9" s="200" customFormat="1" ht="15.75" x14ac:dyDescent="0.25">
      <c r="A757" s="23" t="s">
        <v>117</v>
      </c>
      <c r="B757" s="19">
        <v>907</v>
      </c>
      <c r="C757" s="24" t="s">
        <v>118</v>
      </c>
      <c r="D757" s="24"/>
      <c r="E757" s="24"/>
      <c r="F757" s="24"/>
      <c r="G757" s="21">
        <f t="shared" ref="G757:H758" si="70">G758</f>
        <v>100</v>
      </c>
      <c r="H757" s="21">
        <f t="shared" si="70"/>
        <v>0</v>
      </c>
      <c r="I757" s="201"/>
    </row>
    <row r="758" spans="1:9" s="200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21">
        <f t="shared" si="70"/>
        <v>100</v>
      </c>
      <c r="H758" s="21">
        <f t="shared" si="70"/>
        <v>0</v>
      </c>
      <c r="I758" s="201"/>
    </row>
    <row r="759" spans="1:9" s="200" customFormat="1" ht="47.25" x14ac:dyDescent="0.25">
      <c r="A759" s="23" t="s">
        <v>1352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21">
        <f t="shared" ref="G759:H762" si="71">G760</f>
        <v>100</v>
      </c>
      <c r="H759" s="21">
        <f t="shared" si="71"/>
        <v>0</v>
      </c>
      <c r="I759" s="201"/>
    </row>
    <row r="760" spans="1:9" s="200" customFormat="1" ht="31.5" x14ac:dyDescent="0.25">
      <c r="A760" s="208" t="s">
        <v>1050</v>
      </c>
      <c r="B760" s="19">
        <v>907</v>
      </c>
      <c r="C760" s="24" t="s">
        <v>118</v>
      </c>
      <c r="D760" s="24" t="s">
        <v>140</v>
      </c>
      <c r="E760" s="24" t="s">
        <v>1051</v>
      </c>
      <c r="F760" s="24"/>
      <c r="G760" s="21">
        <f t="shared" si="71"/>
        <v>100</v>
      </c>
      <c r="H760" s="21">
        <f t="shared" si="71"/>
        <v>0</v>
      </c>
      <c r="I760" s="201"/>
    </row>
    <row r="761" spans="1:9" s="200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1052</v>
      </c>
      <c r="F761" s="20"/>
      <c r="G761" s="26">
        <f t="shared" si="71"/>
        <v>100</v>
      </c>
      <c r="H761" s="26">
        <f t="shared" si="71"/>
        <v>0</v>
      </c>
      <c r="I761" s="201"/>
    </row>
    <row r="762" spans="1:9" s="200" customFormat="1" ht="31.5" x14ac:dyDescent="0.25">
      <c r="A762" s="25" t="s">
        <v>131</v>
      </c>
      <c r="B762" s="16">
        <v>907</v>
      </c>
      <c r="C762" s="20" t="s">
        <v>118</v>
      </c>
      <c r="D762" s="20" t="s">
        <v>140</v>
      </c>
      <c r="E762" s="20" t="s">
        <v>1052</v>
      </c>
      <c r="F762" s="20" t="s">
        <v>132</v>
      </c>
      <c r="G762" s="26">
        <f t="shared" si="71"/>
        <v>100</v>
      </c>
      <c r="H762" s="26">
        <f t="shared" si="71"/>
        <v>0</v>
      </c>
      <c r="I762" s="201"/>
    </row>
    <row r="763" spans="1:9" s="200" customFormat="1" ht="31.5" x14ac:dyDescent="0.25">
      <c r="A763" s="25" t="s">
        <v>133</v>
      </c>
      <c r="B763" s="16">
        <v>907</v>
      </c>
      <c r="C763" s="20" t="s">
        <v>118</v>
      </c>
      <c r="D763" s="20" t="s">
        <v>140</v>
      </c>
      <c r="E763" s="20" t="s">
        <v>1052</v>
      </c>
      <c r="F763" s="20" t="s">
        <v>134</v>
      </c>
      <c r="G763" s="26">
        <v>100</v>
      </c>
      <c r="H763" s="26">
        <v>0</v>
      </c>
      <c r="I763" s="201"/>
    </row>
    <row r="764" spans="1:9" ht="15.75" x14ac:dyDescent="0.25">
      <c r="A764" s="23" t="s">
        <v>490</v>
      </c>
      <c r="B764" s="19">
        <v>907</v>
      </c>
      <c r="C764" s="24" t="s">
        <v>491</v>
      </c>
      <c r="D764" s="20"/>
      <c r="E764" s="20"/>
      <c r="F764" s="20"/>
      <c r="G764" s="21">
        <f>G765+G803</f>
        <v>64055.099999999991</v>
      </c>
      <c r="H764" s="21">
        <f>H765+H803</f>
        <v>64086.3</v>
      </c>
      <c r="I764" s="201"/>
    </row>
    <row r="765" spans="1:9" ht="15.75" x14ac:dyDescent="0.25">
      <c r="A765" s="23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21">
        <f>G766+G798+G793</f>
        <v>50525.899999999994</v>
      </c>
      <c r="H765" s="21">
        <f>H766+H798+H793</f>
        <v>50557.1</v>
      </c>
      <c r="I765" s="201"/>
    </row>
    <row r="766" spans="1:9" ht="47.25" x14ac:dyDescent="0.25">
      <c r="A766" s="23" t="s">
        <v>1372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21">
        <f>G767+G778+G782+G789</f>
        <v>49946.799999999996</v>
      </c>
      <c r="H766" s="21">
        <f>H767+H778+H782+H789</f>
        <v>49946.799999999996</v>
      </c>
      <c r="I766" s="201"/>
    </row>
    <row r="767" spans="1:9" ht="31.5" x14ac:dyDescent="0.25">
      <c r="A767" s="23" t="s">
        <v>937</v>
      </c>
      <c r="B767" s="19">
        <v>907</v>
      </c>
      <c r="C767" s="24" t="s">
        <v>491</v>
      </c>
      <c r="D767" s="24" t="s">
        <v>118</v>
      </c>
      <c r="E767" s="24" t="s">
        <v>1264</v>
      </c>
      <c r="F767" s="24"/>
      <c r="G767" s="21">
        <f t="shared" ref="G767:H769" si="72">G768</f>
        <v>47819.6</v>
      </c>
      <c r="H767" s="21">
        <f t="shared" si="72"/>
        <v>47819.6</v>
      </c>
      <c r="I767" s="201"/>
    </row>
    <row r="768" spans="1:9" ht="31.5" x14ac:dyDescent="0.25">
      <c r="A768" s="25" t="s">
        <v>1294</v>
      </c>
      <c r="B768" s="16">
        <v>907</v>
      </c>
      <c r="C768" s="20" t="s">
        <v>491</v>
      </c>
      <c r="D768" s="20" t="s">
        <v>118</v>
      </c>
      <c r="E768" s="20" t="s">
        <v>1265</v>
      </c>
      <c r="F768" s="20"/>
      <c r="G768" s="26">
        <f t="shared" si="72"/>
        <v>47819.6</v>
      </c>
      <c r="H768" s="26">
        <f t="shared" si="72"/>
        <v>47819.6</v>
      </c>
      <c r="I768" s="201"/>
    </row>
    <row r="769" spans="1:9" ht="31.5" x14ac:dyDescent="0.25">
      <c r="A769" s="25" t="s">
        <v>272</v>
      </c>
      <c r="B769" s="16">
        <v>907</v>
      </c>
      <c r="C769" s="20" t="s">
        <v>491</v>
      </c>
      <c r="D769" s="20" t="s">
        <v>118</v>
      </c>
      <c r="E769" s="20" t="s">
        <v>1265</v>
      </c>
      <c r="F769" s="20" t="s">
        <v>273</v>
      </c>
      <c r="G769" s="26">
        <f t="shared" si="72"/>
        <v>47819.6</v>
      </c>
      <c r="H769" s="26">
        <f t="shared" si="72"/>
        <v>47819.6</v>
      </c>
      <c r="I769" s="201"/>
    </row>
    <row r="770" spans="1:9" ht="15.75" x14ac:dyDescent="0.25">
      <c r="A770" s="25" t="s">
        <v>274</v>
      </c>
      <c r="B770" s="16">
        <v>907</v>
      </c>
      <c r="C770" s="20" t="s">
        <v>491</v>
      </c>
      <c r="D770" s="20" t="s">
        <v>118</v>
      </c>
      <c r="E770" s="20" t="s">
        <v>1265</v>
      </c>
      <c r="F770" s="20" t="s">
        <v>275</v>
      </c>
      <c r="G770" s="26">
        <v>47819.6</v>
      </c>
      <c r="H770" s="26">
        <f t="shared" si="66"/>
        <v>47819.6</v>
      </c>
      <c r="I770" s="201"/>
    </row>
    <row r="771" spans="1:9" ht="31.5" x14ac:dyDescent="0.25">
      <c r="A771" s="23" t="s">
        <v>945</v>
      </c>
      <c r="B771" s="19">
        <v>907</v>
      </c>
      <c r="C771" s="24" t="s">
        <v>491</v>
      </c>
      <c r="D771" s="24" t="s">
        <v>118</v>
      </c>
      <c r="E771" s="24" t="s">
        <v>946</v>
      </c>
      <c r="F771" s="24"/>
      <c r="G771" s="44">
        <f>G772+G775+G779</f>
        <v>268.89999999999998</v>
      </c>
      <c r="H771" s="44">
        <f>H772+H775+H779</f>
        <v>268.89999999999998</v>
      </c>
      <c r="I771" s="201"/>
    </row>
    <row r="772" spans="1:9" ht="31.5" hidden="1" x14ac:dyDescent="0.25">
      <c r="A772" s="25" t="s">
        <v>278</v>
      </c>
      <c r="B772" s="16">
        <v>907</v>
      </c>
      <c r="C772" s="20" t="s">
        <v>491</v>
      </c>
      <c r="D772" s="20" t="s">
        <v>118</v>
      </c>
      <c r="E772" s="20" t="s">
        <v>949</v>
      </c>
      <c r="F772" s="20"/>
      <c r="G772" s="26">
        <f>'Пр.4 ведом.21'!G812</f>
        <v>232.9</v>
      </c>
      <c r="H772" s="26">
        <f t="shared" ref="H772:H830" si="73">G772</f>
        <v>232.9</v>
      </c>
      <c r="I772" s="201"/>
    </row>
    <row r="773" spans="1:9" ht="31.5" hidden="1" x14ac:dyDescent="0.25">
      <c r="A773" s="25" t="s">
        <v>272</v>
      </c>
      <c r="B773" s="16">
        <v>907</v>
      </c>
      <c r="C773" s="20" t="s">
        <v>491</v>
      </c>
      <c r="D773" s="20" t="s">
        <v>118</v>
      </c>
      <c r="E773" s="20" t="s">
        <v>949</v>
      </c>
      <c r="F773" s="20" t="s">
        <v>273</v>
      </c>
      <c r="G773" s="26">
        <f>'Пр.4 ведом.21'!G813</f>
        <v>232.9</v>
      </c>
      <c r="H773" s="26">
        <f t="shared" si="73"/>
        <v>232.9</v>
      </c>
      <c r="I773" s="201"/>
    </row>
    <row r="774" spans="1:9" ht="15.75" hidden="1" x14ac:dyDescent="0.25">
      <c r="A774" s="25" t="s">
        <v>274</v>
      </c>
      <c r="B774" s="16">
        <v>907</v>
      </c>
      <c r="C774" s="20" t="s">
        <v>491</v>
      </c>
      <c r="D774" s="20" t="s">
        <v>118</v>
      </c>
      <c r="E774" s="20" t="s">
        <v>949</v>
      </c>
      <c r="F774" s="20" t="s">
        <v>275</v>
      </c>
      <c r="G774" s="26">
        <f>'Пр.4 ведом.21'!G814</f>
        <v>232.9</v>
      </c>
      <c r="H774" s="26">
        <f t="shared" si="73"/>
        <v>232.9</v>
      </c>
      <c r="I774" s="201"/>
    </row>
    <row r="775" spans="1:9" ht="31.5" hidden="1" x14ac:dyDescent="0.25">
      <c r="A775" s="25" t="s">
        <v>280</v>
      </c>
      <c r="B775" s="16">
        <v>907</v>
      </c>
      <c r="C775" s="20" t="s">
        <v>491</v>
      </c>
      <c r="D775" s="20" t="s">
        <v>118</v>
      </c>
      <c r="E775" s="20" t="s">
        <v>950</v>
      </c>
      <c r="F775" s="20"/>
      <c r="G775" s="26">
        <f>G776</f>
        <v>0</v>
      </c>
      <c r="H775" s="26">
        <f>H776</f>
        <v>0</v>
      </c>
      <c r="I775" s="201"/>
    </row>
    <row r="776" spans="1:9" ht="31.5" hidden="1" x14ac:dyDescent="0.25">
      <c r="A776" s="25" t="s">
        <v>272</v>
      </c>
      <c r="B776" s="16">
        <v>907</v>
      </c>
      <c r="C776" s="20" t="s">
        <v>491</v>
      </c>
      <c r="D776" s="20" t="s">
        <v>118</v>
      </c>
      <c r="E776" s="20" t="s">
        <v>950</v>
      </c>
      <c r="F776" s="20" t="s">
        <v>273</v>
      </c>
      <c r="G776" s="26">
        <f>G777</f>
        <v>0</v>
      </c>
      <c r="H776" s="26">
        <f>H777</f>
        <v>0</v>
      </c>
      <c r="I776" s="201"/>
    </row>
    <row r="777" spans="1:9" ht="15.75" hidden="1" x14ac:dyDescent="0.25">
      <c r="A777" s="25" t="s">
        <v>274</v>
      </c>
      <c r="B777" s="16">
        <v>907</v>
      </c>
      <c r="C777" s="20" t="s">
        <v>491</v>
      </c>
      <c r="D777" s="20" t="s">
        <v>118</v>
      </c>
      <c r="E777" s="20" t="s">
        <v>950</v>
      </c>
      <c r="F777" s="20" t="s">
        <v>275</v>
      </c>
      <c r="G777" s="26">
        <v>0</v>
      </c>
      <c r="H777" s="26">
        <f t="shared" si="73"/>
        <v>0</v>
      </c>
      <c r="I777" s="201"/>
    </row>
    <row r="778" spans="1:9" s="200" customFormat="1" ht="31.5" x14ac:dyDescent="0.25">
      <c r="A778" s="23" t="s">
        <v>945</v>
      </c>
      <c r="B778" s="19">
        <v>907</v>
      </c>
      <c r="C778" s="24" t="s">
        <v>491</v>
      </c>
      <c r="D778" s="24" t="s">
        <v>118</v>
      </c>
      <c r="E778" s="24" t="s">
        <v>1266</v>
      </c>
      <c r="F778" s="20"/>
      <c r="G778" s="21">
        <f t="shared" ref="G778:H780" si="74">G779</f>
        <v>36</v>
      </c>
      <c r="H778" s="21">
        <f t="shared" si="74"/>
        <v>36</v>
      </c>
      <c r="I778" s="201"/>
    </row>
    <row r="779" spans="1:9" ht="15.75" x14ac:dyDescent="0.25">
      <c r="A779" s="25" t="s">
        <v>830</v>
      </c>
      <c r="B779" s="16">
        <v>907</v>
      </c>
      <c r="C779" s="20" t="s">
        <v>491</v>
      </c>
      <c r="D779" s="20" t="s">
        <v>118</v>
      </c>
      <c r="E779" s="20" t="s">
        <v>1267</v>
      </c>
      <c r="F779" s="20"/>
      <c r="G779" s="26">
        <f t="shared" si="74"/>
        <v>36</v>
      </c>
      <c r="H779" s="26">
        <f t="shared" si="74"/>
        <v>36</v>
      </c>
      <c r="I779" s="201"/>
    </row>
    <row r="780" spans="1:9" ht="31.5" x14ac:dyDescent="0.25">
      <c r="A780" s="25" t="s">
        <v>272</v>
      </c>
      <c r="B780" s="16">
        <v>907</v>
      </c>
      <c r="C780" s="20" t="s">
        <v>491</v>
      </c>
      <c r="D780" s="20" t="s">
        <v>118</v>
      </c>
      <c r="E780" s="20" t="s">
        <v>1267</v>
      </c>
      <c r="F780" s="20" t="s">
        <v>273</v>
      </c>
      <c r="G780" s="26">
        <f t="shared" si="74"/>
        <v>36</v>
      </c>
      <c r="H780" s="26">
        <f t="shared" si="74"/>
        <v>36</v>
      </c>
      <c r="I780" s="201"/>
    </row>
    <row r="781" spans="1:9" ht="15.75" x14ac:dyDescent="0.25">
      <c r="A781" s="25" t="s">
        <v>274</v>
      </c>
      <c r="B781" s="16">
        <v>907</v>
      </c>
      <c r="C781" s="20" t="s">
        <v>491</v>
      </c>
      <c r="D781" s="20" t="s">
        <v>118</v>
      </c>
      <c r="E781" s="20" t="s">
        <v>1267</v>
      </c>
      <c r="F781" s="20" t="s">
        <v>275</v>
      </c>
      <c r="G781" s="26">
        <f>36</f>
        <v>36</v>
      </c>
      <c r="H781" s="26">
        <f t="shared" si="73"/>
        <v>36</v>
      </c>
      <c r="I781" s="201"/>
    </row>
    <row r="782" spans="1:9" ht="31.5" x14ac:dyDescent="0.25">
      <c r="A782" s="23" t="s">
        <v>947</v>
      </c>
      <c r="B782" s="19">
        <v>907</v>
      </c>
      <c r="C782" s="24" t="s">
        <v>491</v>
      </c>
      <c r="D782" s="24" t="s">
        <v>118</v>
      </c>
      <c r="E782" s="24" t="s">
        <v>1268</v>
      </c>
      <c r="F782" s="24"/>
      <c r="G782" s="21">
        <f>G783+G786</f>
        <v>1277.7</v>
      </c>
      <c r="H782" s="21">
        <f>H783+H786</f>
        <v>1277.7</v>
      </c>
      <c r="I782" s="201"/>
    </row>
    <row r="783" spans="1:9" ht="31.5" hidden="1" x14ac:dyDescent="0.25">
      <c r="A783" s="25" t="s">
        <v>791</v>
      </c>
      <c r="B783" s="16">
        <v>907</v>
      </c>
      <c r="C783" s="20" t="s">
        <v>491</v>
      </c>
      <c r="D783" s="20" t="s">
        <v>118</v>
      </c>
      <c r="E783" s="20" t="s">
        <v>1306</v>
      </c>
      <c r="F783" s="20"/>
      <c r="G783" s="26">
        <f>'Пр.4 ведом.21'!G825</f>
        <v>73.7</v>
      </c>
      <c r="H783" s="26">
        <f t="shared" si="73"/>
        <v>73.7</v>
      </c>
      <c r="I783" s="201"/>
    </row>
    <row r="784" spans="1:9" ht="31.5" hidden="1" x14ac:dyDescent="0.25">
      <c r="A784" s="25" t="s">
        <v>272</v>
      </c>
      <c r="B784" s="16">
        <v>907</v>
      </c>
      <c r="C784" s="20" t="s">
        <v>491</v>
      </c>
      <c r="D784" s="20" t="s">
        <v>118</v>
      </c>
      <c r="E784" s="20" t="s">
        <v>1306</v>
      </c>
      <c r="F784" s="20" t="s">
        <v>273</v>
      </c>
      <c r="G784" s="26">
        <f>'Пр.4 ведом.21'!G826</f>
        <v>73.7</v>
      </c>
      <c r="H784" s="26">
        <f t="shared" si="73"/>
        <v>73.7</v>
      </c>
      <c r="I784" s="201"/>
    </row>
    <row r="785" spans="1:9" ht="15.75" hidden="1" x14ac:dyDescent="0.25">
      <c r="A785" s="25" t="s">
        <v>274</v>
      </c>
      <c r="B785" s="16">
        <v>907</v>
      </c>
      <c r="C785" s="20" t="s">
        <v>491</v>
      </c>
      <c r="D785" s="20" t="s">
        <v>118</v>
      </c>
      <c r="E785" s="20" t="s">
        <v>1306</v>
      </c>
      <c r="F785" s="20" t="s">
        <v>275</v>
      </c>
      <c r="G785" s="26">
        <f>'Пр.4 ведом.21'!G827</f>
        <v>73.7</v>
      </c>
      <c r="H785" s="26">
        <f t="shared" si="73"/>
        <v>73.7</v>
      </c>
      <c r="I785" s="201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1269</v>
      </c>
      <c r="F786" s="20"/>
      <c r="G786" s="26">
        <f>G787</f>
        <v>1204</v>
      </c>
      <c r="H786" s="26">
        <f>H787</f>
        <v>1204</v>
      </c>
      <c r="I786" s="201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1269</v>
      </c>
      <c r="F787" s="20" t="s">
        <v>273</v>
      </c>
      <c r="G787" s="26">
        <f>G788</f>
        <v>1204</v>
      </c>
      <c r="H787" s="26">
        <f>H788</f>
        <v>1204</v>
      </c>
      <c r="I787" s="201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1269</v>
      </c>
      <c r="F788" s="20" t="s">
        <v>275</v>
      </c>
      <c r="G788" s="26">
        <v>1204</v>
      </c>
      <c r="H788" s="26">
        <f t="shared" si="73"/>
        <v>1204</v>
      </c>
      <c r="I788" s="201"/>
    </row>
    <row r="789" spans="1:9" ht="47.25" x14ac:dyDescent="0.25">
      <c r="A789" s="23" t="s">
        <v>900</v>
      </c>
      <c r="B789" s="19">
        <v>907</v>
      </c>
      <c r="C789" s="24" t="s">
        <v>491</v>
      </c>
      <c r="D789" s="24" t="s">
        <v>118</v>
      </c>
      <c r="E789" s="24" t="s">
        <v>1270</v>
      </c>
      <c r="F789" s="24"/>
      <c r="G789" s="21">
        <f>G790</f>
        <v>813.5</v>
      </c>
      <c r="H789" s="21">
        <f>H790</f>
        <v>813.5</v>
      </c>
      <c r="I789" s="201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1405</v>
      </c>
      <c r="F790" s="20"/>
      <c r="G790" s="26">
        <f t="shared" ref="G790:H791" si="75">G791</f>
        <v>813.5</v>
      </c>
      <c r="H790" s="26">
        <f t="shared" si="75"/>
        <v>813.5</v>
      </c>
      <c r="I790" s="201"/>
    </row>
    <row r="791" spans="1:9" ht="31.5" x14ac:dyDescent="0.25">
      <c r="A791" s="25" t="s">
        <v>272</v>
      </c>
      <c r="B791" s="16">
        <v>907</v>
      </c>
      <c r="C791" s="20" t="s">
        <v>491</v>
      </c>
      <c r="D791" s="20" t="s">
        <v>118</v>
      </c>
      <c r="E791" s="20" t="s">
        <v>1405</v>
      </c>
      <c r="F791" s="20" t="s">
        <v>273</v>
      </c>
      <c r="G791" s="26">
        <f t="shared" si="75"/>
        <v>813.5</v>
      </c>
      <c r="H791" s="26">
        <f t="shared" si="75"/>
        <v>813.5</v>
      </c>
      <c r="I791" s="201"/>
    </row>
    <row r="792" spans="1:9" ht="15.75" x14ac:dyDescent="0.25">
      <c r="A792" s="25" t="s">
        <v>274</v>
      </c>
      <c r="B792" s="16">
        <v>907</v>
      </c>
      <c r="C792" s="20" t="s">
        <v>491</v>
      </c>
      <c r="D792" s="20" t="s">
        <v>118</v>
      </c>
      <c r="E792" s="20" t="s">
        <v>1405</v>
      </c>
      <c r="F792" s="20" t="s">
        <v>275</v>
      </c>
      <c r="G792" s="26">
        <f>813.5</f>
        <v>813.5</v>
      </c>
      <c r="H792" s="26">
        <f t="shared" si="73"/>
        <v>813.5</v>
      </c>
      <c r="I792" s="252">
        <f>12177.1/11326*870.2</f>
        <v>935.59177291188428</v>
      </c>
    </row>
    <row r="793" spans="1:9" s="200" customFormat="1" ht="47.25" hidden="1" x14ac:dyDescent="0.25">
      <c r="A793" s="34" t="s">
        <v>1360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21">
        <f t="shared" ref="G793:H796" si="76">G794</f>
        <v>0</v>
      </c>
      <c r="H793" s="21">
        <f t="shared" si="76"/>
        <v>8</v>
      </c>
      <c r="I793" s="252"/>
    </row>
    <row r="794" spans="1:9" s="200" customFormat="1" ht="63" hidden="1" x14ac:dyDescent="0.25">
      <c r="A794" s="34" t="s">
        <v>1009</v>
      </c>
      <c r="B794" s="19">
        <v>907</v>
      </c>
      <c r="C794" s="24" t="s">
        <v>491</v>
      </c>
      <c r="D794" s="24" t="s">
        <v>118</v>
      </c>
      <c r="E794" s="24" t="s">
        <v>934</v>
      </c>
      <c r="F794" s="24"/>
      <c r="G794" s="21">
        <f t="shared" si="76"/>
        <v>0</v>
      </c>
      <c r="H794" s="21">
        <f t="shared" si="76"/>
        <v>8</v>
      </c>
      <c r="I794" s="252"/>
    </row>
    <row r="795" spans="1:9" s="200" customFormat="1" ht="47.25" hidden="1" x14ac:dyDescent="0.25">
      <c r="A795" s="31" t="s">
        <v>1082</v>
      </c>
      <c r="B795" s="16">
        <v>907</v>
      </c>
      <c r="C795" s="20" t="s">
        <v>491</v>
      </c>
      <c r="D795" s="20" t="s">
        <v>118</v>
      </c>
      <c r="E795" s="20" t="s">
        <v>935</v>
      </c>
      <c r="F795" s="20"/>
      <c r="G795" s="26">
        <f t="shared" si="76"/>
        <v>0</v>
      </c>
      <c r="H795" s="26">
        <f t="shared" si="76"/>
        <v>8</v>
      </c>
      <c r="I795" s="252"/>
    </row>
    <row r="796" spans="1:9" s="200" customFormat="1" ht="31.5" hidden="1" x14ac:dyDescent="0.25">
      <c r="A796" s="25" t="s">
        <v>131</v>
      </c>
      <c r="B796" s="16">
        <v>907</v>
      </c>
      <c r="C796" s="20" t="s">
        <v>491</v>
      </c>
      <c r="D796" s="20" t="s">
        <v>118</v>
      </c>
      <c r="E796" s="20" t="s">
        <v>935</v>
      </c>
      <c r="F796" s="20" t="s">
        <v>273</v>
      </c>
      <c r="G796" s="26">
        <f t="shared" si="76"/>
        <v>0</v>
      </c>
      <c r="H796" s="26">
        <f t="shared" si="76"/>
        <v>8</v>
      </c>
      <c r="I796" s="252"/>
    </row>
    <row r="797" spans="1:9" s="200" customFormat="1" ht="31.5" hidden="1" x14ac:dyDescent="0.25">
      <c r="A797" s="25" t="s">
        <v>133</v>
      </c>
      <c r="B797" s="16">
        <v>907</v>
      </c>
      <c r="C797" s="20" t="s">
        <v>491</v>
      </c>
      <c r="D797" s="20" t="s">
        <v>118</v>
      </c>
      <c r="E797" s="20" t="s">
        <v>935</v>
      </c>
      <c r="F797" s="20" t="s">
        <v>275</v>
      </c>
      <c r="G797" s="26">
        <v>0</v>
      </c>
      <c r="H797" s="26">
        <v>8</v>
      </c>
      <c r="I797" s="252"/>
    </row>
    <row r="798" spans="1:9" ht="47.25" x14ac:dyDescent="0.25">
      <c r="A798" s="41" t="s">
        <v>1355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17"/>
      <c r="G798" s="21">
        <f t="shared" ref="G798:H801" si="77">G799</f>
        <v>579.1</v>
      </c>
      <c r="H798" s="21">
        <f t="shared" si="77"/>
        <v>602.29999999999995</v>
      </c>
      <c r="I798" s="201"/>
    </row>
    <row r="799" spans="1:9" ht="47.25" x14ac:dyDescent="0.25">
      <c r="A799" s="41" t="s">
        <v>890</v>
      </c>
      <c r="B799" s="19">
        <v>907</v>
      </c>
      <c r="C799" s="24" t="s">
        <v>491</v>
      </c>
      <c r="D799" s="24" t="s">
        <v>118</v>
      </c>
      <c r="E799" s="24" t="s">
        <v>888</v>
      </c>
      <c r="F799" s="217"/>
      <c r="G799" s="21">
        <f t="shared" si="77"/>
        <v>579.1</v>
      </c>
      <c r="H799" s="21">
        <f t="shared" si="77"/>
        <v>602.29999999999995</v>
      </c>
      <c r="I799" s="201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936</v>
      </c>
      <c r="F800" s="32"/>
      <c r="G800" s="26">
        <f t="shared" si="77"/>
        <v>579.1</v>
      </c>
      <c r="H800" s="26">
        <f t="shared" si="77"/>
        <v>602.29999999999995</v>
      </c>
      <c r="I800" s="201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936</v>
      </c>
      <c r="F801" s="32" t="s">
        <v>273</v>
      </c>
      <c r="G801" s="26">
        <f t="shared" si="77"/>
        <v>579.1</v>
      </c>
      <c r="H801" s="26">
        <f t="shared" si="77"/>
        <v>602.29999999999995</v>
      </c>
      <c r="I801" s="201"/>
    </row>
    <row r="802" spans="1:9" ht="15.75" x14ac:dyDescent="0.25">
      <c r="A802" s="182" t="s">
        <v>274</v>
      </c>
      <c r="B802" s="16">
        <v>907</v>
      </c>
      <c r="C802" s="20" t="s">
        <v>491</v>
      </c>
      <c r="D802" s="20" t="s">
        <v>118</v>
      </c>
      <c r="E802" s="20" t="s">
        <v>936</v>
      </c>
      <c r="F802" s="32" t="s">
        <v>275</v>
      </c>
      <c r="G802" s="26">
        <v>579.1</v>
      </c>
      <c r="H802" s="26">
        <v>602.29999999999995</v>
      </c>
      <c r="I802" s="201"/>
    </row>
    <row r="803" spans="1:9" ht="31.5" x14ac:dyDescent="0.25">
      <c r="A803" s="23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21">
        <f>G804+G812+G824</f>
        <v>13529.2</v>
      </c>
      <c r="H803" s="21">
        <f>H804+H812+H824</f>
        <v>13529.2</v>
      </c>
      <c r="I803" s="201"/>
    </row>
    <row r="804" spans="1:9" ht="31.5" x14ac:dyDescent="0.25">
      <c r="A804" s="23" t="s">
        <v>917</v>
      </c>
      <c r="B804" s="19">
        <v>907</v>
      </c>
      <c r="C804" s="24" t="s">
        <v>491</v>
      </c>
      <c r="D804" s="24" t="s">
        <v>234</v>
      </c>
      <c r="E804" s="24" t="s">
        <v>858</v>
      </c>
      <c r="F804" s="24"/>
      <c r="G804" s="21">
        <f>G805</f>
        <v>5224.5</v>
      </c>
      <c r="H804" s="21">
        <f>H805</f>
        <v>5224.5</v>
      </c>
      <c r="I804" s="201"/>
    </row>
    <row r="805" spans="1:9" ht="15.75" x14ac:dyDescent="0.25">
      <c r="A805" s="23" t="s">
        <v>918</v>
      </c>
      <c r="B805" s="19">
        <v>907</v>
      </c>
      <c r="C805" s="24" t="s">
        <v>491</v>
      </c>
      <c r="D805" s="24" t="s">
        <v>234</v>
      </c>
      <c r="E805" s="24" t="s">
        <v>859</v>
      </c>
      <c r="F805" s="24"/>
      <c r="G805" s="21">
        <f>G806+G809</f>
        <v>5224.5</v>
      </c>
      <c r="H805" s="21">
        <f>H806+H809</f>
        <v>5224.5</v>
      </c>
      <c r="I805" s="201"/>
    </row>
    <row r="806" spans="1:9" ht="31.5" x14ac:dyDescent="0.25">
      <c r="A806" s="25" t="s">
        <v>897</v>
      </c>
      <c r="B806" s="16">
        <v>907</v>
      </c>
      <c r="C806" s="20" t="s">
        <v>491</v>
      </c>
      <c r="D806" s="20" t="s">
        <v>234</v>
      </c>
      <c r="E806" s="20" t="s">
        <v>860</v>
      </c>
      <c r="F806" s="20"/>
      <c r="G806" s="26">
        <f>G807</f>
        <v>4888.5</v>
      </c>
      <c r="H806" s="26">
        <f>H807</f>
        <v>4888.5</v>
      </c>
      <c r="I806" s="201"/>
    </row>
    <row r="807" spans="1:9" ht="78.75" x14ac:dyDescent="0.25">
      <c r="A807" s="25" t="s">
        <v>127</v>
      </c>
      <c r="B807" s="16">
        <v>907</v>
      </c>
      <c r="C807" s="20" t="s">
        <v>491</v>
      </c>
      <c r="D807" s="20" t="s">
        <v>234</v>
      </c>
      <c r="E807" s="20" t="s">
        <v>860</v>
      </c>
      <c r="F807" s="20" t="s">
        <v>128</v>
      </c>
      <c r="G807" s="26">
        <f>G808</f>
        <v>4888.5</v>
      </c>
      <c r="H807" s="26">
        <f>H808</f>
        <v>4888.5</v>
      </c>
      <c r="I807" s="201"/>
    </row>
    <row r="808" spans="1:9" ht="31.5" x14ac:dyDescent="0.25">
      <c r="A808" s="25" t="s">
        <v>129</v>
      </c>
      <c r="B808" s="16">
        <v>907</v>
      </c>
      <c r="C808" s="20" t="s">
        <v>491</v>
      </c>
      <c r="D808" s="20" t="s">
        <v>234</v>
      </c>
      <c r="E808" s="20" t="s">
        <v>860</v>
      </c>
      <c r="F808" s="20" t="s">
        <v>130</v>
      </c>
      <c r="G808" s="26">
        <v>4888.5</v>
      </c>
      <c r="H808" s="26">
        <f t="shared" si="73"/>
        <v>4888.5</v>
      </c>
      <c r="I808" s="201"/>
    </row>
    <row r="809" spans="1:9" ht="47.25" x14ac:dyDescent="0.25">
      <c r="A809" s="25" t="s">
        <v>839</v>
      </c>
      <c r="B809" s="16">
        <v>907</v>
      </c>
      <c r="C809" s="20" t="s">
        <v>491</v>
      </c>
      <c r="D809" s="20" t="s">
        <v>234</v>
      </c>
      <c r="E809" s="20" t="s">
        <v>862</v>
      </c>
      <c r="F809" s="20"/>
      <c r="G809" s="26">
        <f>G810</f>
        <v>336</v>
      </c>
      <c r="H809" s="26">
        <f>H810</f>
        <v>336</v>
      </c>
      <c r="I809" s="201"/>
    </row>
    <row r="810" spans="1:9" ht="78.75" x14ac:dyDescent="0.25">
      <c r="A810" s="25" t="s">
        <v>127</v>
      </c>
      <c r="B810" s="16">
        <v>907</v>
      </c>
      <c r="C810" s="20" t="s">
        <v>491</v>
      </c>
      <c r="D810" s="20" t="s">
        <v>234</v>
      </c>
      <c r="E810" s="20" t="s">
        <v>862</v>
      </c>
      <c r="F810" s="20" t="s">
        <v>128</v>
      </c>
      <c r="G810" s="26">
        <f>G811</f>
        <v>336</v>
      </c>
      <c r="H810" s="26">
        <f>H811</f>
        <v>336</v>
      </c>
      <c r="I810" s="201"/>
    </row>
    <row r="811" spans="1:9" ht="31.5" x14ac:dyDescent="0.25">
      <c r="A811" s="25" t="s">
        <v>129</v>
      </c>
      <c r="B811" s="16">
        <v>907</v>
      </c>
      <c r="C811" s="20" t="s">
        <v>491</v>
      </c>
      <c r="D811" s="20" t="s">
        <v>234</v>
      </c>
      <c r="E811" s="20" t="s">
        <v>862</v>
      </c>
      <c r="F811" s="20" t="s">
        <v>130</v>
      </c>
      <c r="G811" s="26">
        <v>336</v>
      </c>
      <c r="H811" s="26">
        <f t="shared" si="73"/>
        <v>336</v>
      </c>
      <c r="I811" s="201"/>
    </row>
    <row r="812" spans="1:9" ht="15.75" x14ac:dyDescent="0.25">
      <c r="A812" s="23" t="s">
        <v>141</v>
      </c>
      <c r="B812" s="19">
        <v>907</v>
      </c>
      <c r="C812" s="24" t="s">
        <v>491</v>
      </c>
      <c r="D812" s="24" t="s">
        <v>234</v>
      </c>
      <c r="E812" s="24" t="s">
        <v>866</v>
      </c>
      <c r="F812" s="24"/>
      <c r="G812" s="21">
        <f>G813</f>
        <v>5304.7</v>
      </c>
      <c r="H812" s="21">
        <f>H813</f>
        <v>5304.7</v>
      </c>
      <c r="I812" s="201"/>
    </row>
    <row r="813" spans="1:9" ht="31.5" x14ac:dyDescent="0.25">
      <c r="A813" s="23" t="s">
        <v>929</v>
      </c>
      <c r="B813" s="19">
        <v>907</v>
      </c>
      <c r="C813" s="24" t="s">
        <v>491</v>
      </c>
      <c r="D813" s="24" t="s">
        <v>234</v>
      </c>
      <c r="E813" s="24" t="s">
        <v>914</v>
      </c>
      <c r="F813" s="24"/>
      <c r="G813" s="21">
        <f>G814+G821</f>
        <v>5304.7</v>
      </c>
      <c r="H813" s="21">
        <f>H814+H821</f>
        <v>5304.7</v>
      </c>
      <c r="I813" s="201"/>
    </row>
    <row r="814" spans="1:9" ht="31.5" x14ac:dyDescent="0.25">
      <c r="A814" s="25" t="s">
        <v>903</v>
      </c>
      <c r="B814" s="16">
        <v>907</v>
      </c>
      <c r="C814" s="20" t="s">
        <v>491</v>
      </c>
      <c r="D814" s="20" t="s">
        <v>234</v>
      </c>
      <c r="E814" s="20" t="s">
        <v>915</v>
      </c>
      <c r="F814" s="20"/>
      <c r="G814" s="26">
        <f>G815+G817+G819</f>
        <v>5089.7</v>
      </c>
      <c r="H814" s="26">
        <f>H815+H817+H819</f>
        <v>5089.7</v>
      </c>
      <c r="I814" s="201"/>
    </row>
    <row r="815" spans="1:9" ht="78.75" x14ac:dyDescent="0.25">
      <c r="A815" s="25" t="s">
        <v>127</v>
      </c>
      <c r="B815" s="16">
        <v>907</v>
      </c>
      <c r="C815" s="20" t="s">
        <v>491</v>
      </c>
      <c r="D815" s="20" t="s">
        <v>234</v>
      </c>
      <c r="E815" s="20" t="s">
        <v>915</v>
      </c>
      <c r="F815" s="20" t="s">
        <v>128</v>
      </c>
      <c r="G815" s="26">
        <f>G816</f>
        <v>4695.3999999999996</v>
      </c>
      <c r="H815" s="26">
        <f>H816</f>
        <v>4695.3999999999996</v>
      </c>
      <c r="I815" s="201"/>
    </row>
    <row r="816" spans="1:9" ht="19.5" customHeight="1" x14ac:dyDescent="0.25">
      <c r="A816" s="25" t="s">
        <v>342</v>
      </c>
      <c r="B816" s="16">
        <v>907</v>
      </c>
      <c r="C816" s="20" t="s">
        <v>491</v>
      </c>
      <c r="D816" s="20" t="s">
        <v>234</v>
      </c>
      <c r="E816" s="20" t="s">
        <v>915</v>
      </c>
      <c r="F816" s="20" t="s">
        <v>209</v>
      </c>
      <c r="G816" s="26">
        <v>4695.3999999999996</v>
      </c>
      <c r="H816" s="26">
        <f t="shared" si="73"/>
        <v>4695.3999999999996</v>
      </c>
      <c r="I816" s="201"/>
    </row>
    <row r="817" spans="1:13" ht="31.5" x14ac:dyDescent="0.25">
      <c r="A817" s="25" t="s">
        <v>131</v>
      </c>
      <c r="B817" s="16">
        <v>907</v>
      </c>
      <c r="C817" s="20" t="s">
        <v>491</v>
      </c>
      <c r="D817" s="20" t="s">
        <v>234</v>
      </c>
      <c r="E817" s="20" t="s">
        <v>915</v>
      </c>
      <c r="F817" s="20" t="s">
        <v>132</v>
      </c>
      <c r="G817" s="26">
        <f>G818</f>
        <v>343.3</v>
      </c>
      <c r="H817" s="26">
        <f>H818</f>
        <v>343.3</v>
      </c>
      <c r="I817" s="201"/>
    </row>
    <row r="818" spans="1:13" ht="31.5" x14ac:dyDescent="0.25">
      <c r="A818" s="25" t="s">
        <v>133</v>
      </c>
      <c r="B818" s="16">
        <v>907</v>
      </c>
      <c r="C818" s="20" t="s">
        <v>491</v>
      </c>
      <c r="D818" s="20" t="s">
        <v>234</v>
      </c>
      <c r="E818" s="20" t="s">
        <v>915</v>
      </c>
      <c r="F818" s="20" t="s">
        <v>134</v>
      </c>
      <c r="G818" s="26">
        <v>343.3</v>
      </c>
      <c r="H818" s="26">
        <f t="shared" si="73"/>
        <v>343.3</v>
      </c>
      <c r="I818" s="201"/>
    </row>
    <row r="819" spans="1:13" ht="15.75" x14ac:dyDescent="0.25">
      <c r="A819" s="25" t="s">
        <v>135</v>
      </c>
      <c r="B819" s="16">
        <v>907</v>
      </c>
      <c r="C819" s="20" t="s">
        <v>491</v>
      </c>
      <c r="D819" s="20" t="s">
        <v>234</v>
      </c>
      <c r="E819" s="20" t="s">
        <v>915</v>
      </c>
      <c r="F819" s="20" t="s">
        <v>145</v>
      </c>
      <c r="G819" s="26">
        <f>G820</f>
        <v>51</v>
      </c>
      <c r="H819" s="26">
        <f>H820</f>
        <v>51</v>
      </c>
      <c r="I819" s="201"/>
    </row>
    <row r="820" spans="1:13" ht="15.75" x14ac:dyDescent="0.25">
      <c r="A820" s="25" t="s">
        <v>568</v>
      </c>
      <c r="B820" s="16">
        <v>907</v>
      </c>
      <c r="C820" s="20" t="s">
        <v>491</v>
      </c>
      <c r="D820" s="20" t="s">
        <v>234</v>
      </c>
      <c r="E820" s="20" t="s">
        <v>915</v>
      </c>
      <c r="F820" s="20" t="s">
        <v>138</v>
      </c>
      <c r="G820" s="26">
        <f>51</f>
        <v>51</v>
      </c>
      <c r="H820" s="26">
        <f t="shared" si="73"/>
        <v>51</v>
      </c>
      <c r="I820" s="201"/>
    </row>
    <row r="821" spans="1:13" ht="47.25" x14ac:dyDescent="0.25">
      <c r="A821" s="25" t="s">
        <v>839</v>
      </c>
      <c r="B821" s="16">
        <v>907</v>
      </c>
      <c r="C821" s="20" t="s">
        <v>491</v>
      </c>
      <c r="D821" s="20" t="s">
        <v>234</v>
      </c>
      <c r="E821" s="20" t="s">
        <v>916</v>
      </c>
      <c r="F821" s="20"/>
      <c r="G821" s="26">
        <f>G822</f>
        <v>215</v>
      </c>
      <c r="H821" s="26">
        <f>H822</f>
        <v>215</v>
      </c>
      <c r="I821" s="201"/>
    </row>
    <row r="822" spans="1:13" ht="78.75" x14ac:dyDescent="0.25">
      <c r="A822" s="25" t="s">
        <v>127</v>
      </c>
      <c r="B822" s="16">
        <v>907</v>
      </c>
      <c r="C822" s="20" t="s">
        <v>491</v>
      </c>
      <c r="D822" s="20" t="s">
        <v>234</v>
      </c>
      <c r="E822" s="20" t="s">
        <v>916</v>
      </c>
      <c r="F822" s="20" t="s">
        <v>128</v>
      </c>
      <c r="G822" s="26">
        <f>G823</f>
        <v>215</v>
      </c>
      <c r="H822" s="26">
        <f>H823</f>
        <v>215</v>
      </c>
      <c r="I822" s="201"/>
    </row>
    <row r="823" spans="1:13" ht="19.5" customHeight="1" x14ac:dyDescent="0.25">
      <c r="A823" s="25" t="s">
        <v>342</v>
      </c>
      <c r="B823" s="16">
        <v>907</v>
      </c>
      <c r="C823" s="20" t="s">
        <v>491</v>
      </c>
      <c r="D823" s="20" t="s">
        <v>234</v>
      </c>
      <c r="E823" s="20" t="s">
        <v>916</v>
      </c>
      <c r="F823" s="20" t="s">
        <v>209</v>
      </c>
      <c r="G823" s="26">
        <v>215</v>
      </c>
      <c r="H823" s="26">
        <f t="shared" si="73"/>
        <v>215</v>
      </c>
      <c r="I823" s="201"/>
    </row>
    <row r="824" spans="1:13" ht="47.25" x14ac:dyDescent="0.25">
      <c r="A824" s="41" t="s">
        <v>1372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21">
        <f>G825</f>
        <v>3000</v>
      </c>
      <c r="H824" s="21">
        <f>H825</f>
        <v>3000</v>
      </c>
      <c r="I824" s="201"/>
    </row>
    <row r="825" spans="1:13" ht="31.5" x14ac:dyDescent="0.25">
      <c r="A825" s="58" t="s">
        <v>951</v>
      </c>
      <c r="B825" s="19">
        <v>907</v>
      </c>
      <c r="C825" s="24" t="s">
        <v>491</v>
      </c>
      <c r="D825" s="24" t="s">
        <v>234</v>
      </c>
      <c r="E825" s="7" t="s">
        <v>1272</v>
      </c>
      <c r="F825" s="24"/>
      <c r="G825" s="21">
        <f t="shared" ref="G825:H825" si="78">G826</f>
        <v>3000</v>
      </c>
      <c r="H825" s="21">
        <f t="shared" si="78"/>
        <v>3000</v>
      </c>
      <c r="I825" s="201"/>
    </row>
    <row r="826" spans="1:13" ht="15.75" x14ac:dyDescent="0.25">
      <c r="A826" s="29" t="s">
        <v>952</v>
      </c>
      <c r="B826" s="16">
        <v>907</v>
      </c>
      <c r="C826" s="20" t="s">
        <v>491</v>
      </c>
      <c r="D826" s="20" t="s">
        <v>234</v>
      </c>
      <c r="E826" s="40" t="s">
        <v>1273</v>
      </c>
      <c r="F826" s="20"/>
      <c r="G826" s="26">
        <f>G827+G829</f>
        <v>3000</v>
      </c>
      <c r="H826" s="26">
        <f>H827+H829</f>
        <v>3000</v>
      </c>
      <c r="I826" s="201"/>
    </row>
    <row r="827" spans="1:13" ht="78.75" x14ac:dyDescent="0.25">
      <c r="A827" s="25" t="s">
        <v>127</v>
      </c>
      <c r="B827" s="16">
        <v>907</v>
      </c>
      <c r="C827" s="20" t="s">
        <v>491</v>
      </c>
      <c r="D827" s="20" t="s">
        <v>234</v>
      </c>
      <c r="E827" s="40" t="s">
        <v>1273</v>
      </c>
      <c r="F827" s="20" t="s">
        <v>128</v>
      </c>
      <c r="G827" s="26">
        <f>G828</f>
        <v>2500</v>
      </c>
      <c r="H827" s="26">
        <f>H828</f>
        <v>2500</v>
      </c>
      <c r="I827" s="201"/>
    </row>
    <row r="828" spans="1:13" ht="31.5" x14ac:dyDescent="0.25">
      <c r="A828" s="25" t="s">
        <v>342</v>
      </c>
      <c r="B828" s="16">
        <v>907</v>
      </c>
      <c r="C828" s="20" t="s">
        <v>491</v>
      </c>
      <c r="D828" s="20" t="s">
        <v>234</v>
      </c>
      <c r="E828" s="40" t="s">
        <v>1273</v>
      </c>
      <c r="F828" s="20" t="s">
        <v>209</v>
      </c>
      <c r="G828" s="26">
        <v>2500</v>
      </c>
      <c r="H828" s="26">
        <v>2500</v>
      </c>
      <c r="I828" s="201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1273</v>
      </c>
      <c r="F829" s="20" t="s">
        <v>132</v>
      </c>
      <c r="G829" s="26">
        <f>G830</f>
        <v>500</v>
      </c>
      <c r="H829" s="26">
        <f>H830</f>
        <v>500</v>
      </c>
      <c r="I829" s="201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1273</v>
      </c>
      <c r="F830" s="20" t="s">
        <v>134</v>
      </c>
      <c r="G830" s="26">
        <f>500</f>
        <v>500</v>
      </c>
      <c r="H830" s="26">
        <f t="shared" si="73"/>
        <v>500</v>
      </c>
      <c r="I830" s="201"/>
    </row>
    <row r="831" spans="1:13" ht="31.5" x14ac:dyDescent="0.25">
      <c r="A831" s="19" t="s">
        <v>504</v>
      </c>
      <c r="B831" s="19">
        <v>908</v>
      </c>
      <c r="C831" s="20"/>
      <c r="D831" s="20"/>
      <c r="E831" s="20"/>
      <c r="F831" s="20"/>
      <c r="G831" s="21">
        <f>G846+G853+G874+G1038+G832</f>
        <v>155401.79999999999</v>
      </c>
      <c r="H831" s="21">
        <f>H846+H853+H874+H1038+H832</f>
        <v>163514.15000000002</v>
      </c>
      <c r="I831" s="201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21">
        <f>G833</f>
        <v>41282.100000000006</v>
      </c>
      <c r="H832" s="21">
        <f t="shared" ref="G832:H834" si="79">H833</f>
        <v>41282.100000000006</v>
      </c>
      <c r="I832" s="201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21">
        <f t="shared" si="79"/>
        <v>41282.100000000006</v>
      </c>
      <c r="H833" s="21">
        <f t="shared" si="79"/>
        <v>41282.100000000006</v>
      </c>
      <c r="I833" s="201"/>
    </row>
    <row r="834" spans="1:9" ht="15.75" x14ac:dyDescent="0.25">
      <c r="A834" s="23" t="s">
        <v>141</v>
      </c>
      <c r="B834" s="19">
        <v>908</v>
      </c>
      <c r="C834" s="24" t="s">
        <v>118</v>
      </c>
      <c r="D834" s="24" t="s">
        <v>140</v>
      </c>
      <c r="E834" s="24" t="s">
        <v>866</v>
      </c>
      <c r="F834" s="24"/>
      <c r="G834" s="44">
        <f t="shared" si="79"/>
        <v>41282.100000000006</v>
      </c>
      <c r="H834" s="44">
        <f t="shared" si="79"/>
        <v>41282.100000000006</v>
      </c>
      <c r="I834" s="201"/>
    </row>
    <row r="835" spans="1:9" ht="15.75" x14ac:dyDescent="0.25">
      <c r="A835" s="23" t="s">
        <v>954</v>
      </c>
      <c r="B835" s="19">
        <v>908</v>
      </c>
      <c r="C835" s="24" t="s">
        <v>118</v>
      </c>
      <c r="D835" s="24" t="s">
        <v>140</v>
      </c>
      <c r="E835" s="24" t="s">
        <v>953</v>
      </c>
      <c r="F835" s="24"/>
      <c r="G835" s="44">
        <f>G839+G836</f>
        <v>41282.100000000006</v>
      </c>
      <c r="H835" s="44">
        <f>H839+H836</f>
        <v>41282.100000000006</v>
      </c>
      <c r="I835" s="201"/>
    </row>
    <row r="836" spans="1:9" ht="47.25" x14ac:dyDescent="0.25">
      <c r="A836" s="25" t="s">
        <v>839</v>
      </c>
      <c r="B836" s="16">
        <v>908</v>
      </c>
      <c r="C836" s="20" t="s">
        <v>118</v>
      </c>
      <c r="D836" s="20" t="s">
        <v>140</v>
      </c>
      <c r="E836" s="20" t="s">
        <v>956</v>
      </c>
      <c r="F836" s="20"/>
      <c r="G836" s="26">
        <f>G837</f>
        <v>1072</v>
      </c>
      <c r="H836" s="26">
        <f>H837</f>
        <v>1072</v>
      </c>
      <c r="I836" s="201"/>
    </row>
    <row r="837" spans="1:9" ht="78.75" x14ac:dyDescent="0.25">
      <c r="A837" s="25" t="s">
        <v>127</v>
      </c>
      <c r="B837" s="16">
        <v>908</v>
      </c>
      <c r="C837" s="20" t="s">
        <v>118</v>
      </c>
      <c r="D837" s="20" t="s">
        <v>140</v>
      </c>
      <c r="E837" s="20" t="s">
        <v>956</v>
      </c>
      <c r="F837" s="20" t="s">
        <v>128</v>
      </c>
      <c r="G837" s="26">
        <f>G838</f>
        <v>1072</v>
      </c>
      <c r="H837" s="26">
        <f>H838</f>
        <v>1072</v>
      </c>
      <c r="I837" s="201"/>
    </row>
    <row r="838" spans="1:9" ht="31.5" x14ac:dyDescent="0.25">
      <c r="A838" s="25" t="s">
        <v>129</v>
      </c>
      <c r="B838" s="16">
        <v>908</v>
      </c>
      <c r="C838" s="20" t="s">
        <v>118</v>
      </c>
      <c r="D838" s="20" t="s">
        <v>140</v>
      </c>
      <c r="E838" s="20" t="s">
        <v>956</v>
      </c>
      <c r="F838" s="20" t="s">
        <v>209</v>
      </c>
      <c r="G838" s="26">
        <v>1072</v>
      </c>
      <c r="H838" s="26">
        <f t="shared" ref="H838:H901" si="80">G838</f>
        <v>1072</v>
      </c>
      <c r="I838" s="201"/>
    </row>
    <row r="839" spans="1:9" ht="15.75" x14ac:dyDescent="0.25">
      <c r="A839" s="25" t="s">
        <v>801</v>
      </c>
      <c r="B839" s="16">
        <v>908</v>
      </c>
      <c r="C839" s="20" t="s">
        <v>118</v>
      </c>
      <c r="D839" s="20" t="s">
        <v>140</v>
      </c>
      <c r="E839" s="20" t="s">
        <v>955</v>
      </c>
      <c r="F839" s="20"/>
      <c r="G839" s="26">
        <f>G840+G844+G842</f>
        <v>40210.100000000006</v>
      </c>
      <c r="H839" s="26">
        <f>H840+H844+H842</f>
        <v>40210.100000000006</v>
      </c>
      <c r="I839" s="201"/>
    </row>
    <row r="840" spans="1:9" ht="78.75" x14ac:dyDescent="0.25">
      <c r="A840" s="25" t="s">
        <v>127</v>
      </c>
      <c r="B840" s="16">
        <v>908</v>
      </c>
      <c r="C840" s="20" t="s">
        <v>118</v>
      </c>
      <c r="D840" s="20" t="s">
        <v>140</v>
      </c>
      <c r="E840" s="20" t="s">
        <v>955</v>
      </c>
      <c r="F840" s="20" t="s">
        <v>128</v>
      </c>
      <c r="G840" s="26">
        <f>G841</f>
        <v>32825.800000000003</v>
      </c>
      <c r="H840" s="26">
        <f>H841</f>
        <v>32825.800000000003</v>
      </c>
      <c r="I840" s="201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955</v>
      </c>
      <c r="F841" s="20" t="s">
        <v>209</v>
      </c>
      <c r="G841" s="26">
        <v>32825.800000000003</v>
      </c>
      <c r="H841" s="26">
        <f t="shared" si="80"/>
        <v>32825.800000000003</v>
      </c>
      <c r="I841" s="201"/>
    </row>
    <row r="842" spans="1:9" ht="31.5" x14ac:dyDescent="0.25">
      <c r="A842" s="25" t="s">
        <v>131</v>
      </c>
      <c r="B842" s="16">
        <v>908</v>
      </c>
      <c r="C842" s="20" t="s">
        <v>118</v>
      </c>
      <c r="D842" s="20" t="s">
        <v>140</v>
      </c>
      <c r="E842" s="20" t="s">
        <v>955</v>
      </c>
      <c r="F842" s="20" t="s">
        <v>132</v>
      </c>
      <c r="G842" s="26">
        <f>G843</f>
        <v>6963.3</v>
      </c>
      <c r="H842" s="26">
        <f>H843</f>
        <v>6963.3</v>
      </c>
      <c r="I842" s="201"/>
    </row>
    <row r="843" spans="1:9" ht="31.5" x14ac:dyDescent="0.25">
      <c r="A843" s="25" t="s">
        <v>133</v>
      </c>
      <c r="B843" s="16">
        <v>908</v>
      </c>
      <c r="C843" s="20" t="s">
        <v>118</v>
      </c>
      <c r="D843" s="20" t="s">
        <v>140</v>
      </c>
      <c r="E843" s="20" t="s">
        <v>955</v>
      </c>
      <c r="F843" s="20" t="s">
        <v>134</v>
      </c>
      <c r="G843" s="26">
        <v>6963.3</v>
      </c>
      <c r="H843" s="26">
        <f t="shared" si="80"/>
        <v>6963.3</v>
      </c>
      <c r="I843" s="201"/>
    </row>
    <row r="844" spans="1:9" ht="15.75" x14ac:dyDescent="0.25">
      <c r="A844" s="25" t="s">
        <v>135</v>
      </c>
      <c r="B844" s="16">
        <v>908</v>
      </c>
      <c r="C844" s="20" t="s">
        <v>118</v>
      </c>
      <c r="D844" s="20" t="s">
        <v>140</v>
      </c>
      <c r="E844" s="20" t="s">
        <v>955</v>
      </c>
      <c r="F844" s="20" t="s">
        <v>145</v>
      </c>
      <c r="G844" s="26">
        <f>G845</f>
        <v>421</v>
      </c>
      <c r="H844" s="26">
        <f>H845</f>
        <v>421</v>
      </c>
      <c r="I844" s="201"/>
    </row>
    <row r="845" spans="1:9" ht="15.75" x14ac:dyDescent="0.25">
      <c r="A845" s="25" t="s">
        <v>704</v>
      </c>
      <c r="B845" s="16">
        <v>908</v>
      </c>
      <c r="C845" s="20" t="s">
        <v>118</v>
      </c>
      <c r="D845" s="20" t="s">
        <v>140</v>
      </c>
      <c r="E845" s="20" t="s">
        <v>955</v>
      </c>
      <c r="F845" s="20" t="s">
        <v>138</v>
      </c>
      <c r="G845" s="26">
        <f>421</f>
        <v>421</v>
      </c>
      <c r="H845" s="26">
        <f t="shared" si="80"/>
        <v>421</v>
      </c>
      <c r="I845" s="201"/>
    </row>
    <row r="846" spans="1:9" ht="31.5" x14ac:dyDescent="0.25">
      <c r="A846" s="23" t="s">
        <v>222</v>
      </c>
      <c r="B846" s="19">
        <v>908</v>
      </c>
      <c r="C846" s="24" t="s">
        <v>215</v>
      </c>
      <c r="D846" s="24"/>
      <c r="E846" s="24"/>
      <c r="F846" s="24"/>
      <c r="G846" s="21">
        <f t="shared" ref="G846:H849" si="81">G847</f>
        <v>107</v>
      </c>
      <c r="H846" s="21">
        <f t="shared" si="81"/>
        <v>107</v>
      </c>
      <c r="I846" s="201"/>
    </row>
    <row r="847" spans="1:9" ht="47.25" x14ac:dyDescent="0.25">
      <c r="A847" s="23" t="s">
        <v>1348</v>
      </c>
      <c r="B847" s="19">
        <v>908</v>
      </c>
      <c r="C847" s="24" t="s">
        <v>215</v>
      </c>
      <c r="D847" s="24" t="s">
        <v>244</v>
      </c>
      <c r="E847" s="24"/>
      <c r="F847" s="24"/>
      <c r="G847" s="21">
        <f t="shared" si="81"/>
        <v>107</v>
      </c>
      <c r="H847" s="21">
        <f t="shared" si="81"/>
        <v>107</v>
      </c>
      <c r="I847" s="201"/>
    </row>
    <row r="848" spans="1:9" ht="15.75" x14ac:dyDescent="0.25">
      <c r="A848" s="23" t="s">
        <v>141</v>
      </c>
      <c r="B848" s="19">
        <v>908</v>
      </c>
      <c r="C848" s="24" t="s">
        <v>215</v>
      </c>
      <c r="D848" s="24" t="s">
        <v>244</v>
      </c>
      <c r="E848" s="24" t="s">
        <v>866</v>
      </c>
      <c r="F848" s="24"/>
      <c r="G848" s="21">
        <f t="shared" si="81"/>
        <v>107</v>
      </c>
      <c r="H848" s="21">
        <f t="shared" si="81"/>
        <v>107</v>
      </c>
      <c r="I848" s="201"/>
    </row>
    <row r="849" spans="1:9" ht="31.5" x14ac:dyDescent="0.25">
      <c r="A849" s="23" t="s">
        <v>870</v>
      </c>
      <c r="B849" s="19">
        <v>908</v>
      </c>
      <c r="C849" s="24" t="s">
        <v>215</v>
      </c>
      <c r="D849" s="24" t="s">
        <v>244</v>
      </c>
      <c r="E849" s="24" t="s">
        <v>865</v>
      </c>
      <c r="F849" s="24"/>
      <c r="G849" s="21">
        <f t="shared" si="81"/>
        <v>107</v>
      </c>
      <c r="H849" s="21">
        <f t="shared" si="81"/>
        <v>107</v>
      </c>
      <c r="I849" s="201"/>
    </row>
    <row r="850" spans="1:9" ht="15.75" x14ac:dyDescent="0.25">
      <c r="A850" s="25" t="s">
        <v>230</v>
      </c>
      <c r="B850" s="16">
        <v>908</v>
      </c>
      <c r="C850" s="20" t="s">
        <v>215</v>
      </c>
      <c r="D850" s="20" t="s">
        <v>244</v>
      </c>
      <c r="E850" s="20" t="s">
        <v>876</v>
      </c>
      <c r="F850" s="20"/>
      <c r="G850" s="26">
        <f>G851</f>
        <v>107</v>
      </c>
      <c r="H850" s="26">
        <f>H851</f>
        <v>107</v>
      </c>
      <c r="I850" s="201"/>
    </row>
    <row r="851" spans="1:9" ht="31.5" x14ac:dyDescent="0.25">
      <c r="A851" s="25" t="s">
        <v>131</v>
      </c>
      <c r="B851" s="16">
        <v>908</v>
      </c>
      <c r="C851" s="20" t="s">
        <v>215</v>
      </c>
      <c r="D851" s="20" t="s">
        <v>244</v>
      </c>
      <c r="E851" s="20" t="s">
        <v>876</v>
      </c>
      <c r="F851" s="20" t="s">
        <v>132</v>
      </c>
      <c r="G851" s="26">
        <f>G852</f>
        <v>107</v>
      </c>
      <c r="H851" s="26">
        <f>H852</f>
        <v>107</v>
      </c>
      <c r="I851" s="201"/>
    </row>
    <row r="852" spans="1:9" ht="31.5" x14ac:dyDescent="0.25">
      <c r="A852" s="25" t="s">
        <v>133</v>
      </c>
      <c r="B852" s="16">
        <v>908</v>
      </c>
      <c r="C852" s="20" t="s">
        <v>215</v>
      </c>
      <c r="D852" s="20" t="s">
        <v>244</v>
      </c>
      <c r="E852" s="20" t="s">
        <v>876</v>
      </c>
      <c r="F852" s="20" t="s">
        <v>134</v>
      </c>
      <c r="G852" s="26">
        <f>107</f>
        <v>107</v>
      </c>
      <c r="H852" s="26">
        <f t="shared" si="80"/>
        <v>107</v>
      </c>
      <c r="I852" s="201"/>
    </row>
    <row r="853" spans="1:9" ht="15.75" x14ac:dyDescent="0.25">
      <c r="A853" s="23" t="s">
        <v>232</v>
      </c>
      <c r="B853" s="19">
        <v>908</v>
      </c>
      <c r="C853" s="24" t="s">
        <v>150</v>
      </c>
      <c r="D853" s="24"/>
      <c r="E853" s="24"/>
      <c r="F853" s="24"/>
      <c r="G853" s="21">
        <f>G854+G860</f>
        <v>5577</v>
      </c>
      <c r="H853" s="21">
        <f>H854+H860</f>
        <v>5577</v>
      </c>
      <c r="I853" s="201"/>
    </row>
    <row r="854" spans="1:9" ht="15.75" x14ac:dyDescent="0.25">
      <c r="A854" s="23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21">
        <f t="shared" ref="G854:H856" si="82">G855</f>
        <v>3258</v>
      </c>
      <c r="H854" s="21">
        <f t="shared" si="82"/>
        <v>3258</v>
      </c>
      <c r="I854" s="201"/>
    </row>
    <row r="855" spans="1:9" ht="15.75" x14ac:dyDescent="0.25">
      <c r="A855" s="23" t="s">
        <v>141</v>
      </c>
      <c r="B855" s="19">
        <v>908</v>
      </c>
      <c r="C855" s="24" t="s">
        <v>150</v>
      </c>
      <c r="D855" s="24" t="s">
        <v>299</v>
      </c>
      <c r="E855" s="24" t="s">
        <v>866</v>
      </c>
      <c r="F855" s="24"/>
      <c r="G855" s="21">
        <f t="shared" si="82"/>
        <v>3258</v>
      </c>
      <c r="H855" s="21">
        <f t="shared" si="82"/>
        <v>3258</v>
      </c>
      <c r="I855" s="201"/>
    </row>
    <row r="856" spans="1:9" ht="31.5" x14ac:dyDescent="0.25">
      <c r="A856" s="23" t="s">
        <v>870</v>
      </c>
      <c r="B856" s="19">
        <v>908</v>
      </c>
      <c r="C856" s="24" t="s">
        <v>150</v>
      </c>
      <c r="D856" s="24" t="s">
        <v>299</v>
      </c>
      <c r="E856" s="24" t="s">
        <v>865</v>
      </c>
      <c r="F856" s="24"/>
      <c r="G856" s="21">
        <f t="shared" si="82"/>
        <v>3258</v>
      </c>
      <c r="H856" s="21">
        <f t="shared" si="82"/>
        <v>3258</v>
      </c>
      <c r="I856" s="201"/>
    </row>
    <row r="857" spans="1:9" ht="15.75" x14ac:dyDescent="0.25">
      <c r="A857" s="25" t="s">
        <v>506</v>
      </c>
      <c r="B857" s="16">
        <v>908</v>
      </c>
      <c r="C857" s="20" t="s">
        <v>150</v>
      </c>
      <c r="D857" s="20" t="s">
        <v>299</v>
      </c>
      <c r="E857" s="20" t="s">
        <v>957</v>
      </c>
      <c r="F857" s="20"/>
      <c r="G857" s="26">
        <f>G858</f>
        <v>3258</v>
      </c>
      <c r="H857" s="26">
        <f>H858</f>
        <v>3258</v>
      </c>
      <c r="I857" s="201"/>
    </row>
    <row r="858" spans="1:9" ht="31.5" x14ac:dyDescent="0.25">
      <c r="A858" s="25" t="s">
        <v>131</v>
      </c>
      <c r="B858" s="16">
        <v>908</v>
      </c>
      <c r="C858" s="20" t="s">
        <v>150</v>
      </c>
      <c r="D858" s="20" t="s">
        <v>299</v>
      </c>
      <c r="E858" s="20" t="s">
        <v>957</v>
      </c>
      <c r="F858" s="20" t="s">
        <v>132</v>
      </c>
      <c r="G858" s="26">
        <f>G859</f>
        <v>3258</v>
      </c>
      <c r="H858" s="26">
        <f>H859</f>
        <v>3258</v>
      </c>
      <c r="I858" s="201"/>
    </row>
    <row r="859" spans="1:9" ht="31.5" x14ac:dyDescent="0.25">
      <c r="A859" s="25" t="s">
        <v>133</v>
      </c>
      <c r="B859" s="16">
        <v>908</v>
      </c>
      <c r="C859" s="20" t="s">
        <v>150</v>
      </c>
      <c r="D859" s="20" t="s">
        <v>299</v>
      </c>
      <c r="E859" s="20" t="s">
        <v>957</v>
      </c>
      <c r="F859" s="20" t="s">
        <v>134</v>
      </c>
      <c r="G859" s="26">
        <v>3258</v>
      </c>
      <c r="H859" s="26">
        <f t="shared" si="80"/>
        <v>3258</v>
      </c>
      <c r="I859" s="201"/>
    </row>
    <row r="860" spans="1:9" ht="15.75" x14ac:dyDescent="0.25">
      <c r="A860" s="23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21">
        <f>G861</f>
        <v>2319</v>
      </c>
      <c r="H860" s="21">
        <f>H861</f>
        <v>2319</v>
      </c>
      <c r="I860" s="201"/>
    </row>
    <row r="861" spans="1:9" ht="47.25" x14ac:dyDescent="0.25">
      <c r="A861" s="34" t="s">
        <v>1373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21">
        <f>G867+G862</f>
        <v>2319</v>
      </c>
      <c r="H861" s="21">
        <f>H867+H862</f>
        <v>2319</v>
      </c>
      <c r="I861" s="201"/>
    </row>
    <row r="862" spans="1:9" ht="31.5" hidden="1" x14ac:dyDescent="0.25">
      <c r="A862" s="34" t="s">
        <v>999</v>
      </c>
      <c r="B862" s="19">
        <v>908</v>
      </c>
      <c r="C862" s="24" t="s">
        <v>150</v>
      </c>
      <c r="D862" s="24" t="s">
        <v>219</v>
      </c>
      <c r="E862" s="7" t="s">
        <v>958</v>
      </c>
      <c r="F862" s="24"/>
      <c r="G862" s="21">
        <f t="shared" ref="G862:H864" si="83">G863</f>
        <v>0</v>
      </c>
      <c r="H862" s="21">
        <f t="shared" si="83"/>
        <v>0</v>
      </c>
      <c r="I862" s="201"/>
    </row>
    <row r="863" spans="1:9" ht="15.75" hidden="1" x14ac:dyDescent="0.25">
      <c r="A863" s="29" t="s">
        <v>1001</v>
      </c>
      <c r="B863" s="16">
        <v>908</v>
      </c>
      <c r="C863" s="20" t="s">
        <v>150</v>
      </c>
      <c r="D863" s="20" t="s">
        <v>219</v>
      </c>
      <c r="E863" s="40" t="s">
        <v>1000</v>
      </c>
      <c r="F863" s="20"/>
      <c r="G863" s="26">
        <f t="shared" si="83"/>
        <v>0</v>
      </c>
      <c r="H863" s="26">
        <f t="shared" si="83"/>
        <v>0</v>
      </c>
      <c r="I863" s="201"/>
    </row>
    <row r="864" spans="1:9" ht="31.5" hidden="1" x14ac:dyDescent="0.25">
      <c r="A864" s="25" t="s">
        <v>131</v>
      </c>
      <c r="B864" s="16">
        <v>908</v>
      </c>
      <c r="C864" s="20" t="s">
        <v>150</v>
      </c>
      <c r="D864" s="20" t="s">
        <v>219</v>
      </c>
      <c r="E864" s="40" t="s">
        <v>1000</v>
      </c>
      <c r="F864" s="20" t="s">
        <v>132</v>
      </c>
      <c r="G864" s="26">
        <f t="shared" si="83"/>
        <v>0</v>
      </c>
      <c r="H864" s="26">
        <f t="shared" si="83"/>
        <v>0</v>
      </c>
      <c r="I864" s="201"/>
    </row>
    <row r="865" spans="1:9" ht="31.5" hidden="1" x14ac:dyDescent="0.25">
      <c r="A865" s="25" t="s">
        <v>133</v>
      </c>
      <c r="B865" s="16">
        <v>908</v>
      </c>
      <c r="C865" s="20" t="s">
        <v>150</v>
      </c>
      <c r="D865" s="20" t="s">
        <v>219</v>
      </c>
      <c r="E865" s="40" t="s">
        <v>1000</v>
      </c>
      <c r="F865" s="20" t="s">
        <v>134</v>
      </c>
      <c r="G865" s="26">
        <v>0</v>
      </c>
      <c r="H865" s="26">
        <v>0</v>
      </c>
      <c r="I865" s="201"/>
    </row>
    <row r="866" spans="1:9" ht="31.5" x14ac:dyDescent="0.25">
      <c r="A866" s="34" t="s">
        <v>1061</v>
      </c>
      <c r="B866" s="19">
        <v>908</v>
      </c>
      <c r="C866" s="24" t="s">
        <v>150</v>
      </c>
      <c r="D866" s="24" t="s">
        <v>219</v>
      </c>
      <c r="E866" s="24" t="s">
        <v>959</v>
      </c>
      <c r="F866" s="24"/>
      <c r="G866" s="21">
        <f t="shared" ref="G866:H870" si="84">G867</f>
        <v>2319</v>
      </c>
      <c r="H866" s="21">
        <f t="shared" si="84"/>
        <v>2319</v>
      </c>
      <c r="I866" s="201"/>
    </row>
    <row r="867" spans="1:9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1002</v>
      </c>
      <c r="F867" s="20"/>
      <c r="G867" s="26">
        <f>G870+G868</f>
        <v>2319</v>
      </c>
      <c r="H867" s="26">
        <f>H870+H868</f>
        <v>2319</v>
      </c>
      <c r="I867" s="201"/>
    </row>
    <row r="868" spans="1:9" s="200" customFormat="1" ht="78.75" x14ac:dyDescent="0.25">
      <c r="A868" s="25" t="s">
        <v>127</v>
      </c>
      <c r="B868" s="16">
        <v>908</v>
      </c>
      <c r="C868" s="20" t="s">
        <v>150</v>
      </c>
      <c r="D868" s="20" t="s">
        <v>219</v>
      </c>
      <c r="E868" s="40" t="s">
        <v>1002</v>
      </c>
      <c r="F868" s="20" t="s">
        <v>128</v>
      </c>
      <c r="G868" s="26">
        <f>G869</f>
        <v>1807</v>
      </c>
      <c r="H868" s="26">
        <f>H869</f>
        <v>1807</v>
      </c>
      <c r="I868" s="201"/>
    </row>
    <row r="869" spans="1:9" s="200" customFormat="1" ht="24" customHeight="1" x14ac:dyDescent="0.25">
      <c r="A869" s="25" t="s">
        <v>342</v>
      </c>
      <c r="B869" s="16">
        <v>908</v>
      </c>
      <c r="C869" s="20" t="s">
        <v>150</v>
      </c>
      <c r="D869" s="20" t="s">
        <v>219</v>
      </c>
      <c r="E869" s="40" t="s">
        <v>1002</v>
      </c>
      <c r="F869" s="20" t="s">
        <v>209</v>
      </c>
      <c r="G869" s="26">
        <v>1807</v>
      </c>
      <c r="H869" s="26">
        <f>G869</f>
        <v>1807</v>
      </c>
      <c r="I869" s="201"/>
    </row>
    <row r="870" spans="1:9" ht="31.5" x14ac:dyDescent="0.25">
      <c r="A870" s="25" t="s">
        <v>131</v>
      </c>
      <c r="B870" s="16">
        <v>908</v>
      </c>
      <c r="C870" s="20" t="s">
        <v>150</v>
      </c>
      <c r="D870" s="20" t="s">
        <v>219</v>
      </c>
      <c r="E870" s="40" t="s">
        <v>1002</v>
      </c>
      <c r="F870" s="20" t="s">
        <v>132</v>
      </c>
      <c r="G870" s="26">
        <f t="shared" si="84"/>
        <v>512</v>
      </c>
      <c r="H870" s="26">
        <f t="shared" si="84"/>
        <v>512</v>
      </c>
      <c r="I870" s="201"/>
    </row>
    <row r="871" spans="1:9" ht="31.5" x14ac:dyDescent="0.25">
      <c r="A871" s="25" t="s">
        <v>133</v>
      </c>
      <c r="B871" s="16">
        <v>908</v>
      </c>
      <c r="C871" s="20" t="s">
        <v>150</v>
      </c>
      <c r="D871" s="20" t="s">
        <v>219</v>
      </c>
      <c r="E871" s="40" t="s">
        <v>1002</v>
      </c>
      <c r="F871" s="20" t="s">
        <v>134</v>
      </c>
      <c r="G871" s="26">
        <f>1793+350-761+88.8-958.8</f>
        <v>512</v>
      </c>
      <c r="H871" s="26">
        <f>G871</f>
        <v>512</v>
      </c>
      <c r="I871" s="201"/>
    </row>
    <row r="872" spans="1:9" ht="15.75" hidden="1" x14ac:dyDescent="0.25">
      <c r="A872" s="25" t="s">
        <v>135</v>
      </c>
      <c r="B872" s="16">
        <v>908</v>
      </c>
      <c r="C872" s="20" t="s">
        <v>150</v>
      </c>
      <c r="D872" s="20" t="s">
        <v>219</v>
      </c>
      <c r="E872" s="40" t="s">
        <v>1002</v>
      </c>
      <c r="F872" s="20" t="s">
        <v>145</v>
      </c>
      <c r="G872" s="26">
        <f>'Пр.4 ведом.21'!G917</f>
        <v>0</v>
      </c>
      <c r="H872" s="26">
        <f t="shared" si="80"/>
        <v>0</v>
      </c>
      <c r="I872" s="201"/>
    </row>
    <row r="873" spans="1:9" ht="15.75" hidden="1" x14ac:dyDescent="0.25">
      <c r="A873" s="25" t="s">
        <v>568</v>
      </c>
      <c r="B873" s="16">
        <v>908</v>
      </c>
      <c r="C873" s="20" t="s">
        <v>150</v>
      </c>
      <c r="D873" s="20" t="s">
        <v>219</v>
      </c>
      <c r="E873" s="40" t="s">
        <v>1002</v>
      </c>
      <c r="F873" s="20" t="s">
        <v>138</v>
      </c>
      <c r="G873" s="26">
        <f>'Пр.4 ведом.21'!G918</f>
        <v>0</v>
      </c>
      <c r="H873" s="26">
        <f t="shared" si="80"/>
        <v>0</v>
      </c>
      <c r="I873" s="201"/>
    </row>
    <row r="874" spans="1:9" ht="15.75" x14ac:dyDescent="0.25">
      <c r="A874" s="23" t="s">
        <v>390</v>
      </c>
      <c r="B874" s="19">
        <v>908</v>
      </c>
      <c r="C874" s="24" t="s">
        <v>234</v>
      </c>
      <c r="D874" s="24"/>
      <c r="E874" s="24"/>
      <c r="F874" s="24"/>
      <c r="G874" s="21">
        <f>G875+G889+G953+G1003</f>
        <v>108348.7</v>
      </c>
      <c r="H874" s="21">
        <f>H875+H889+H953+H1003</f>
        <v>116461.05</v>
      </c>
      <c r="I874" s="201"/>
    </row>
    <row r="875" spans="1:9" ht="15.75" x14ac:dyDescent="0.25">
      <c r="A875" s="23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21">
        <f>G876</f>
        <v>6787.4</v>
      </c>
      <c r="H875" s="21">
        <f>H876</f>
        <v>6787.4</v>
      </c>
      <c r="I875" s="201"/>
    </row>
    <row r="876" spans="1:9" ht="15.75" x14ac:dyDescent="0.25">
      <c r="A876" s="23" t="s">
        <v>141</v>
      </c>
      <c r="B876" s="19">
        <v>908</v>
      </c>
      <c r="C876" s="24" t="s">
        <v>234</v>
      </c>
      <c r="D876" s="24" t="s">
        <v>118</v>
      </c>
      <c r="E876" s="24" t="s">
        <v>866</v>
      </c>
      <c r="F876" s="24"/>
      <c r="G876" s="21">
        <f>G877</f>
        <v>6787.4</v>
      </c>
      <c r="H876" s="21">
        <f>H877</f>
        <v>6787.4</v>
      </c>
      <c r="I876" s="201"/>
    </row>
    <row r="877" spans="1:9" ht="31.5" x14ac:dyDescent="0.25">
      <c r="A877" s="23" t="s">
        <v>870</v>
      </c>
      <c r="B877" s="19">
        <v>908</v>
      </c>
      <c r="C877" s="24" t="s">
        <v>234</v>
      </c>
      <c r="D877" s="24" t="s">
        <v>118</v>
      </c>
      <c r="E877" s="24" t="s">
        <v>865</v>
      </c>
      <c r="F877" s="24"/>
      <c r="G877" s="21">
        <f>G886+G883+G878</f>
        <v>6787.4</v>
      </c>
      <c r="H877" s="21">
        <f>H886+H883+H878</f>
        <v>6787.4</v>
      </c>
      <c r="I877" s="201"/>
    </row>
    <row r="878" spans="1:9" ht="15.75" hidden="1" x14ac:dyDescent="0.25">
      <c r="A878" s="25" t="s">
        <v>515</v>
      </c>
      <c r="B878" s="16">
        <v>908</v>
      </c>
      <c r="C878" s="20" t="s">
        <v>774</v>
      </c>
      <c r="D878" s="20" t="s">
        <v>118</v>
      </c>
      <c r="E878" s="20" t="s">
        <v>960</v>
      </c>
      <c r="F878" s="24"/>
      <c r="G878" s="26">
        <f>'Пр.4 ведом.21'!G923</f>
        <v>997.40000000000009</v>
      </c>
      <c r="H878" s="26">
        <f t="shared" si="80"/>
        <v>997.40000000000009</v>
      </c>
      <c r="I878" s="201"/>
    </row>
    <row r="879" spans="1:9" ht="31.5" hidden="1" x14ac:dyDescent="0.25">
      <c r="A879" s="25" t="s">
        <v>131</v>
      </c>
      <c r="B879" s="16">
        <v>908</v>
      </c>
      <c r="C879" s="20" t="s">
        <v>234</v>
      </c>
      <c r="D879" s="20" t="s">
        <v>118</v>
      </c>
      <c r="E879" s="20" t="s">
        <v>960</v>
      </c>
      <c r="F879" s="20" t="s">
        <v>132</v>
      </c>
      <c r="G879" s="26">
        <f>'Пр.4 ведом.21'!G924</f>
        <v>997.40000000000009</v>
      </c>
      <c r="H879" s="26">
        <f t="shared" si="80"/>
        <v>997.40000000000009</v>
      </c>
      <c r="I879" s="201"/>
    </row>
    <row r="880" spans="1:9" ht="31.5" hidden="1" x14ac:dyDescent="0.25">
      <c r="A880" s="25" t="s">
        <v>133</v>
      </c>
      <c r="B880" s="16">
        <v>908</v>
      </c>
      <c r="C880" s="20" t="s">
        <v>234</v>
      </c>
      <c r="D880" s="20" t="s">
        <v>118</v>
      </c>
      <c r="E880" s="20" t="s">
        <v>960</v>
      </c>
      <c r="F880" s="20" t="s">
        <v>134</v>
      </c>
      <c r="G880" s="26">
        <f>'Пр.4 ведом.21'!G925</f>
        <v>997.40000000000009</v>
      </c>
      <c r="H880" s="26">
        <f t="shared" si="80"/>
        <v>997.40000000000009</v>
      </c>
      <c r="I880" s="201"/>
    </row>
    <row r="881" spans="1:9" ht="15.75" hidden="1" x14ac:dyDescent="0.25">
      <c r="A881" s="25" t="s">
        <v>135</v>
      </c>
      <c r="B881" s="16">
        <v>908</v>
      </c>
      <c r="C881" s="20" t="s">
        <v>234</v>
      </c>
      <c r="D881" s="20" t="s">
        <v>118</v>
      </c>
      <c r="E881" s="20" t="s">
        <v>960</v>
      </c>
      <c r="F881" s="20" t="s">
        <v>145</v>
      </c>
      <c r="G881" s="26">
        <f>'Пр.4 ведом.21'!G926</f>
        <v>0</v>
      </c>
      <c r="H881" s="26">
        <f t="shared" si="80"/>
        <v>0</v>
      </c>
      <c r="I881" s="201"/>
    </row>
    <row r="882" spans="1:9" ht="47.25" hidden="1" x14ac:dyDescent="0.25">
      <c r="A882" s="25" t="s">
        <v>184</v>
      </c>
      <c r="B882" s="16">
        <v>908</v>
      </c>
      <c r="C882" s="20" t="s">
        <v>234</v>
      </c>
      <c r="D882" s="20" t="s">
        <v>118</v>
      </c>
      <c r="E882" s="20" t="s">
        <v>960</v>
      </c>
      <c r="F882" s="20" t="s">
        <v>160</v>
      </c>
      <c r="G882" s="26">
        <f>'Пр.4 ведом.21'!G927</f>
        <v>0</v>
      </c>
      <c r="H882" s="26">
        <f t="shared" si="80"/>
        <v>0</v>
      </c>
      <c r="I882" s="201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961</v>
      </c>
      <c r="F883" s="24"/>
      <c r="G883" s="26">
        <f>G884</f>
        <v>4650</v>
      </c>
      <c r="H883" s="26">
        <f>H884</f>
        <v>4650</v>
      </c>
      <c r="I883" s="201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118</v>
      </c>
      <c r="E884" s="20" t="s">
        <v>961</v>
      </c>
      <c r="F884" s="20" t="s">
        <v>132</v>
      </c>
      <c r="G884" s="26">
        <f>G885</f>
        <v>4650</v>
      </c>
      <c r="H884" s="26">
        <f>H885</f>
        <v>4650</v>
      </c>
      <c r="I884" s="201"/>
    </row>
    <row r="885" spans="1:9" ht="31.5" x14ac:dyDescent="0.25">
      <c r="A885" s="25" t="s">
        <v>133</v>
      </c>
      <c r="B885" s="16">
        <v>908</v>
      </c>
      <c r="C885" s="20" t="s">
        <v>234</v>
      </c>
      <c r="D885" s="20" t="s">
        <v>118</v>
      </c>
      <c r="E885" s="20" t="s">
        <v>961</v>
      </c>
      <c r="F885" s="20" t="s">
        <v>134</v>
      </c>
      <c r="G885" s="26">
        <v>4650</v>
      </c>
      <c r="H885" s="26">
        <f t="shared" si="80"/>
        <v>4650</v>
      </c>
      <c r="I885" s="201"/>
    </row>
    <row r="886" spans="1:9" ht="31.5" x14ac:dyDescent="0.25">
      <c r="A886" s="29" t="s">
        <v>932</v>
      </c>
      <c r="B886" s="16">
        <v>908</v>
      </c>
      <c r="C886" s="20" t="s">
        <v>234</v>
      </c>
      <c r="D886" s="20" t="s">
        <v>118</v>
      </c>
      <c r="E886" s="20" t="s">
        <v>962</v>
      </c>
      <c r="F886" s="24"/>
      <c r="G886" s="26">
        <f>G887</f>
        <v>1140</v>
      </c>
      <c r="H886" s="26">
        <f>H887</f>
        <v>1140</v>
      </c>
      <c r="I886" s="201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118</v>
      </c>
      <c r="E887" s="20" t="s">
        <v>962</v>
      </c>
      <c r="F887" s="20" t="s">
        <v>132</v>
      </c>
      <c r="G887" s="26">
        <f>G888</f>
        <v>1140</v>
      </c>
      <c r="H887" s="26">
        <f>H888</f>
        <v>1140</v>
      </c>
      <c r="I887" s="201"/>
    </row>
    <row r="888" spans="1:9" ht="31.5" x14ac:dyDescent="0.25">
      <c r="A888" s="25" t="s">
        <v>133</v>
      </c>
      <c r="B888" s="16">
        <v>908</v>
      </c>
      <c r="C888" s="20" t="s">
        <v>234</v>
      </c>
      <c r="D888" s="20" t="s">
        <v>118</v>
      </c>
      <c r="E888" s="20" t="s">
        <v>962</v>
      </c>
      <c r="F888" s="20" t="s">
        <v>134</v>
      </c>
      <c r="G888" s="26">
        <f>1140</f>
        <v>1140</v>
      </c>
      <c r="H888" s="26">
        <f t="shared" si="80"/>
        <v>1140</v>
      </c>
      <c r="I888" s="201"/>
    </row>
    <row r="889" spans="1:9" ht="15.75" x14ac:dyDescent="0.25">
      <c r="A889" s="23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21">
        <f>G890+G919+G948</f>
        <v>63346.8</v>
      </c>
      <c r="H889" s="21">
        <f>H890+H919+H948</f>
        <v>71206.150000000009</v>
      </c>
      <c r="I889" s="201"/>
    </row>
    <row r="890" spans="1:9" ht="15.75" x14ac:dyDescent="0.25">
      <c r="A890" s="23" t="s">
        <v>141</v>
      </c>
      <c r="B890" s="19">
        <v>908</v>
      </c>
      <c r="C890" s="24" t="s">
        <v>234</v>
      </c>
      <c r="D890" s="24" t="s">
        <v>213</v>
      </c>
      <c r="E890" s="24" t="s">
        <v>866</v>
      </c>
      <c r="F890" s="24"/>
      <c r="G890" s="21">
        <f>G891+G902</f>
        <v>61357</v>
      </c>
      <c r="H890" s="21">
        <f>H891+H902</f>
        <v>69205.350000000006</v>
      </c>
      <c r="I890" s="201"/>
    </row>
    <row r="891" spans="1:9" ht="31.5" x14ac:dyDescent="0.25">
      <c r="A891" s="23" t="s">
        <v>870</v>
      </c>
      <c r="B891" s="19">
        <v>908</v>
      </c>
      <c r="C891" s="24" t="s">
        <v>234</v>
      </c>
      <c r="D891" s="24" t="s">
        <v>213</v>
      </c>
      <c r="E891" s="24" t="s">
        <v>865</v>
      </c>
      <c r="F891" s="24"/>
      <c r="G891" s="21">
        <f>G892+G897</f>
        <v>5707.199999999998</v>
      </c>
      <c r="H891" s="21">
        <f>H892+H897</f>
        <v>13555.550000000001</v>
      </c>
      <c r="I891" s="201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979</v>
      </c>
      <c r="F892" s="20"/>
      <c r="G892" s="26">
        <f>G893+G895</f>
        <v>0</v>
      </c>
      <c r="H892" s="26">
        <f t="shared" si="80"/>
        <v>0</v>
      </c>
      <c r="I892" s="201"/>
    </row>
    <row r="893" spans="1:9" ht="31.5" hidden="1" x14ac:dyDescent="0.25">
      <c r="A893" s="25" t="s">
        <v>131</v>
      </c>
      <c r="B893" s="16">
        <v>908</v>
      </c>
      <c r="C893" s="20" t="s">
        <v>234</v>
      </c>
      <c r="D893" s="20" t="s">
        <v>213</v>
      </c>
      <c r="E893" s="20" t="s">
        <v>979</v>
      </c>
      <c r="F893" s="20" t="s">
        <v>132</v>
      </c>
      <c r="G893" s="26">
        <f>G894</f>
        <v>0</v>
      </c>
      <c r="H893" s="26">
        <f t="shared" si="80"/>
        <v>0</v>
      </c>
      <c r="I893" s="201"/>
    </row>
    <row r="894" spans="1:9" ht="31.5" hidden="1" x14ac:dyDescent="0.25">
      <c r="A894" s="25" t="s">
        <v>133</v>
      </c>
      <c r="B894" s="16">
        <v>908</v>
      </c>
      <c r="C894" s="20" t="s">
        <v>234</v>
      </c>
      <c r="D894" s="20" t="s">
        <v>213</v>
      </c>
      <c r="E894" s="20" t="s">
        <v>979</v>
      </c>
      <c r="F894" s="20" t="s">
        <v>134</v>
      </c>
      <c r="G894" s="26">
        <v>0</v>
      </c>
      <c r="H894" s="26">
        <f t="shared" si="80"/>
        <v>0</v>
      </c>
      <c r="I894" s="201"/>
    </row>
    <row r="895" spans="1:9" ht="15.75" hidden="1" x14ac:dyDescent="0.25">
      <c r="A895" s="25" t="s">
        <v>135</v>
      </c>
      <c r="B895" s="16">
        <v>908</v>
      </c>
      <c r="C895" s="20" t="s">
        <v>234</v>
      </c>
      <c r="D895" s="20" t="s">
        <v>213</v>
      </c>
      <c r="E895" s="20" t="s">
        <v>979</v>
      </c>
      <c r="F895" s="20" t="s">
        <v>145</v>
      </c>
      <c r="G895" s="26">
        <f>G896</f>
        <v>0</v>
      </c>
      <c r="H895" s="26">
        <f t="shared" si="80"/>
        <v>0</v>
      </c>
      <c r="I895" s="201"/>
    </row>
    <row r="896" spans="1:9" ht="47.25" hidden="1" x14ac:dyDescent="0.25">
      <c r="A896" s="25" t="s">
        <v>184</v>
      </c>
      <c r="B896" s="16">
        <v>908</v>
      </c>
      <c r="C896" s="20" t="s">
        <v>234</v>
      </c>
      <c r="D896" s="20" t="s">
        <v>213</v>
      </c>
      <c r="E896" s="20" t="s">
        <v>979</v>
      </c>
      <c r="F896" s="20" t="s">
        <v>160</v>
      </c>
      <c r="G896" s="26">
        <f>'Пр.4 ведом.21'!G944</f>
        <v>0</v>
      </c>
      <c r="H896" s="26">
        <f t="shared" si="80"/>
        <v>0</v>
      </c>
      <c r="I896" s="201"/>
    </row>
    <row r="897" spans="1:9" ht="31.5" x14ac:dyDescent="0.25">
      <c r="A897" s="29" t="s">
        <v>932</v>
      </c>
      <c r="B897" s="16">
        <v>908</v>
      </c>
      <c r="C897" s="20" t="s">
        <v>234</v>
      </c>
      <c r="D897" s="20" t="s">
        <v>213</v>
      </c>
      <c r="E897" s="20" t="s">
        <v>962</v>
      </c>
      <c r="F897" s="20"/>
      <c r="G897" s="26">
        <f>G898</f>
        <v>5707.199999999998</v>
      </c>
      <c r="H897" s="26">
        <f>H898</f>
        <v>13555.550000000001</v>
      </c>
      <c r="I897" s="201"/>
    </row>
    <row r="898" spans="1:9" ht="31.5" x14ac:dyDescent="0.25">
      <c r="A898" s="25" t="s">
        <v>131</v>
      </c>
      <c r="B898" s="16">
        <v>908</v>
      </c>
      <c r="C898" s="20" t="s">
        <v>234</v>
      </c>
      <c r="D898" s="20" t="s">
        <v>213</v>
      </c>
      <c r="E898" s="20" t="s">
        <v>962</v>
      </c>
      <c r="F898" s="20" t="s">
        <v>132</v>
      </c>
      <c r="G898" s="26">
        <f>G899</f>
        <v>5707.199999999998</v>
      </c>
      <c r="H898" s="26">
        <f>H899</f>
        <v>13555.550000000001</v>
      </c>
      <c r="I898" s="201"/>
    </row>
    <row r="899" spans="1:9" ht="31.5" x14ac:dyDescent="0.25">
      <c r="A899" s="25" t="s">
        <v>133</v>
      </c>
      <c r="B899" s="16">
        <v>908</v>
      </c>
      <c r="C899" s="20" t="s">
        <v>234</v>
      </c>
      <c r="D899" s="20" t="s">
        <v>213</v>
      </c>
      <c r="E899" s="20" t="s">
        <v>962</v>
      </c>
      <c r="F899" s="20" t="s">
        <v>134</v>
      </c>
      <c r="G899" s="26">
        <f>14881.91-4224.29+2030.8-4000-3375.3+394.08</f>
        <v>5707.199999999998</v>
      </c>
      <c r="H899" s="26">
        <f>16519.25-3375.3+411.6</f>
        <v>13555.550000000001</v>
      </c>
      <c r="I899" s="201"/>
    </row>
    <row r="900" spans="1:9" ht="15.75" hidden="1" x14ac:dyDescent="0.25">
      <c r="A900" s="25" t="s">
        <v>135</v>
      </c>
      <c r="B900" s="16">
        <v>908</v>
      </c>
      <c r="C900" s="20" t="s">
        <v>234</v>
      </c>
      <c r="D900" s="20" t="s">
        <v>213</v>
      </c>
      <c r="E900" s="20" t="s">
        <v>962</v>
      </c>
      <c r="F900" s="20" t="s">
        <v>145</v>
      </c>
      <c r="G900" s="26">
        <f>'Пр.4 ведом.21'!G949</f>
        <v>0</v>
      </c>
      <c r="H900" s="26">
        <f t="shared" si="80"/>
        <v>0</v>
      </c>
      <c r="I900" s="201"/>
    </row>
    <row r="901" spans="1:9" ht="15.75" hidden="1" x14ac:dyDescent="0.25">
      <c r="A901" s="25" t="s">
        <v>146</v>
      </c>
      <c r="B901" s="16">
        <v>908</v>
      </c>
      <c r="C901" s="20" t="s">
        <v>234</v>
      </c>
      <c r="D901" s="20" t="s">
        <v>213</v>
      </c>
      <c r="E901" s="20" t="s">
        <v>962</v>
      </c>
      <c r="F901" s="20" t="s">
        <v>147</v>
      </c>
      <c r="G901" s="26">
        <f>'Пр.4 ведом.21'!G950</f>
        <v>0</v>
      </c>
      <c r="H901" s="26">
        <f t="shared" si="80"/>
        <v>0</v>
      </c>
      <c r="I901" s="201"/>
    </row>
    <row r="902" spans="1:9" ht="47.25" hidden="1" x14ac:dyDescent="0.25">
      <c r="A902" s="23" t="s">
        <v>1013</v>
      </c>
      <c r="B902" s="19">
        <v>908</v>
      </c>
      <c r="C902" s="24" t="s">
        <v>234</v>
      </c>
      <c r="D902" s="24" t="s">
        <v>213</v>
      </c>
      <c r="E902" s="24" t="s">
        <v>980</v>
      </c>
      <c r="F902" s="24"/>
      <c r="G902" s="21">
        <f>G903+G911+G908+G916</f>
        <v>55649.8</v>
      </c>
      <c r="H902" s="21">
        <f>H903+H911+H908+H916</f>
        <v>55649.8</v>
      </c>
      <c r="I902" s="201"/>
    </row>
    <row r="903" spans="1:9" ht="47.25" hidden="1" x14ac:dyDescent="0.25">
      <c r="A903" s="25" t="s">
        <v>827</v>
      </c>
      <c r="B903" s="16">
        <v>908</v>
      </c>
      <c r="C903" s="20" t="s">
        <v>234</v>
      </c>
      <c r="D903" s="20" t="s">
        <v>213</v>
      </c>
      <c r="E903" s="20" t="s">
        <v>981</v>
      </c>
      <c r="F903" s="20"/>
      <c r="G903" s="26">
        <f>'Пр.4 ведом.21'!G952</f>
        <v>55649.8</v>
      </c>
      <c r="H903" s="26">
        <f t="shared" ref="H903:H973" si="85">G903</f>
        <v>55649.8</v>
      </c>
      <c r="I903" s="201"/>
    </row>
    <row r="904" spans="1:9" ht="31.5" hidden="1" x14ac:dyDescent="0.25">
      <c r="A904" s="25" t="s">
        <v>131</v>
      </c>
      <c r="B904" s="16">
        <v>908</v>
      </c>
      <c r="C904" s="20" t="s">
        <v>234</v>
      </c>
      <c r="D904" s="20" t="s">
        <v>213</v>
      </c>
      <c r="E904" s="20" t="s">
        <v>981</v>
      </c>
      <c r="F904" s="20" t="s">
        <v>132</v>
      </c>
      <c r="G904" s="26">
        <f>'Пр.4 ведом.21'!G953</f>
        <v>55649.8</v>
      </c>
      <c r="H904" s="26">
        <f t="shared" si="85"/>
        <v>55649.8</v>
      </c>
      <c r="I904" s="201"/>
    </row>
    <row r="905" spans="1:9" ht="31.5" hidden="1" x14ac:dyDescent="0.25">
      <c r="A905" s="25" t="s">
        <v>133</v>
      </c>
      <c r="B905" s="16">
        <v>908</v>
      </c>
      <c r="C905" s="20" t="s">
        <v>234</v>
      </c>
      <c r="D905" s="20" t="s">
        <v>213</v>
      </c>
      <c r="E905" s="20" t="s">
        <v>981</v>
      </c>
      <c r="F905" s="20" t="s">
        <v>134</v>
      </c>
      <c r="G905" s="26">
        <f>'Пр.4 ведом.21'!G954</f>
        <v>55649.8</v>
      </c>
      <c r="H905" s="26">
        <f t="shared" si="85"/>
        <v>55649.8</v>
      </c>
      <c r="I905" s="201"/>
    </row>
    <row r="906" spans="1:9" ht="15.75" hidden="1" x14ac:dyDescent="0.25">
      <c r="A906" s="25" t="s">
        <v>135</v>
      </c>
      <c r="B906" s="16">
        <v>908</v>
      </c>
      <c r="C906" s="20" t="s">
        <v>234</v>
      </c>
      <c r="D906" s="20" t="s">
        <v>213</v>
      </c>
      <c r="E906" s="20" t="s">
        <v>981</v>
      </c>
      <c r="F906" s="20" t="s">
        <v>837</v>
      </c>
      <c r="G906" s="26">
        <f>'Пр.4 ведом.21'!G955</f>
        <v>0</v>
      </c>
      <c r="H906" s="26">
        <f t="shared" si="85"/>
        <v>0</v>
      </c>
      <c r="I906" s="201"/>
    </row>
    <row r="907" spans="1:9" ht="15.75" hidden="1" x14ac:dyDescent="0.25">
      <c r="A907" s="25" t="s">
        <v>568</v>
      </c>
      <c r="B907" s="16">
        <v>908</v>
      </c>
      <c r="C907" s="20" t="s">
        <v>234</v>
      </c>
      <c r="D907" s="20" t="s">
        <v>213</v>
      </c>
      <c r="E907" s="20" t="s">
        <v>981</v>
      </c>
      <c r="F907" s="20" t="s">
        <v>1068</v>
      </c>
      <c r="G907" s="26">
        <f>'Пр.4 ведом.21'!G956</f>
        <v>0</v>
      </c>
      <c r="H907" s="26">
        <f t="shared" si="85"/>
        <v>0</v>
      </c>
      <c r="I907" s="201"/>
    </row>
    <row r="908" spans="1:9" ht="63" hidden="1" x14ac:dyDescent="0.25">
      <c r="A908" s="25" t="s">
        <v>793</v>
      </c>
      <c r="B908" s="16">
        <v>908</v>
      </c>
      <c r="C908" s="20" t="s">
        <v>234</v>
      </c>
      <c r="D908" s="20" t="s">
        <v>213</v>
      </c>
      <c r="E908" s="20" t="s">
        <v>982</v>
      </c>
      <c r="F908" s="20"/>
      <c r="G908" s="26">
        <f>'Пр.4 ведом.21'!G957</f>
        <v>0</v>
      </c>
      <c r="H908" s="26">
        <f t="shared" si="85"/>
        <v>0</v>
      </c>
      <c r="I908" s="201"/>
    </row>
    <row r="909" spans="1:9" ht="31.5" hidden="1" x14ac:dyDescent="0.25">
      <c r="A909" s="25" t="s">
        <v>131</v>
      </c>
      <c r="B909" s="16">
        <v>908</v>
      </c>
      <c r="C909" s="20" t="s">
        <v>234</v>
      </c>
      <c r="D909" s="20" t="s">
        <v>213</v>
      </c>
      <c r="E909" s="20" t="s">
        <v>982</v>
      </c>
      <c r="F909" s="20" t="s">
        <v>132</v>
      </c>
      <c r="G909" s="26">
        <f>'Пр.4 ведом.21'!G958</f>
        <v>0</v>
      </c>
      <c r="H909" s="26">
        <f t="shared" si="85"/>
        <v>0</v>
      </c>
      <c r="I909" s="201"/>
    </row>
    <row r="910" spans="1:9" ht="31.5" hidden="1" x14ac:dyDescent="0.25">
      <c r="A910" s="25" t="s">
        <v>133</v>
      </c>
      <c r="B910" s="16">
        <v>908</v>
      </c>
      <c r="C910" s="20" t="s">
        <v>234</v>
      </c>
      <c r="D910" s="20" t="s">
        <v>213</v>
      </c>
      <c r="E910" s="20" t="s">
        <v>982</v>
      </c>
      <c r="F910" s="20" t="s">
        <v>134</v>
      </c>
      <c r="G910" s="26">
        <f>'Пр.4 ведом.21'!G959</f>
        <v>0</v>
      </c>
      <c r="H910" s="26">
        <f t="shared" si="85"/>
        <v>0</v>
      </c>
      <c r="I910" s="201"/>
    </row>
    <row r="911" spans="1:9" ht="47.25" hidden="1" x14ac:dyDescent="0.25">
      <c r="A911" s="97" t="s">
        <v>833</v>
      </c>
      <c r="B911" s="16">
        <v>908</v>
      </c>
      <c r="C911" s="20" t="s">
        <v>234</v>
      </c>
      <c r="D911" s="20" t="s">
        <v>213</v>
      </c>
      <c r="E911" s="20" t="s">
        <v>983</v>
      </c>
      <c r="F911" s="20"/>
      <c r="G911" s="26">
        <f>'Пр.4 ведом.21'!G960</f>
        <v>0</v>
      </c>
      <c r="H911" s="26">
        <f t="shared" si="85"/>
        <v>0</v>
      </c>
      <c r="I911" s="201"/>
    </row>
    <row r="912" spans="1:9" ht="31.5" hidden="1" x14ac:dyDescent="0.25">
      <c r="A912" s="25" t="s">
        <v>838</v>
      </c>
      <c r="B912" s="16">
        <v>908</v>
      </c>
      <c r="C912" s="20" t="s">
        <v>234</v>
      </c>
      <c r="D912" s="20" t="s">
        <v>213</v>
      </c>
      <c r="E912" s="20" t="s">
        <v>983</v>
      </c>
      <c r="F912" s="20" t="s">
        <v>837</v>
      </c>
      <c r="G912" s="26">
        <f>'Пр.4 ведом.21'!G961</f>
        <v>0</v>
      </c>
      <c r="H912" s="26">
        <f t="shared" si="85"/>
        <v>0</v>
      </c>
      <c r="I912" s="201"/>
    </row>
    <row r="913" spans="1:9" ht="63" hidden="1" x14ac:dyDescent="0.25">
      <c r="A913" s="25" t="s">
        <v>1049</v>
      </c>
      <c r="B913" s="16">
        <v>908</v>
      </c>
      <c r="C913" s="20" t="s">
        <v>234</v>
      </c>
      <c r="D913" s="20" t="s">
        <v>213</v>
      </c>
      <c r="E913" s="20" t="s">
        <v>983</v>
      </c>
      <c r="F913" s="20" t="s">
        <v>1068</v>
      </c>
      <c r="G913" s="26">
        <f>'Пр.4 ведом.21'!G962</f>
        <v>0</v>
      </c>
      <c r="H913" s="26">
        <f t="shared" si="85"/>
        <v>0</v>
      </c>
      <c r="I913" s="201"/>
    </row>
    <row r="914" spans="1:9" ht="15.75" hidden="1" x14ac:dyDescent="0.25">
      <c r="A914" s="25" t="s">
        <v>135</v>
      </c>
      <c r="B914" s="16">
        <v>908</v>
      </c>
      <c r="C914" s="20" t="s">
        <v>234</v>
      </c>
      <c r="D914" s="20" t="s">
        <v>213</v>
      </c>
      <c r="E914" s="20" t="s">
        <v>983</v>
      </c>
      <c r="F914" s="20" t="s">
        <v>145</v>
      </c>
      <c r="G914" s="26">
        <f>'Пр.4 ведом.21'!G963</f>
        <v>0</v>
      </c>
      <c r="H914" s="26">
        <f t="shared" si="85"/>
        <v>0</v>
      </c>
      <c r="I914" s="201"/>
    </row>
    <row r="915" spans="1:9" ht="15.75" hidden="1" x14ac:dyDescent="0.25">
      <c r="A915" s="25" t="s">
        <v>704</v>
      </c>
      <c r="B915" s="16">
        <v>908</v>
      </c>
      <c r="C915" s="20" t="s">
        <v>234</v>
      </c>
      <c r="D915" s="20" t="s">
        <v>213</v>
      </c>
      <c r="E915" s="20" t="s">
        <v>983</v>
      </c>
      <c r="F915" s="20" t="s">
        <v>138</v>
      </c>
      <c r="G915" s="26">
        <f>'Пр.4 ведом.21'!G964</f>
        <v>0</v>
      </c>
      <c r="H915" s="26">
        <f t="shared" si="85"/>
        <v>0</v>
      </c>
      <c r="I915" s="201"/>
    </row>
    <row r="916" spans="1:9" ht="31.5" hidden="1" x14ac:dyDescent="0.25">
      <c r="A916" s="25" t="s">
        <v>1069</v>
      </c>
      <c r="B916" s="16">
        <v>908</v>
      </c>
      <c r="C916" s="20" t="s">
        <v>234</v>
      </c>
      <c r="D916" s="20" t="s">
        <v>213</v>
      </c>
      <c r="E916" s="20" t="s">
        <v>1070</v>
      </c>
      <c r="F916" s="20"/>
      <c r="G916" s="26">
        <f>'Пр.4 ведом.21'!G965</f>
        <v>0</v>
      </c>
      <c r="H916" s="26">
        <f t="shared" si="85"/>
        <v>0</v>
      </c>
      <c r="I916" s="201"/>
    </row>
    <row r="917" spans="1:9" ht="31.5" hidden="1" x14ac:dyDescent="0.25">
      <c r="A917" s="25" t="s">
        <v>131</v>
      </c>
      <c r="B917" s="16">
        <v>908</v>
      </c>
      <c r="C917" s="20" t="s">
        <v>234</v>
      </c>
      <c r="D917" s="20" t="s">
        <v>213</v>
      </c>
      <c r="E917" s="20" t="s">
        <v>1070</v>
      </c>
      <c r="F917" s="20" t="s">
        <v>132</v>
      </c>
      <c r="G917" s="26">
        <f>'Пр.4 ведом.21'!G966</f>
        <v>0</v>
      </c>
      <c r="H917" s="26">
        <f t="shared" si="85"/>
        <v>0</v>
      </c>
      <c r="I917" s="201"/>
    </row>
    <row r="918" spans="1:9" ht="31.5" hidden="1" x14ac:dyDescent="0.25">
      <c r="A918" s="25" t="s">
        <v>133</v>
      </c>
      <c r="B918" s="16">
        <v>908</v>
      </c>
      <c r="C918" s="20" t="s">
        <v>234</v>
      </c>
      <c r="D918" s="20" t="s">
        <v>213</v>
      </c>
      <c r="E918" s="20" t="s">
        <v>1070</v>
      </c>
      <c r="F918" s="20" t="s">
        <v>134</v>
      </c>
      <c r="G918" s="26">
        <f>'Пр.4 ведом.21'!G967</f>
        <v>0</v>
      </c>
      <c r="H918" s="26">
        <f t="shared" si="85"/>
        <v>0</v>
      </c>
      <c r="I918" s="201"/>
    </row>
    <row r="919" spans="1:9" ht="63" x14ac:dyDescent="0.25">
      <c r="A919" s="23" t="s">
        <v>1534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21">
        <f>G920+G924+G928+G932+G944+G940</f>
        <v>1785.8000000000002</v>
      </c>
      <c r="H919" s="21">
        <f>H920+H924+H928+H932+H944+H940</f>
        <v>1785.8000000000002</v>
      </c>
      <c r="I919" s="201"/>
    </row>
    <row r="920" spans="1:9" ht="31.5" x14ac:dyDescent="0.25">
      <c r="A920" s="23" t="s">
        <v>963</v>
      </c>
      <c r="B920" s="19">
        <v>908</v>
      </c>
      <c r="C920" s="24" t="s">
        <v>234</v>
      </c>
      <c r="D920" s="24" t="s">
        <v>213</v>
      </c>
      <c r="E920" s="24" t="s">
        <v>965</v>
      </c>
      <c r="F920" s="24"/>
      <c r="G920" s="21">
        <f t="shared" ref="G920:H922" si="86">G921</f>
        <v>700</v>
      </c>
      <c r="H920" s="21">
        <f t="shared" si="86"/>
        <v>700</v>
      </c>
      <c r="I920" s="201"/>
    </row>
    <row r="921" spans="1:9" ht="15.75" x14ac:dyDescent="0.25">
      <c r="A921" s="45" t="s">
        <v>964</v>
      </c>
      <c r="B921" s="16">
        <v>908</v>
      </c>
      <c r="C921" s="40" t="s">
        <v>234</v>
      </c>
      <c r="D921" s="40" t="s">
        <v>213</v>
      </c>
      <c r="E921" s="20" t="s">
        <v>966</v>
      </c>
      <c r="F921" s="40"/>
      <c r="G921" s="26">
        <f t="shared" si="86"/>
        <v>700</v>
      </c>
      <c r="H921" s="26">
        <f t="shared" si="86"/>
        <v>700</v>
      </c>
      <c r="I921" s="201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966</v>
      </c>
      <c r="F922" s="40" t="s">
        <v>132</v>
      </c>
      <c r="G922" s="26">
        <f t="shared" si="86"/>
        <v>700</v>
      </c>
      <c r="H922" s="26">
        <f t="shared" si="86"/>
        <v>700</v>
      </c>
      <c r="I922" s="201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966</v>
      </c>
      <c r="F923" s="40" t="s">
        <v>134</v>
      </c>
      <c r="G923" s="26">
        <v>700</v>
      </c>
      <c r="H923" s="26">
        <v>700</v>
      </c>
      <c r="I923" s="201"/>
    </row>
    <row r="924" spans="1:9" ht="31.5" hidden="1" x14ac:dyDescent="0.25">
      <c r="A924" s="34" t="s">
        <v>967</v>
      </c>
      <c r="B924" s="19">
        <v>908</v>
      </c>
      <c r="C924" s="7" t="s">
        <v>234</v>
      </c>
      <c r="D924" s="7" t="s">
        <v>213</v>
      </c>
      <c r="E924" s="24" t="s">
        <v>968</v>
      </c>
      <c r="F924" s="7"/>
      <c r="G924" s="21">
        <f>G925</f>
        <v>441</v>
      </c>
      <c r="H924" s="21">
        <f>H925</f>
        <v>441</v>
      </c>
      <c r="I924" s="201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971</v>
      </c>
      <c r="F925" s="40"/>
      <c r="G925" s="26">
        <f>'Пр.4 ведом.21'!G974</f>
        <v>441</v>
      </c>
      <c r="H925" s="26">
        <f t="shared" si="85"/>
        <v>441</v>
      </c>
      <c r="I925" s="201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971</v>
      </c>
      <c r="F926" s="40" t="s">
        <v>132</v>
      </c>
      <c r="G926" s="26">
        <f>'Пр.4 ведом.21'!G975</f>
        <v>441</v>
      </c>
      <c r="H926" s="26">
        <f t="shared" si="85"/>
        <v>441</v>
      </c>
      <c r="I926" s="201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971</v>
      </c>
      <c r="F927" s="40" t="s">
        <v>134</v>
      </c>
      <c r="G927" s="26">
        <f>'Пр.4 ведом.21'!G976</f>
        <v>441</v>
      </c>
      <c r="H927" s="26">
        <f t="shared" si="85"/>
        <v>441</v>
      </c>
      <c r="I927" s="201"/>
    </row>
    <row r="928" spans="1:9" ht="31.5" hidden="1" x14ac:dyDescent="0.25">
      <c r="A928" s="58" t="s">
        <v>969</v>
      </c>
      <c r="B928" s="19">
        <v>908</v>
      </c>
      <c r="C928" s="7" t="s">
        <v>234</v>
      </c>
      <c r="D928" s="7" t="s">
        <v>213</v>
      </c>
      <c r="E928" s="24" t="s">
        <v>970</v>
      </c>
      <c r="F928" s="7"/>
      <c r="G928" s="4">
        <f>G929</f>
        <v>0</v>
      </c>
      <c r="H928" s="4">
        <f>H929</f>
        <v>0</v>
      </c>
      <c r="I928" s="201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972</v>
      </c>
      <c r="F929" s="40"/>
      <c r="G929" s="26">
        <f>'Пр.4 ведом.21'!G978</f>
        <v>0</v>
      </c>
      <c r="H929" s="26">
        <f t="shared" si="85"/>
        <v>0</v>
      </c>
      <c r="I929" s="201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972</v>
      </c>
      <c r="F930" s="40" t="s">
        <v>132</v>
      </c>
      <c r="G930" s="26">
        <f>'Пр.4 ведом.21'!G979</f>
        <v>0</v>
      </c>
      <c r="H930" s="26">
        <f t="shared" si="85"/>
        <v>0</v>
      </c>
      <c r="I930" s="201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972</v>
      </c>
      <c r="F931" s="40" t="s">
        <v>134</v>
      </c>
      <c r="G931" s="26">
        <f>'Пр.4 ведом.21'!G980</f>
        <v>0</v>
      </c>
      <c r="H931" s="26">
        <f t="shared" si="85"/>
        <v>0</v>
      </c>
      <c r="I931" s="201"/>
    </row>
    <row r="932" spans="1:9" ht="31.5" hidden="1" x14ac:dyDescent="0.25">
      <c r="A932" s="58" t="s">
        <v>973</v>
      </c>
      <c r="B932" s="19">
        <v>908</v>
      </c>
      <c r="C932" s="7" t="s">
        <v>234</v>
      </c>
      <c r="D932" s="7" t="s">
        <v>213</v>
      </c>
      <c r="E932" s="24" t="s">
        <v>974</v>
      </c>
      <c r="F932" s="7"/>
      <c r="G932" s="4">
        <f>G933</f>
        <v>179.9</v>
      </c>
      <c r="H932" s="4">
        <f>H933</f>
        <v>179.9</v>
      </c>
      <c r="I932" s="201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975</v>
      </c>
      <c r="F933" s="40"/>
      <c r="G933" s="26">
        <f>'Пр.4 ведом.21'!G982</f>
        <v>179.9</v>
      </c>
      <c r="H933" s="26">
        <f t="shared" si="85"/>
        <v>179.9</v>
      </c>
      <c r="I933" s="201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975</v>
      </c>
      <c r="F934" s="40" t="s">
        <v>132</v>
      </c>
      <c r="G934" s="26">
        <f>'Пр.4 ведом.21'!G983</f>
        <v>179.9</v>
      </c>
      <c r="H934" s="26">
        <f t="shared" si="85"/>
        <v>179.9</v>
      </c>
      <c r="I934" s="201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975</v>
      </c>
      <c r="F935" s="40" t="s">
        <v>134</v>
      </c>
      <c r="G935" s="26">
        <f>'Пр.4 ведом.21'!G984</f>
        <v>179.9</v>
      </c>
      <c r="H935" s="26">
        <f t="shared" si="85"/>
        <v>179.9</v>
      </c>
      <c r="I935" s="201"/>
    </row>
    <row r="936" spans="1:9" ht="31.5" hidden="1" x14ac:dyDescent="0.25">
      <c r="A936" s="34" t="s">
        <v>1014</v>
      </c>
      <c r="B936" s="19">
        <v>908</v>
      </c>
      <c r="C936" s="7" t="s">
        <v>234</v>
      </c>
      <c r="D936" s="7" t="s">
        <v>213</v>
      </c>
      <c r="E936" s="24" t="s">
        <v>1015</v>
      </c>
      <c r="F936" s="7"/>
      <c r="G936" s="4">
        <f>G937</f>
        <v>0</v>
      </c>
      <c r="H936" s="4">
        <f>H937</f>
        <v>0</v>
      </c>
      <c r="I936" s="201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1018</v>
      </c>
      <c r="F937" s="40"/>
      <c r="G937" s="26">
        <f>'Пр.4 ведом.21'!G986</f>
        <v>0</v>
      </c>
      <c r="H937" s="26">
        <f t="shared" si="85"/>
        <v>0</v>
      </c>
      <c r="I937" s="201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1018</v>
      </c>
      <c r="F938" s="40" t="s">
        <v>132</v>
      </c>
      <c r="G938" s="26">
        <f>'Пр.4 ведом.21'!G987</f>
        <v>0</v>
      </c>
      <c r="H938" s="26">
        <f t="shared" si="85"/>
        <v>0</v>
      </c>
      <c r="I938" s="201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1018</v>
      </c>
      <c r="F939" s="40" t="s">
        <v>134</v>
      </c>
      <c r="G939" s="26">
        <f>'Пр.4 ведом.21'!G988</f>
        <v>0</v>
      </c>
      <c r="H939" s="26">
        <f t="shared" si="85"/>
        <v>0</v>
      </c>
      <c r="I939" s="201"/>
    </row>
    <row r="940" spans="1:9" ht="31.5" hidden="1" x14ac:dyDescent="0.25">
      <c r="A940" s="215" t="s">
        <v>1016</v>
      </c>
      <c r="B940" s="19">
        <v>908</v>
      </c>
      <c r="C940" s="7" t="s">
        <v>234</v>
      </c>
      <c r="D940" s="7" t="s">
        <v>213</v>
      </c>
      <c r="E940" s="24" t="s">
        <v>1017</v>
      </c>
      <c r="F940" s="7"/>
      <c r="G940" s="21">
        <f>G941</f>
        <v>0</v>
      </c>
      <c r="H940" s="21">
        <f>H941</f>
        <v>0</v>
      </c>
      <c r="I940" s="201"/>
    </row>
    <row r="941" spans="1:9" ht="31.5" hidden="1" x14ac:dyDescent="0.25">
      <c r="A941" s="174" t="s">
        <v>531</v>
      </c>
      <c r="B941" s="16">
        <v>908</v>
      </c>
      <c r="C941" s="40" t="s">
        <v>234</v>
      </c>
      <c r="D941" s="40" t="s">
        <v>213</v>
      </c>
      <c r="E941" s="20" t="s">
        <v>1019</v>
      </c>
      <c r="F941" s="40"/>
      <c r="G941" s="26">
        <f>'Пр.4 ведом.21'!G990</f>
        <v>0</v>
      </c>
      <c r="H941" s="26">
        <f t="shared" si="85"/>
        <v>0</v>
      </c>
      <c r="I941" s="201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1019</v>
      </c>
      <c r="F942" s="40" t="s">
        <v>132</v>
      </c>
      <c r="G942" s="26">
        <f>'Пр.4 ведом.21'!G991</f>
        <v>0</v>
      </c>
      <c r="H942" s="26">
        <f t="shared" si="85"/>
        <v>0</v>
      </c>
      <c r="I942" s="201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1019</v>
      </c>
      <c r="F943" s="40" t="s">
        <v>134</v>
      </c>
      <c r="G943" s="26">
        <f>'Пр.4 ведом.21'!G992</f>
        <v>0</v>
      </c>
      <c r="H943" s="26">
        <f t="shared" si="85"/>
        <v>0</v>
      </c>
      <c r="I943" s="201"/>
    </row>
    <row r="944" spans="1:9" ht="31.5" hidden="1" x14ac:dyDescent="0.25">
      <c r="A944" s="215" t="s">
        <v>977</v>
      </c>
      <c r="B944" s="19">
        <v>908</v>
      </c>
      <c r="C944" s="7" t="s">
        <v>234</v>
      </c>
      <c r="D944" s="7" t="s">
        <v>213</v>
      </c>
      <c r="E944" s="24" t="s">
        <v>978</v>
      </c>
      <c r="F944" s="7"/>
      <c r="G944" s="21">
        <f>G945</f>
        <v>464.90000000000003</v>
      </c>
      <c r="H944" s="21">
        <f>H945</f>
        <v>464.90000000000003</v>
      </c>
      <c r="I944" s="201"/>
    </row>
    <row r="945" spans="1:9" ht="15.75" hidden="1" x14ac:dyDescent="0.25">
      <c r="A945" s="174" t="s">
        <v>533</v>
      </c>
      <c r="B945" s="16">
        <v>908</v>
      </c>
      <c r="C945" s="40" t="s">
        <v>234</v>
      </c>
      <c r="D945" s="40" t="s">
        <v>213</v>
      </c>
      <c r="E945" s="20" t="s">
        <v>976</v>
      </c>
      <c r="F945" s="40"/>
      <c r="G945" s="26">
        <f>'Пр.4 ведом.21'!G994</f>
        <v>464.90000000000003</v>
      </c>
      <c r="H945" s="26">
        <f t="shared" si="85"/>
        <v>464.90000000000003</v>
      </c>
      <c r="I945" s="201"/>
    </row>
    <row r="946" spans="1:9" ht="31.5" hidden="1" x14ac:dyDescent="0.25">
      <c r="A946" s="25" t="s">
        <v>131</v>
      </c>
      <c r="B946" s="16">
        <v>908</v>
      </c>
      <c r="C946" s="40" t="s">
        <v>234</v>
      </c>
      <c r="D946" s="40" t="s">
        <v>213</v>
      </c>
      <c r="E946" s="20" t="s">
        <v>976</v>
      </c>
      <c r="F946" s="40" t="s">
        <v>132</v>
      </c>
      <c r="G946" s="26">
        <f>'Пр.4 ведом.21'!G995</f>
        <v>464.90000000000003</v>
      </c>
      <c r="H946" s="26">
        <f t="shared" si="85"/>
        <v>464.90000000000003</v>
      </c>
      <c r="I946" s="201"/>
    </row>
    <row r="947" spans="1:9" ht="31.5" hidden="1" x14ac:dyDescent="0.25">
      <c r="A947" s="25" t="s">
        <v>133</v>
      </c>
      <c r="B947" s="16">
        <v>908</v>
      </c>
      <c r="C947" s="40" t="s">
        <v>234</v>
      </c>
      <c r="D947" s="40" t="s">
        <v>213</v>
      </c>
      <c r="E947" s="20" t="s">
        <v>976</v>
      </c>
      <c r="F947" s="40" t="s">
        <v>134</v>
      </c>
      <c r="G947" s="26">
        <f>'Пр.4 ведом.21'!G996</f>
        <v>464.90000000000003</v>
      </c>
      <c r="H947" s="26">
        <f t="shared" si="85"/>
        <v>464.90000000000003</v>
      </c>
      <c r="I947" s="201"/>
    </row>
    <row r="948" spans="1:9" s="200" customFormat="1" ht="47.25" x14ac:dyDescent="0.25">
      <c r="A948" s="23" t="s">
        <v>1536</v>
      </c>
      <c r="B948" s="19">
        <v>908</v>
      </c>
      <c r="C948" s="7" t="s">
        <v>234</v>
      </c>
      <c r="D948" s="7" t="s">
        <v>213</v>
      </c>
      <c r="E948" s="24" t="s">
        <v>1142</v>
      </c>
      <c r="F948" s="7"/>
      <c r="G948" s="21">
        <f t="shared" ref="G948:H951" si="87">G949</f>
        <v>204</v>
      </c>
      <c r="H948" s="21">
        <f t="shared" si="87"/>
        <v>215</v>
      </c>
      <c r="I948" s="201"/>
    </row>
    <row r="949" spans="1:9" s="200" customFormat="1" ht="31.5" x14ac:dyDescent="0.25">
      <c r="A949" s="382" t="s">
        <v>1540</v>
      </c>
      <c r="B949" s="19">
        <v>908</v>
      </c>
      <c r="C949" s="7" t="s">
        <v>234</v>
      </c>
      <c r="D949" s="7" t="s">
        <v>213</v>
      </c>
      <c r="E949" s="24" t="s">
        <v>1144</v>
      </c>
      <c r="F949" s="7"/>
      <c r="G949" s="21">
        <f t="shared" si="87"/>
        <v>204</v>
      </c>
      <c r="H949" s="21">
        <f t="shared" si="87"/>
        <v>215</v>
      </c>
      <c r="I949" s="201"/>
    </row>
    <row r="950" spans="1:9" s="200" customFormat="1" ht="15.75" x14ac:dyDescent="0.25">
      <c r="A950" s="25" t="s">
        <v>537</v>
      </c>
      <c r="B950" s="16">
        <v>908</v>
      </c>
      <c r="C950" s="40" t="s">
        <v>234</v>
      </c>
      <c r="D950" s="40" t="s">
        <v>213</v>
      </c>
      <c r="E950" s="20" t="s">
        <v>1145</v>
      </c>
      <c r="F950" s="40"/>
      <c r="G950" s="26">
        <f t="shared" si="87"/>
        <v>204</v>
      </c>
      <c r="H950" s="26">
        <f t="shared" si="87"/>
        <v>215</v>
      </c>
      <c r="I950" s="201"/>
    </row>
    <row r="951" spans="1:9" s="200" customFormat="1" ht="31.5" x14ac:dyDescent="0.25">
      <c r="A951" s="25" t="s">
        <v>131</v>
      </c>
      <c r="B951" s="16">
        <v>908</v>
      </c>
      <c r="C951" s="40" t="s">
        <v>234</v>
      </c>
      <c r="D951" s="40" t="s">
        <v>213</v>
      </c>
      <c r="E951" s="20" t="s">
        <v>1145</v>
      </c>
      <c r="F951" s="40" t="s">
        <v>132</v>
      </c>
      <c r="G951" s="26">
        <f t="shared" si="87"/>
        <v>204</v>
      </c>
      <c r="H951" s="26">
        <f t="shared" si="87"/>
        <v>215</v>
      </c>
      <c r="I951" s="201"/>
    </row>
    <row r="952" spans="1:9" s="200" customFormat="1" ht="31.7" customHeight="1" x14ac:dyDescent="0.25">
      <c r="A952" s="25" t="s">
        <v>133</v>
      </c>
      <c r="B952" s="16">
        <v>908</v>
      </c>
      <c r="C952" s="40" t="s">
        <v>234</v>
      </c>
      <c r="D952" s="40" t="s">
        <v>213</v>
      </c>
      <c r="E952" s="20" t="s">
        <v>1145</v>
      </c>
      <c r="F952" s="40" t="s">
        <v>134</v>
      </c>
      <c r="G952" s="26">
        <v>204</v>
      </c>
      <c r="H952" s="26">
        <v>215</v>
      </c>
      <c r="I952" s="201"/>
    </row>
    <row r="953" spans="1:9" ht="15.75" x14ac:dyDescent="0.25">
      <c r="A953" s="23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21">
        <f>G954+G959+G998</f>
        <v>3810</v>
      </c>
      <c r="H953" s="21">
        <f>H954+H959+H998</f>
        <v>4063</v>
      </c>
      <c r="I953" s="201"/>
    </row>
    <row r="954" spans="1:9" ht="15.75" x14ac:dyDescent="0.25">
      <c r="A954" s="23" t="s">
        <v>141</v>
      </c>
      <c r="B954" s="19">
        <v>908</v>
      </c>
      <c r="C954" s="24" t="s">
        <v>234</v>
      </c>
      <c r="D954" s="24" t="s">
        <v>215</v>
      </c>
      <c r="E954" s="24" t="s">
        <v>866</v>
      </c>
      <c r="F954" s="24"/>
      <c r="G954" s="21">
        <f t="shared" ref="G954:H957" si="88">G955</f>
        <v>1390</v>
      </c>
      <c r="H954" s="21">
        <f t="shared" si="88"/>
        <v>1390</v>
      </c>
      <c r="I954" s="201"/>
    </row>
    <row r="955" spans="1:9" ht="31.5" x14ac:dyDescent="0.25">
      <c r="A955" s="23" t="s">
        <v>870</v>
      </c>
      <c r="B955" s="19">
        <v>908</v>
      </c>
      <c r="C955" s="24" t="s">
        <v>234</v>
      </c>
      <c r="D955" s="24" t="s">
        <v>215</v>
      </c>
      <c r="E955" s="24" t="s">
        <v>865</v>
      </c>
      <c r="F955" s="24"/>
      <c r="G955" s="21">
        <f t="shared" si="88"/>
        <v>1390</v>
      </c>
      <c r="H955" s="21">
        <f t="shared" si="88"/>
        <v>1390</v>
      </c>
      <c r="I955" s="201"/>
    </row>
    <row r="956" spans="1:9" ht="15.75" x14ac:dyDescent="0.25">
      <c r="A956" s="25" t="s">
        <v>564</v>
      </c>
      <c r="B956" s="16">
        <v>908</v>
      </c>
      <c r="C956" s="20" t="s">
        <v>234</v>
      </c>
      <c r="D956" s="20" t="s">
        <v>215</v>
      </c>
      <c r="E956" s="20" t="s">
        <v>1075</v>
      </c>
      <c r="F956" s="20"/>
      <c r="G956" s="26">
        <f t="shared" si="88"/>
        <v>1390</v>
      </c>
      <c r="H956" s="26">
        <f t="shared" si="88"/>
        <v>1390</v>
      </c>
      <c r="I956" s="201"/>
    </row>
    <row r="957" spans="1:9" ht="31.5" x14ac:dyDescent="0.25">
      <c r="A957" s="25" t="s">
        <v>131</v>
      </c>
      <c r="B957" s="16">
        <v>908</v>
      </c>
      <c r="C957" s="20" t="s">
        <v>234</v>
      </c>
      <c r="D957" s="20" t="s">
        <v>215</v>
      </c>
      <c r="E957" s="20" t="s">
        <v>1075</v>
      </c>
      <c r="F957" s="20" t="s">
        <v>132</v>
      </c>
      <c r="G957" s="26">
        <f t="shared" si="88"/>
        <v>1390</v>
      </c>
      <c r="H957" s="26">
        <f t="shared" si="88"/>
        <v>1390</v>
      </c>
      <c r="I957" s="201"/>
    </row>
    <row r="958" spans="1:9" ht="33.4" customHeight="1" x14ac:dyDescent="0.25">
      <c r="A958" s="25" t="s">
        <v>133</v>
      </c>
      <c r="B958" s="16">
        <v>908</v>
      </c>
      <c r="C958" s="20" t="s">
        <v>234</v>
      </c>
      <c r="D958" s="20" t="s">
        <v>215</v>
      </c>
      <c r="E958" s="20" t="s">
        <v>1075</v>
      </c>
      <c r="F958" s="20" t="s">
        <v>134</v>
      </c>
      <c r="G958" s="26">
        <f>390+1000</f>
        <v>1390</v>
      </c>
      <c r="H958" s="26">
        <f t="shared" si="85"/>
        <v>1390</v>
      </c>
      <c r="I958" s="201"/>
    </row>
    <row r="959" spans="1:9" ht="31.5" x14ac:dyDescent="0.25">
      <c r="A959" s="23" t="s">
        <v>1365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21">
        <f>G960+G964+G991</f>
        <v>1920</v>
      </c>
      <c r="H959" s="21">
        <f>H960+H964+H991</f>
        <v>2173</v>
      </c>
      <c r="I959" s="201"/>
    </row>
    <row r="960" spans="1:9" s="200" customFormat="1" ht="47.25" hidden="1" x14ac:dyDescent="0.25">
      <c r="A960" s="23" t="s">
        <v>1435</v>
      </c>
      <c r="B960" s="19">
        <v>908</v>
      </c>
      <c r="C960" s="24" t="s">
        <v>234</v>
      </c>
      <c r="D960" s="24" t="s">
        <v>215</v>
      </c>
      <c r="E960" s="24" t="s">
        <v>1274</v>
      </c>
      <c r="F960" s="24"/>
      <c r="G960" s="21">
        <f t="shared" ref="G960:H962" si="89">G961</f>
        <v>0</v>
      </c>
      <c r="H960" s="21">
        <f t="shared" si="89"/>
        <v>0</v>
      </c>
      <c r="I960" s="201"/>
    </row>
    <row r="961" spans="1:9" s="200" customFormat="1" ht="31.5" hidden="1" x14ac:dyDescent="0.25">
      <c r="A961" s="309" t="s">
        <v>1436</v>
      </c>
      <c r="B961" s="16">
        <v>908</v>
      </c>
      <c r="C961" s="20" t="s">
        <v>234</v>
      </c>
      <c r="D961" s="20" t="s">
        <v>215</v>
      </c>
      <c r="E961" s="20" t="s">
        <v>1423</v>
      </c>
      <c r="F961" s="20"/>
      <c r="G961" s="26">
        <f t="shared" si="89"/>
        <v>0</v>
      </c>
      <c r="H961" s="26">
        <f t="shared" si="89"/>
        <v>0</v>
      </c>
      <c r="I961" s="201"/>
    </row>
    <row r="962" spans="1:9" s="200" customFormat="1" ht="31.5" hidden="1" x14ac:dyDescent="0.25">
      <c r="A962" s="25" t="s">
        <v>131</v>
      </c>
      <c r="B962" s="16">
        <v>908</v>
      </c>
      <c r="C962" s="20" t="s">
        <v>234</v>
      </c>
      <c r="D962" s="20" t="s">
        <v>215</v>
      </c>
      <c r="E962" s="20" t="s">
        <v>1423</v>
      </c>
      <c r="F962" s="20" t="s">
        <v>132</v>
      </c>
      <c r="G962" s="26">
        <f t="shared" si="89"/>
        <v>0</v>
      </c>
      <c r="H962" s="26">
        <f t="shared" si="89"/>
        <v>0</v>
      </c>
      <c r="I962" s="201"/>
    </row>
    <row r="963" spans="1:9" s="200" customFormat="1" ht="31.5" hidden="1" x14ac:dyDescent="0.25">
      <c r="A963" s="25" t="s">
        <v>133</v>
      </c>
      <c r="B963" s="16">
        <v>908</v>
      </c>
      <c r="C963" s="20" t="s">
        <v>234</v>
      </c>
      <c r="D963" s="20" t="s">
        <v>215</v>
      </c>
      <c r="E963" s="20" t="s">
        <v>1423</v>
      </c>
      <c r="F963" s="20" t="s">
        <v>134</v>
      </c>
      <c r="G963" s="26">
        <v>0</v>
      </c>
      <c r="H963" s="26">
        <v>0</v>
      </c>
      <c r="I963" s="201"/>
    </row>
    <row r="964" spans="1:9" s="200" customFormat="1" ht="31.5" x14ac:dyDescent="0.25">
      <c r="A964" s="23" t="s">
        <v>1455</v>
      </c>
      <c r="B964" s="19">
        <v>908</v>
      </c>
      <c r="C964" s="24" t="s">
        <v>234</v>
      </c>
      <c r="D964" s="24" t="s">
        <v>215</v>
      </c>
      <c r="E964" s="24" t="s">
        <v>1275</v>
      </c>
      <c r="F964" s="24"/>
      <c r="G964" s="21">
        <f>G965+G968+G974+G977+G980+G985+G988</f>
        <v>1920</v>
      </c>
      <c r="H964" s="21">
        <f>H965+H968+H974+H977+H980+H985+H988</f>
        <v>2173</v>
      </c>
      <c r="I964" s="201"/>
    </row>
    <row r="965" spans="1:9" ht="15.75" x14ac:dyDescent="0.25">
      <c r="A965" s="25" t="s">
        <v>546</v>
      </c>
      <c r="B965" s="16">
        <v>908</v>
      </c>
      <c r="C965" s="20" t="s">
        <v>234</v>
      </c>
      <c r="D965" s="20" t="s">
        <v>215</v>
      </c>
      <c r="E965" s="20" t="s">
        <v>1434</v>
      </c>
      <c r="F965" s="20"/>
      <c r="G965" s="26">
        <f>G966</f>
        <v>365</v>
      </c>
      <c r="H965" s="26">
        <f>H966</f>
        <v>365</v>
      </c>
      <c r="I965" s="201"/>
    </row>
    <row r="966" spans="1:9" ht="31.5" x14ac:dyDescent="0.25">
      <c r="A966" s="25" t="s">
        <v>131</v>
      </c>
      <c r="B966" s="16">
        <v>908</v>
      </c>
      <c r="C966" s="20" t="s">
        <v>234</v>
      </c>
      <c r="D966" s="20" t="s">
        <v>215</v>
      </c>
      <c r="E966" s="20" t="s">
        <v>1434</v>
      </c>
      <c r="F966" s="20" t="s">
        <v>132</v>
      </c>
      <c r="G966" s="26">
        <f>G967</f>
        <v>365</v>
      </c>
      <c r="H966" s="26">
        <f>H967</f>
        <v>365</v>
      </c>
      <c r="I966" s="201"/>
    </row>
    <row r="967" spans="1:9" ht="31.5" x14ac:dyDescent="0.25">
      <c r="A967" s="25" t="s">
        <v>133</v>
      </c>
      <c r="B967" s="16">
        <v>908</v>
      </c>
      <c r="C967" s="20" t="s">
        <v>234</v>
      </c>
      <c r="D967" s="20" t="s">
        <v>215</v>
      </c>
      <c r="E967" s="20" t="s">
        <v>1434</v>
      </c>
      <c r="F967" s="20" t="s">
        <v>134</v>
      </c>
      <c r="G967" s="26">
        <v>365</v>
      </c>
      <c r="H967" s="26">
        <v>365</v>
      </c>
      <c r="I967" s="201"/>
    </row>
    <row r="968" spans="1:9" ht="15.75" x14ac:dyDescent="0.25">
      <c r="A968" s="25" t="s">
        <v>1087</v>
      </c>
      <c r="B968" s="16">
        <v>908</v>
      </c>
      <c r="C968" s="20" t="s">
        <v>234</v>
      </c>
      <c r="D968" s="20" t="s">
        <v>215</v>
      </c>
      <c r="E968" s="20" t="s">
        <v>1422</v>
      </c>
      <c r="F968" s="20"/>
      <c r="G968" s="26">
        <f>G969</f>
        <v>1080</v>
      </c>
      <c r="H968" s="26">
        <f>H969</f>
        <v>1188</v>
      </c>
      <c r="I968" s="201"/>
    </row>
    <row r="969" spans="1:9" ht="31.5" x14ac:dyDescent="0.25">
      <c r="A969" s="25" t="s">
        <v>131</v>
      </c>
      <c r="B969" s="16">
        <v>908</v>
      </c>
      <c r="C969" s="20" t="s">
        <v>234</v>
      </c>
      <c r="D969" s="20" t="s">
        <v>215</v>
      </c>
      <c r="E969" s="20" t="s">
        <v>1422</v>
      </c>
      <c r="F969" s="20" t="s">
        <v>132</v>
      </c>
      <c r="G969" s="26">
        <f>G970</f>
        <v>1080</v>
      </c>
      <c r="H969" s="26">
        <f>H970</f>
        <v>1188</v>
      </c>
      <c r="I969" s="201"/>
    </row>
    <row r="970" spans="1:9" ht="31.5" x14ac:dyDescent="0.25">
      <c r="A970" s="25" t="s">
        <v>133</v>
      </c>
      <c r="B970" s="16">
        <v>908</v>
      </c>
      <c r="C970" s="20" t="s">
        <v>234</v>
      </c>
      <c r="D970" s="20" t="s">
        <v>215</v>
      </c>
      <c r="E970" s="20" t="s">
        <v>1422</v>
      </c>
      <c r="F970" s="20" t="s">
        <v>134</v>
      </c>
      <c r="G970" s="26">
        <v>1080</v>
      </c>
      <c r="H970" s="26">
        <v>1188</v>
      </c>
      <c r="I970" s="201"/>
    </row>
    <row r="971" spans="1:9" ht="15.75" hidden="1" x14ac:dyDescent="0.25">
      <c r="A971" s="25" t="s">
        <v>135</v>
      </c>
      <c r="B971" s="16">
        <v>908</v>
      </c>
      <c r="C971" s="20" t="s">
        <v>234</v>
      </c>
      <c r="D971" s="20" t="s">
        <v>215</v>
      </c>
      <c r="E971" s="20" t="s">
        <v>1422</v>
      </c>
      <c r="F971" s="20" t="s">
        <v>145</v>
      </c>
      <c r="G971" s="26">
        <f>'Пр.4 ведом.21'!G1020</f>
        <v>0</v>
      </c>
      <c r="H971" s="26">
        <f t="shared" si="85"/>
        <v>0</v>
      </c>
      <c r="I971" s="201"/>
    </row>
    <row r="972" spans="1:9" ht="47.25" hidden="1" x14ac:dyDescent="0.25">
      <c r="A972" s="25" t="s">
        <v>836</v>
      </c>
      <c r="B972" s="16">
        <v>908</v>
      </c>
      <c r="C972" s="20" t="s">
        <v>234</v>
      </c>
      <c r="D972" s="20" t="s">
        <v>215</v>
      </c>
      <c r="E972" s="20" t="s">
        <v>1422</v>
      </c>
      <c r="F972" s="20" t="s">
        <v>147</v>
      </c>
      <c r="G972" s="26">
        <f>'Пр.4 ведом.21'!G1021</f>
        <v>0</v>
      </c>
      <c r="H972" s="26">
        <f t="shared" si="85"/>
        <v>0</v>
      </c>
      <c r="I972" s="201"/>
    </row>
    <row r="973" spans="1:9" ht="15.75" hidden="1" x14ac:dyDescent="0.25">
      <c r="A973" s="25" t="s">
        <v>704</v>
      </c>
      <c r="B973" s="16">
        <v>908</v>
      </c>
      <c r="C973" s="20" t="s">
        <v>234</v>
      </c>
      <c r="D973" s="20" t="s">
        <v>215</v>
      </c>
      <c r="E973" s="20" t="s">
        <v>1422</v>
      </c>
      <c r="F973" s="20" t="s">
        <v>138</v>
      </c>
      <c r="G973" s="26">
        <f>'Пр.4 ведом.21'!G1022</f>
        <v>0</v>
      </c>
      <c r="H973" s="26">
        <f t="shared" si="85"/>
        <v>0</v>
      </c>
      <c r="I973" s="201"/>
    </row>
    <row r="974" spans="1:9" ht="15.75" hidden="1" x14ac:dyDescent="0.25">
      <c r="A974" s="25" t="s">
        <v>550</v>
      </c>
      <c r="B974" s="16">
        <v>908</v>
      </c>
      <c r="C974" s="20" t="s">
        <v>234</v>
      </c>
      <c r="D974" s="20" t="s">
        <v>215</v>
      </c>
      <c r="E974" s="20" t="s">
        <v>1299</v>
      </c>
      <c r="F974" s="20"/>
      <c r="G974" s="26">
        <f>G975</f>
        <v>0</v>
      </c>
      <c r="H974" s="26">
        <f>H975</f>
        <v>0</v>
      </c>
      <c r="I974" s="201"/>
    </row>
    <row r="975" spans="1:9" ht="31.5" hidden="1" x14ac:dyDescent="0.25">
      <c r="A975" s="25" t="s">
        <v>131</v>
      </c>
      <c r="B975" s="16">
        <v>908</v>
      </c>
      <c r="C975" s="20" t="s">
        <v>234</v>
      </c>
      <c r="D975" s="20" t="s">
        <v>215</v>
      </c>
      <c r="E975" s="20" t="s">
        <v>1299</v>
      </c>
      <c r="F975" s="20" t="s">
        <v>132</v>
      </c>
      <c r="G975" s="26">
        <f>G976</f>
        <v>0</v>
      </c>
      <c r="H975" s="26">
        <f>H976</f>
        <v>0</v>
      </c>
      <c r="I975" s="201"/>
    </row>
    <row r="976" spans="1:9" ht="31.5" hidden="1" x14ac:dyDescent="0.25">
      <c r="A976" s="25" t="s">
        <v>133</v>
      </c>
      <c r="B976" s="16">
        <v>908</v>
      </c>
      <c r="C976" s="20" t="s">
        <v>234</v>
      </c>
      <c r="D976" s="20" t="s">
        <v>215</v>
      </c>
      <c r="E976" s="20" t="s">
        <v>1299</v>
      </c>
      <c r="F976" s="20" t="s">
        <v>134</v>
      </c>
      <c r="G976" s="26">
        <v>0</v>
      </c>
      <c r="H976" s="26">
        <v>0</v>
      </c>
      <c r="I976" s="201"/>
    </row>
    <row r="977" spans="1:9" ht="15.75" x14ac:dyDescent="0.25">
      <c r="A977" s="25" t="s">
        <v>555</v>
      </c>
      <c r="B977" s="16">
        <v>908</v>
      </c>
      <c r="C977" s="20" t="s">
        <v>234</v>
      </c>
      <c r="D977" s="20" t="s">
        <v>215</v>
      </c>
      <c r="E977" s="20" t="s">
        <v>1276</v>
      </c>
      <c r="F977" s="20"/>
      <c r="G977" s="26">
        <f>G978</f>
        <v>50</v>
      </c>
      <c r="H977" s="26">
        <f>H978</f>
        <v>55</v>
      </c>
      <c r="I977" s="201"/>
    </row>
    <row r="978" spans="1:9" ht="31.5" x14ac:dyDescent="0.25">
      <c r="A978" s="25" t="s">
        <v>131</v>
      </c>
      <c r="B978" s="16">
        <v>908</v>
      </c>
      <c r="C978" s="20" t="s">
        <v>234</v>
      </c>
      <c r="D978" s="20" t="s">
        <v>215</v>
      </c>
      <c r="E978" s="20" t="s">
        <v>1276</v>
      </c>
      <c r="F978" s="20" t="s">
        <v>132</v>
      </c>
      <c r="G978" s="26">
        <f>G979</f>
        <v>50</v>
      </c>
      <c r="H978" s="26">
        <f>H979</f>
        <v>55</v>
      </c>
      <c r="I978" s="201"/>
    </row>
    <row r="979" spans="1:9" ht="31.5" x14ac:dyDescent="0.25">
      <c r="A979" s="25" t="s">
        <v>133</v>
      </c>
      <c r="B979" s="16">
        <v>908</v>
      </c>
      <c r="C979" s="20" t="s">
        <v>234</v>
      </c>
      <c r="D979" s="20" t="s">
        <v>215</v>
      </c>
      <c r="E979" s="20" t="s">
        <v>1276</v>
      </c>
      <c r="F979" s="20" t="s">
        <v>134</v>
      </c>
      <c r="G979" s="26">
        <v>50</v>
      </c>
      <c r="H979" s="26">
        <v>55</v>
      </c>
      <c r="I979" s="201"/>
    </row>
    <row r="980" spans="1:9" ht="31.5" x14ac:dyDescent="0.25">
      <c r="A980" s="307" t="s">
        <v>1437</v>
      </c>
      <c r="B980" s="16">
        <v>908</v>
      </c>
      <c r="C980" s="20" t="s">
        <v>234</v>
      </c>
      <c r="D980" s="20" t="s">
        <v>215</v>
      </c>
      <c r="E980" s="20" t="s">
        <v>1277</v>
      </c>
      <c r="F980" s="20"/>
      <c r="G980" s="26">
        <f>G981+G983</f>
        <v>375</v>
      </c>
      <c r="H980" s="26">
        <f>H981+H983</f>
        <v>375</v>
      </c>
      <c r="I980" s="201"/>
    </row>
    <row r="981" spans="1:9" ht="31.5" x14ac:dyDescent="0.25">
      <c r="A981" s="25" t="s">
        <v>131</v>
      </c>
      <c r="B981" s="16">
        <v>908</v>
      </c>
      <c r="C981" s="20" t="s">
        <v>234</v>
      </c>
      <c r="D981" s="20" t="s">
        <v>215</v>
      </c>
      <c r="E981" s="20" t="s">
        <v>1277</v>
      </c>
      <c r="F981" s="20" t="s">
        <v>132</v>
      </c>
      <c r="G981" s="26">
        <f>G982</f>
        <v>300</v>
      </c>
      <c r="H981" s="26">
        <f>H982</f>
        <v>300</v>
      </c>
      <c r="I981" s="201"/>
    </row>
    <row r="982" spans="1:9" ht="31.5" x14ac:dyDescent="0.25">
      <c r="A982" s="25" t="s">
        <v>133</v>
      </c>
      <c r="B982" s="16">
        <v>908</v>
      </c>
      <c r="C982" s="20" t="s">
        <v>234</v>
      </c>
      <c r="D982" s="20" t="s">
        <v>215</v>
      </c>
      <c r="E982" s="20" t="s">
        <v>1277</v>
      </c>
      <c r="F982" s="20" t="s">
        <v>134</v>
      </c>
      <c r="G982" s="26">
        <f>300</f>
        <v>300</v>
      </c>
      <c r="H982" s="26">
        <v>300</v>
      </c>
      <c r="I982" s="201"/>
    </row>
    <row r="983" spans="1:9" ht="15.75" x14ac:dyDescent="0.25">
      <c r="A983" s="25" t="s">
        <v>135</v>
      </c>
      <c r="B983" s="16">
        <v>908</v>
      </c>
      <c r="C983" s="20" t="s">
        <v>234</v>
      </c>
      <c r="D983" s="20" t="s">
        <v>215</v>
      </c>
      <c r="E983" s="20" t="s">
        <v>1277</v>
      </c>
      <c r="F983" s="20" t="s">
        <v>145</v>
      </c>
      <c r="G983" s="26">
        <f>G984</f>
        <v>75</v>
      </c>
      <c r="H983" s="26">
        <f>H984</f>
        <v>75</v>
      </c>
      <c r="I983" s="201"/>
    </row>
    <row r="984" spans="1:9" ht="15.75" x14ac:dyDescent="0.25">
      <c r="A984" s="25" t="s">
        <v>704</v>
      </c>
      <c r="B984" s="16">
        <v>908</v>
      </c>
      <c r="C984" s="20" t="s">
        <v>234</v>
      </c>
      <c r="D984" s="20" t="s">
        <v>215</v>
      </c>
      <c r="E984" s="20" t="s">
        <v>1277</v>
      </c>
      <c r="F984" s="20" t="s">
        <v>138</v>
      </c>
      <c r="G984" s="26">
        <f>75</f>
        <v>75</v>
      </c>
      <c r="H984" s="26">
        <f t="shared" ref="H984:H1032" si="90">G984</f>
        <v>75</v>
      </c>
      <c r="I984" s="201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1278</v>
      </c>
      <c r="F985" s="20"/>
      <c r="G985" s="26">
        <f>'Пр.4 ведом.21'!G1034</f>
        <v>0</v>
      </c>
      <c r="H985" s="26">
        <f>H986</f>
        <v>130</v>
      </c>
      <c r="I985" s="201"/>
    </row>
    <row r="986" spans="1:9" ht="31.5" hidden="1" x14ac:dyDescent="0.25">
      <c r="A986" s="25" t="s">
        <v>131</v>
      </c>
      <c r="B986" s="16">
        <v>908</v>
      </c>
      <c r="C986" s="20" t="s">
        <v>234</v>
      </c>
      <c r="D986" s="20" t="s">
        <v>215</v>
      </c>
      <c r="E986" s="20" t="s">
        <v>1278</v>
      </c>
      <c r="F986" s="20" t="s">
        <v>132</v>
      </c>
      <c r="G986" s="26">
        <f>'Пр.4 ведом.21'!G1035</f>
        <v>0</v>
      </c>
      <c r="H986" s="26">
        <f>H987</f>
        <v>130</v>
      </c>
      <c r="I986" s="201"/>
    </row>
    <row r="987" spans="1:9" ht="31.5" hidden="1" x14ac:dyDescent="0.25">
      <c r="A987" s="25" t="s">
        <v>133</v>
      </c>
      <c r="B987" s="16">
        <v>908</v>
      </c>
      <c r="C987" s="20" t="s">
        <v>234</v>
      </c>
      <c r="D987" s="20" t="s">
        <v>215</v>
      </c>
      <c r="E987" s="20" t="s">
        <v>1278</v>
      </c>
      <c r="F987" s="20" t="s">
        <v>134</v>
      </c>
      <c r="G987" s="26">
        <f>0</f>
        <v>0</v>
      </c>
      <c r="H987" s="26">
        <v>130</v>
      </c>
      <c r="I987" s="201"/>
    </row>
    <row r="988" spans="1:9" s="200" customFormat="1" ht="31.5" x14ac:dyDescent="0.25">
      <c r="A988" s="224" t="s">
        <v>1089</v>
      </c>
      <c r="B988" s="16">
        <v>908</v>
      </c>
      <c r="C988" s="20" t="s">
        <v>234</v>
      </c>
      <c r="D988" s="20" t="s">
        <v>215</v>
      </c>
      <c r="E988" s="20" t="s">
        <v>1279</v>
      </c>
      <c r="F988" s="20"/>
      <c r="G988" s="26">
        <f>G989</f>
        <v>50</v>
      </c>
      <c r="H988" s="26">
        <f>H989</f>
        <v>60</v>
      </c>
      <c r="I988" s="201"/>
    </row>
    <row r="989" spans="1:9" s="200" customFormat="1" ht="31.5" x14ac:dyDescent="0.25">
      <c r="A989" s="25" t="s">
        <v>131</v>
      </c>
      <c r="B989" s="16">
        <v>908</v>
      </c>
      <c r="C989" s="20" t="s">
        <v>234</v>
      </c>
      <c r="D989" s="20" t="s">
        <v>215</v>
      </c>
      <c r="E989" s="20" t="s">
        <v>1279</v>
      </c>
      <c r="F989" s="20" t="s">
        <v>132</v>
      </c>
      <c r="G989" s="26">
        <f>G990</f>
        <v>50</v>
      </c>
      <c r="H989" s="26">
        <f>H990</f>
        <v>60</v>
      </c>
      <c r="I989" s="201"/>
    </row>
    <row r="990" spans="1:9" s="200" customFormat="1" ht="40.15" customHeight="1" x14ac:dyDescent="0.25">
      <c r="A990" s="25" t="s">
        <v>133</v>
      </c>
      <c r="B990" s="16">
        <v>908</v>
      </c>
      <c r="C990" s="20" t="s">
        <v>234</v>
      </c>
      <c r="D990" s="20" t="s">
        <v>215</v>
      </c>
      <c r="E990" s="20" t="s">
        <v>1279</v>
      </c>
      <c r="F990" s="20" t="s">
        <v>134</v>
      </c>
      <c r="G990" s="26">
        <v>50</v>
      </c>
      <c r="H990" s="26">
        <v>60</v>
      </c>
      <c r="I990" s="201"/>
    </row>
    <row r="991" spans="1:9" ht="31.5" hidden="1" x14ac:dyDescent="0.25">
      <c r="A991" s="23" t="s">
        <v>891</v>
      </c>
      <c r="B991" s="19">
        <v>908</v>
      </c>
      <c r="C991" s="24" t="s">
        <v>234</v>
      </c>
      <c r="D991" s="24" t="s">
        <v>215</v>
      </c>
      <c r="E991" s="24" t="s">
        <v>1297</v>
      </c>
      <c r="F991" s="24"/>
      <c r="G991" s="21">
        <f>G992+G995</f>
        <v>0</v>
      </c>
      <c r="H991" s="21">
        <f>H992+H995</f>
        <v>0</v>
      </c>
      <c r="I991" s="201"/>
    </row>
    <row r="992" spans="1:9" ht="31.5" hidden="1" x14ac:dyDescent="0.25">
      <c r="A992" s="25" t="s">
        <v>690</v>
      </c>
      <c r="B992" s="16">
        <v>908</v>
      </c>
      <c r="C992" s="20" t="s">
        <v>234</v>
      </c>
      <c r="D992" s="20" t="s">
        <v>215</v>
      </c>
      <c r="E992" s="20" t="s">
        <v>1328</v>
      </c>
      <c r="F992" s="20"/>
      <c r="G992" s="26">
        <f>'Пр.4 ведом.21'!G1041</f>
        <v>0</v>
      </c>
      <c r="H992" s="26">
        <f t="shared" si="90"/>
        <v>0</v>
      </c>
      <c r="I992" s="201"/>
    </row>
    <row r="993" spans="1:9" ht="31.5" hidden="1" x14ac:dyDescent="0.25">
      <c r="A993" s="25" t="s">
        <v>131</v>
      </c>
      <c r="B993" s="16">
        <v>908</v>
      </c>
      <c r="C993" s="20" t="s">
        <v>234</v>
      </c>
      <c r="D993" s="20" t="s">
        <v>215</v>
      </c>
      <c r="E993" s="20" t="s">
        <v>1328</v>
      </c>
      <c r="F993" s="20" t="s">
        <v>132</v>
      </c>
      <c r="G993" s="26">
        <f>'Пр.4 ведом.21'!G1042</f>
        <v>0</v>
      </c>
      <c r="H993" s="26">
        <f t="shared" si="90"/>
        <v>0</v>
      </c>
      <c r="I993" s="201"/>
    </row>
    <row r="994" spans="1:9" ht="31.5" hidden="1" x14ac:dyDescent="0.25">
      <c r="A994" s="25" t="s">
        <v>133</v>
      </c>
      <c r="B994" s="16">
        <v>908</v>
      </c>
      <c r="C994" s="20" t="s">
        <v>234</v>
      </c>
      <c r="D994" s="20" t="s">
        <v>215</v>
      </c>
      <c r="E994" s="20" t="s">
        <v>1328</v>
      </c>
      <c r="F994" s="20" t="s">
        <v>134</v>
      </c>
      <c r="G994" s="26">
        <f>'Пр.4 ведом.21'!G1043</f>
        <v>0</v>
      </c>
      <c r="H994" s="26">
        <f t="shared" si="90"/>
        <v>0</v>
      </c>
      <c r="I994" s="201"/>
    </row>
    <row r="995" spans="1:9" ht="63" hidden="1" x14ac:dyDescent="0.25">
      <c r="A995" s="25" t="s">
        <v>1071</v>
      </c>
      <c r="B995" s="16">
        <v>908</v>
      </c>
      <c r="C995" s="20" t="s">
        <v>234</v>
      </c>
      <c r="D995" s="20" t="s">
        <v>215</v>
      </c>
      <c r="E995" s="20" t="s">
        <v>1296</v>
      </c>
      <c r="F995" s="20"/>
      <c r="G995" s="26">
        <f>G996</f>
        <v>0</v>
      </c>
      <c r="H995" s="26">
        <f>H996</f>
        <v>0</v>
      </c>
      <c r="I995" s="201"/>
    </row>
    <row r="996" spans="1:9" ht="31.5" hidden="1" x14ac:dyDescent="0.25">
      <c r="A996" s="25" t="s">
        <v>131</v>
      </c>
      <c r="B996" s="16">
        <v>908</v>
      </c>
      <c r="C996" s="20" t="s">
        <v>234</v>
      </c>
      <c r="D996" s="20" t="s">
        <v>215</v>
      </c>
      <c r="E996" s="20" t="s">
        <v>1296</v>
      </c>
      <c r="F996" s="20" t="s">
        <v>132</v>
      </c>
      <c r="G996" s="26">
        <f>G997</f>
        <v>0</v>
      </c>
      <c r="H996" s="26">
        <f>H997</f>
        <v>0</v>
      </c>
      <c r="I996" s="201"/>
    </row>
    <row r="997" spans="1:9" ht="31.5" hidden="1" x14ac:dyDescent="0.25">
      <c r="A997" s="25" t="s">
        <v>133</v>
      </c>
      <c r="B997" s="16">
        <v>908</v>
      </c>
      <c r="C997" s="20" t="s">
        <v>234</v>
      </c>
      <c r="D997" s="20" t="s">
        <v>215</v>
      </c>
      <c r="E997" s="20" t="s">
        <v>1296</v>
      </c>
      <c r="F997" s="20" t="s">
        <v>134</v>
      </c>
      <c r="G997" s="26"/>
      <c r="H997" s="26"/>
      <c r="I997" s="201"/>
    </row>
    <row r="998" spans="1:9" ht="63" x14ac:dyDescent="0.25">
      <c r="A998" s="23" t="s">
        <v>1538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21">
        <f t="shared" ref="G998:H1001" si="91">G999</f>
        <v>500</v>
      </c>
      <c r="H998" s="21">
        <f t="shared" si="91"/>
        <v>500</v>
      </c>
      <c r="I998" s="201"/>
    </row>
    <row r="999" spans="1:9" ht="31.5" x14ac:dyDescent="0.25">
      <c r="A999" s="23" t="s">
        <v>1067</v>
      </c>
      <c r="B999" s="19">
        <v>908</v>
      </c>
      <c r="C999" s="24" t="s">
        <v>234</v>
      </c>
      <c r="D999" s="24" t="s">
        <v>215</v>
      </c>
      <c r="E999" s="24" t="s">
        <v>1088</v>
      </c>
      <c r="F999" s="24"/>
      <c r="G999" s="21">
        <f t="shared" si="91"/>
        <v>500</v>
      </c>
      <c r="H999" s="21">
        <f t="shared" si="91"/>
        <v>500</v>
      </c>
      <c r="I999" s="201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835</v>
      </c>
      <c r="F1000" s="20"/>
      <c r="G1000" s="26">
        <f t="shared" si="91"/>
        <v>500</v>
      </c>
      <c r="H1000" s="26">
        <f t="shared" si="91"/>
        <v>500</v>
      </c>
      <c r="I1000" s="201"/>
    </row>
    <row r="1001" spans="1:9" ht="31.5" x14ac:dyDescent="0.25">
      <c r="A1001" s="25" t="s">
        <v>131</v>
      </c>
      <c r="B1001" s="16">
        <v>908</v>
      </c>
      <c r="C1001" s="20" t="s">
        <v>234</v>
      </c>
      <c r="D1001" s="20" t="s">
        <v>215</v>
      </c>
      <c r="E1001" s="20" t="s">
        <v>835</v>
      </c>
      <c r="F1001" s="20" t="s">
        <v>132</v>
      </c>
      <c r="G1001" s="26">
        <f t="shared" si="91"/>
        <v>500</v>
      </c>
      <c r="H1001" s="26">
        <f t="shared" si="91"/>
        <v>500</v>
      </c>
      <c r="I1001" s="201"/>
    </row>
    <row r="1002" spans="1:9" ht="31.5" x14ac:dyDescent="0.25">
      <c r="A1002" s="25" t="s">
        <v>133</v>
      </c>
      <c r="B1002" s="16">
        <v>908</v>
      </c>
      <c r="C1002" s="20" t="s">
        <v>234</v>
      </c>
      <c r="D1002" s="20" t="s">
        <v>215</v>
      </c>
      <c r="E1002" s="20" t="s">
        <v>835</v>
      </c>
      <c r="F1002" s="20" t="s">
        <v>134</v>
      </c>
      <c r="G1002" s="26">
        <f>500</f>
        <v>500</v>
      </c>
      <c r="H1002" s="26">
        <f t="shared" si="90"/>
        <v>500</v>
      </c>
      <c r="I1002" s="201"/>
    </row>
    <row r="1003" spans="1:9" ht="31.5" x14ac:dyDescent="0.25">
      <c r="A1003" s="23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21">
        <f>G1004+G1016+G1033</f>
        <v>34404.5</v>
      </c>
      <c r="H1003" s="21">
        <f>H1004+H1016+H1033</f>
        <v>34404.5</v>
      </c>
      <c r="I1003" s="201"/>
    </row>
    <row r="1004" spans="1:9" ht="31.5" x14ac:dyDescent="0.25">
      <c r="A1004" s="23" t="s">
        <v>917</v>
      </c>
      <c r="B1004" s="19">
        <v>908</v>
      </c>
      <c r="C1004" s="24" t="s">
        <v>234</v>
      </c>
      <c r="D1004" s="24" t="s">
        <v>234</v>
      </c>
      <c r="E1004" s="24" t="s">
        <v>858</v>
      </c>
      <c r="F1004" s="24"/>
      <c r="G1004" s="21">
        <f>G1005</f>
        <v>12879.3</v>
      </c>
      <c r="H1004" s="21">
        <f>H1005</f>
        <v>12879.3</v>
      </c>
      <c r="I1004" s="201"/>
    </row>
    <row r="1005" spans="1:9" ht="15.75" x14ac:dyDescent="0.25">
      <c r="A1005" s="23" t="s">
        <v>918</v>
      </c>
      <c r="B1005" s="19">
        <v>908</v>
      </c>
      <c r="C1005" s="24" t="s">
        <v>234</v>
      </c>
      <c r="D1005" s="24" t="s">
        <v>234</v>
      </c>
      <c r="E1005" s="24" t="s">
        <v>859</v>
      </c>
      <c r="F1005" s="24"/>
      <c r="G1005" s="21">
        <f>G1006+G1013</f>
        <v>12879.3</v>
      </c>
      <c r="H1005" s="21">
        <f>H1006+H1013</f>
        <v>12879.3</v>
      </c>
      <c r="I1005" s="201"/>
    </row>
    <row r="1006" spans="1:9" ht="31.5" x14ac:dyDescent="0.25">
      <c r="A1006" s="25" t="s">
        <v>897</v>
      </c>
      <c r="B1006" s="16">
        <v>908</v>
      </c>
      <c r="C1006" s="20" t="s">
        <v>234</v>
      </c>
      <c r="D1006" s="20" t="s">
        <v>234</v>
      </c>
      <c r="E1006" s="20" t="s">
        <v>860</v>
      </c>
      <c r="F1006" s="20"/>
      <c r="G1006" s="26">
        <f>G1007+G1009+G1011</f>
        <v>12511.3</v>
      </c>
      <c r="H1006" s="26">
        <f>H1007+H1009+H1011</f>
        <v>12511.3</v>
      </c>
      <c r="I1006" s="201"/>
    </row>
    <row r="1007" spans="1:9" ht="78.75" x14ac:dyDescent="0.25">
      <c r="A1007" s="25" t="s">
        <v>127</v>
      </c>
      <c r="B1007" s="16">
        <v>908</v>
      </c>
      <c r="C1007" s="20" t="s">
        <v>234</v>
      </c>
      <c r="D1007" s="20" t="s">
        <v>234</v>
      </c>
      <c r="E1007" s="20" t="s">
        <v>860</v>
      </c>
      <c r="F1007" s="20" t="s">
        <v>128</v>
      </c>
      <c r="G1007" s="26">
        <f>G1008</f>
        <v>12439.3</v>
      </c>
      <c r="H1007" s="26">
        <f>H1008</f>
        <v>12439.3</v>
      </c>
      <c r="I1007" s="201"/>
    </row>
    <row r="1008" spans="1:9" ht="31.5" x14ac:dyDescent="0.25">
      <c r="A1008" s="25" t="s">
        <v>129</v>
      </c>
      <c r="B1008" s="16">
        <v>908</v>
      </c>
      <c r="C1008" s="20" t="s">
        <v>234</v>
      </c>
      <c r="D1008" s="20" t="s">
        <v>234</v>
      </c>
      <c r="E1008" s="20" t="s">
        <v>860</v>
      </c>
      <c r="F1008" s="20" t="s">
        <v>130</v>
      </c>
      <c r="G1008" s="26">
        <v>12439.3</v>
      </c>
      <c r="H1008" s="26">
        <f t="shared" si="90"/>
        <v>12439.3</v>
      </c>
      <c r="I1008" s="201"/>
    </row>
    <row r="1009" spans="1:9" ht="31.5" x14ac:dyDescent="0.25">
      <c r="A1009" s="25" t="s">
        <v>131</v>
      </c>
      <c r="B1009" s="16">
        <v>908</v>
      </c>
      <c r="C1009" s="20" t="s">
        <v>234</v>
      </c>
      <c r="D1009" s="20" t="s">
        <v>234</v>
      </c>
      <c r="E1009" s="20" t="s">
        <v>860</v>
      </c>
      <c r="F1009" s="20" t="s">
        <v>132</v>
      </c>
      <c r="G1009" s="26">
        <f>G1010</f>
        <v>25</v>
      </c>
      <c r="H1009" s="26">
        <f>H1010</f>
        <v>25</v>
      </c>
      <c r="I1009" s="201"/>
    </row>
    <row r="1010" spans="1:9" ht="31.5" x14ac:dyDescent="0.25">
      <c r="A1010" s="25" t="s">
        <v>133</v>
      </c>
      <c r="B1010" s="16">
        <v>908</v>
      </c>
      <c r="C1010" s="20" t="s">
        <v>234</v>
      </c>
      <c r="D1010" s="20" t="s">
        <v>234</v>
      </c>
      <c r="E1010" s="20" t="s">
        <v>860</v>
      </c>
      <c r="F1010" s="20" t="s">
        <v>134</v>
      </c>
      <c r="G1010" s="26">
        <f>25</f>
        <v>25</v>
      </c>
      <c r="H1010" s="26">
        <f t="shared" si="90"/>
        <v>25</v>
      </c>
      <c r="I1010" s="201"/>
    </row>
    <row r="1011" spans="1:9" ht="15.75" x14ac:dyDescent="0.25">
      <c r="A1011" s="25" t="s">
        <v>135</v>
      </c>
      <c r="B1011" s="16">
        <v>908</v>
      </c>
      <c r="C1011" s="20" t="s">
        <v>234</v>
      </c>
      <c r="D1011" s="20" t="s">
        <v>234</v>
      </c>
      <c r="E1011" s="20" t="s">
        <v>860</v>
      </c>
      <c r="F1011" s="20" t="s">
        <v>145</v>
      </c>
      <c r="G1011" s="26">
        <f>G1012</f>
        <v>47</v>
      </c>
      <c r="H1011" s="26">
        <f>H1012</f>
        <v>47</v>
      </c>
      <c r="I1011" s="201"/>
    </row>
    <row r="1012" spans="1:9" ht="15.75" x14ac:dyDescent="0.25">
      <c r="A1012" s="25" t="s">
        <v>568</v>
      </c>
      <c r="B1012" s="16">
        <v>908</v>
      </c>
      <c r="C1012" s="20" t="s">
        <v>234</v>
      </c>
      <c r="D1012" s="20" t="s">
        <v>234</v>
      </c>
      <c r="E1012" s="20" t="s">
        <v>860</v>
      </c>
      <c r="F1012" s="20" t="s">
        <v>138</v>
      </c>
      <c r="G1012" s="26">
        <f>47</f>
        <v>47</v>
      </c>
      <c r="H1012" s="26">
        <f t="shared" si="90"/>
        <v>47</v>
      </c>
      <c r="I1012" s="201"/>
    </row>
    <row r="1013" spans="1:9" ht="47.25" x14ac:dyDescent="0.25">
      <c r="A1013" s="25" t="s">
        <v>839</v>
      </c>
      <c r="B1013" s="16">
        <v>908</v>
      </c>
      <c r="C1013" s="20" t="s">
        <v>234</v>
      </c>
      <c r="D1013" s="20" t="s">
        <v>234</v>
      </c>
      <c r="E1013" s="20" t="s">
        <v>862</v>
      </c>
      <c r="F1013" s="20"/>
      <c r="G1013" s="26">
        <f>G1014</f>
        <v>368</v>
      </c>
      <c r="H1013" s="26">
        <f>H1014</f>
        <v>368</v>
      </c>
      <c r="I1013" s="201"/>
    </row>
    <row r="1014" spans="1:9" ht="78.75" x14ac:dyDescent="0.25">
      <c r="A1014" s="25" t="s">
        <v>127</v>
      </c>
      <c r="B1014" s="16">
        <v>908</v>
      </c>
      <c r="C1014" s="20" t="s">
        <v>234</v>
      </c>
      <c r="D1014" s="20" t="s">
        <v>234</v>
      </c>
      <c r="E1014" s="20" t="s">
        <v>862</v>
      </c>
      <c r="F1014" s="20" t="s">
        <v>128</v>
      </c>
      <c r="G1014" s="26">
        <f>G1015</f>
        <v>368</v>
      </c>
      <c r="H1014" s="26">
        <f>H1015</f>
        <v>368</v>
      </c>
      <c r="I1014" s="201"/>
    </row>
    <row r="1015" spans="1:9" ht="31.5" x14ac:dyDescent="0.25">
      <c r="A1015" s="25" t="s">
        <v>129</v>
      </c>
      <c r="B1015" s="16">
        <v>908</v>
      </c>
      <c r="C1015" s="20" t="s">
        <v>234</v>
      </c>
      <c r="D1015" s="20" t="s">
        <v>234</v>
      </c>
      <c r="E1015" s="20" t="s">
        <v>862</v>
      </c>
      <c r="F1015" s="20" t="s">
        <v>130</v>
      </c>
      <c r="G1015" s="26">
        <v>368</v>
      </c>
      <c r="H1015" s="26">
        <f t="shared" si="90"/>
        <v>368</v>
      </c>
      <c r="I1015" s="201"/>
    </row>
    <row r="1016" spans="1:9" ht="15.75" x14ac:dyDescent="0.25">
      <c r="A1016" s="23" t="s">
        <v>141</v>
      </c>
      <c r="B1016" s="19">
        <v>908</v>
      </c>
      <c r="C1016" s="24" t="s">
        <v>234</v>
      </c>
      <c r="D1016" s="24" t="s">
        <v>234</v>
      </c>
      <c r="E1016" s="24" t="s">
        <v>866</v>
      </c>
      <c r="F1016" s="24"/>
      <c r="G1016" s="21">
        <f>G1017+G1024</f>
        <v>21525.200000000001</v>
      </c>
      <c r="H1016" s="21">
        <f>H1017+H1024</f>
        <v>21525.200000000001</v>
      </c>
      <c r="I1016" s="201"/>
    </row>
    <row r="1017" spans="1:9" ht="31.5" x14ac:dyDescent="0.25">
      <c r="A1017" s="23" t="s">
        <v>870</v>
      </c>
      <c r="B1017" s="19">
        <v>908</v>
      </c>
      <c r="C1017" s="24" t="s">
        <v>234</v>
      </c>
      <c r="D1017" s="24" t="s">
        <v>234</v>
      </c>
      <c r="E1017" s="24" t="s">
        <v>865</v>
      </c>
      <c r="F1017" s="24"/>
      <c r="G1017" s="21">
        <f>G1018+G1021</f>
        <v>10082</v>
      </c>
      <c r="H1017" s="21">
        <f>H1018+H1021</f>
        <v>10082</v>
      </c>
      <c r="I1017" s="201"/>
    </row>
    <row r="1018" spans="1:9" ht="31.5" x14ac:dyDescent="0.25">
      <c r="A1018" s="25" t="s">
        <v>570</v>
      </c>
      <c r="B1018" s="16">
        <v>908</v>
      </c>
      <c r="C1018" s="20" t="s">
        <v>234</v>
      </c>
      <c r="D1018" s="20" t="s">
        <v>234</v>
      </c>
      <c r="E1018" s="20" t="s">
        <v>984</v>
      </c>
      <c r="F1018" s="20"/>
      <c r="G1018" s="26">
        <f>G1019</f>
        <v>982</v>
      </c>
      <c r="H1018" s="26">
        <f>H1019</f>
        <v>982</v>
      </c>
      <c r="I1018" s="201"/>
    </row>
    <row r="1019" spans="1:9" ht="15.75" x14ac:dyDescent="0.25">
      <c r="A1019" s="25" t="s">
        <v>135</v>
      </c>
      <c r="B1019" s="16">
        <v>908</v>
      </c>
      <c r="C1019" s="20" t="s">
        <v>234</v>
      </c>
      <c r="D1019" s="20" t="s">
        <v>234</v>
      </c>
      <c r="E1019" s="20" t="s">
        <v>984</v>
      </c>
      <c r="F1019" s="20" t="s">
        <v>145</v>
      </c>
      <c r="G1019" s="26">
        <f>G1020</f>
        <v>982</v>
      </c>
      <c r="H1019" s="26">
        <f>H1020</f>
        <v>982</v>
      </c>
      <c r="I1019" s="201"/>
    </row>
    <row r="1020" spans="1:9" ht="47.25" x14ac:dyDescent="0.25">
      <c r="A1020" s="25" t="s">
        <v>184</v>
      </c>
      <c r="B1020" s="16">
        <v>908</v>
      </c>
      <c r="C1020" s="20" t="s">
        <v>234</v>
      </c>
      <c r="D1020" s="20" t="s">
        <v>234</v>
      </c>
      <c r="E1020" s="20" t="s">
        <v>984</v>
      </c>
      <c r="F1020" s="20" t="s">
        <v>160</v>
      </c>
      <c r="G1020" s="26">
        <v>982</v>
      </c>
      <c r="H1020" s="26">
        <f t="shared" si="90"/>
        <v>982</v>
      </c>
      <c r="I1020" s="201"/>
    </row>
    <row r="1021" spans="1:9" ht="31.5" hidden="1" x14ac:dyDescent="0.25">
      <c r="A1021" s="25" t="s">
        <v>823</v>
      </c>
      <c r="B1021" s="16">
        <v>908</v>
      </c>
      <c r="C1021" s="20" t="s">
        <v>234</v>
      </c>
      <c r="D1021" s="20" t="s">
        <v>234</v>
      </c>
      <c r="E1021" s="20" t="s">
        <v>1072</v>
      </c>
      <c r="F1021" s="20"/>
      <c r="G1021" s="26">
        <f>'Пр.4 ведом.21'!G1088</f>
        <v>9100</v>
      </c>
      <c r="H1021" s="26">
        <f t="shared" si="90"/>
        <v>9100</v>
      </c>
      <c r="I1021" s="201"/>
    </row>
    <row r="1022" spans="1:9" ht="15.75" hidden="1" x14ac:dyDescent="0.25">
      <c r="A1022" s="25" t="s">
        <v>135</v>
      </c>
      <c r="B1022" s="16">
        <v>908</v>
      </c>
      <c r="C1022" s="20" t="s">
        <v>234</v>
      </c>
      <c r="D1022" s="20" t="s">
        <v>234</v>
      </c>
      <c r="E1022" s="20" t="s">
        <v>1072</v>
      </c>
      <c r="F1022" s="20" t="s">
        <v>145</v>
      </c>
      <c r="G1022" s="26">
        <f>'Пр.4 ведом.21'!G1089</f>
        <v>100</v>
      </c>
      <c r="H1022" s="26">
        <f t="shared" si="90"/>
        <v>100</v>
      </c>
      <c r="I1022" s="201"/>
    </row>
    <row r="1023" spans="1:9" ht="47.25" hidden="1" x14ac:dyDescent="0.25">
      <c r="A1023" s="25" t="s">
        <v>184</v>
      </c>
      <c r="B1023" s="16">
        <v>908</v>
      </c>
      <c r="C1023" s="20" t="s">
        <v>234</v>
      </c>
      <c r="D1023" s="20" t="s">
        <v>234</v>
      </c>
      <c r="E1023" s="20" t="s">
        <v>1072</v>
      </c>
      <c r="F1023" s="20" t="s">
        <v>160</v>
      </c>
      <c r="G1023" s="26">
        <f>'Пр.4 ведом.21'!G1090</f>
        <v>100</v>
      </c>
      <c r="H1023" s="26">
        <f t="shared" si="90"/>
        <v>100</v>
      </c>
      <c r="I1023" s="201"/>
    </row>
    <row r="1024" spans="1:9" ht="31.5" x14ac:dyDescent="0.25">
      <c r="A1024" s="23" t="s">
        <v>929</v>
      </c>
      <c r="B1024" s="19">
        <v>908</v>
      </c>
      <c r="C1024" s="24" t="s">
        <v>234</v>
      </c>
      <c r="D1024" s="24" t="s">
        <v>234</v>
      </c>
      <c r="E1024" s="24" t="s">
        <v>914</v>
      </c>
      <c r="F1024" s="24"/>
      <c r="G1024" s="44">
        <f>G1025+G1030</f>
        <v>11443.2</v>
      </c>
      <c r="H1024" s="44">
        <f>H1025+H1030</f>
        <v>11443.2</v>
      </c>
      <c r="I1024" s="201"/>
    </row>
    <row r="1025" spans="1:9" ht="31.5" x14ac:dyDescent="0.25">
      <c r="A1025" s="25" t="s">
        <v>903</v>
      </c>
      <c r="B1025" s="16">
        <v>908</v>
      </c>
      <c r="C1025" s="20" t="s">
        <v>234</v>
      </c>
      <c r="D1025" s="20" t="s">
        <v>234</v>
      </c>
      <c r="E1025" s="20" t="s">
        <v>915</v>
      </c>
      <c r="F1025" s="20"/>
      <c r="G1025" s="26">
        <f>G1026+G1028</f>
        <v>10845.2</v>
      </c>
      <c r="H1025" s="26">
        <f>H1026+H1028</f>
        <v>10845.2</v>
      </c>
      <c r="I1025" s="201"/>
    </row>
    <row r="1026" spans="1:9" ht="78.75" x14ac:dyDescent="0.25">
      <c r="A1026" s="25" t="s">
        <v>127</v>
      </c>
      <c r="B1026" s="16">
        <v>908</v>
      </c>
      <c r="C1026" s="20" t="s">
        <v>234</v>
      </c>
      <c r="D1026" s="20" t="s">
        <v>234</v>
      </c>
      <c r="E1026" s="20" t="s">
        <v>915</v>
      </c>
      <c r="F1026" s="20" t="s">
        <v>128</v>
      </c>
      <c r="G1026" s="26">
        <f>G1027</f>
        <v>9193</v>
      </c>
      <c r="H1026" s="26">
        <f>H1027</f>
        <v>9193</v>
      </c>
      <c r="I1026" s="201"/>
    </row>
    <row r="1027" spans="1:9" ht="31.5" x14ac:dyDescent="0.25">
      <c r="A1027" s="25" t="s">
        <v>342</v>
      </c>
      <c r="B1027" s="16">
        <v>908</v>
      </c>
      <c r="C1027" s="20" t="s">
        <v>234</v>
      </c>
      <c r="D1027" s="20" t="s">
        <v>234</v>
      </c>
      <c r="E1027" s="20" t="s">
        <v>915</v>
      </c>
      <c r="F1027" s="20" t="s">
        <v>209</v>
      </c>
      <c r="G1027" s="26">
        <v>9193</v>
      </c>
      <c r="H1027" s="26">
        <f t="shared" si="90"/>
        <v>9193</v>
      </c>
      <c r="I1027" s="201"/>
    </row>
    <row r="1028" spans="1:9" ht="31.5" x14ac:dyDescent="0.25">
      <c r="A1028" s="25" t="s">
        <v>131</v>
      </c>
      <c r="B1028" s="16">
        <v>908</v>
      </c>
      <c r="C1028" s="20" t="s">
        <v>234</v>
      </c>
      <c r="D1028" s="20" t="s">
        <v>234</v>
      </c>
      <c r="E1028" s="20" t="s">
        <v>915</v>
      </c>
      <c r="F1028" s="20" t="s">
        <v>132</v>
      </c>
      <c r="G1028" s="26">
        <f>G1029</f>
        <v>1652.2</v>
      </c>
      <c r="H1028" s="26">
        <f>H1029</f>
        <v>1652.2</v>
      </c>
      <c r="I1028" s="201"/>
    </row>
    <row r="1029" spans="1:9" ht="31.5" x14ac:dyDescent="0.25">
      <c r="A1029" s="25" t="s">
        <v>133</v>
      </c>
      <c r="B1029" s="16">
        <v>908</v>
      </c>
      <c r="C1029" s="20" t="s">
        <v>234</v>
      </c>
      <c r="D1029" s="20" t="s">
        <v>234</v>
      </c>
      <c r="E1029" s="20" t="s">
        <v>915</v>
      </c>
      <c r="F1029" s="20" t="s">
        <v>134</v>
      </c>
      <c r="G1029" s="26">
        <v>1652.2</v>
      </c>
      <c r="H1029" s="26">
        <f t="shared" si="90"/>
        <v>1652.2</v>
      </c>
      <c r="I1029" s="201"/>
    </row>
    <row r="1030" spans="1:9" ht="47.25" x14ac:dyDescent="0.25">
      <c r="A1030" s="25" t="s">
        <v>839</v>
      </c>
      <c r="B1030" s="16">
        <v>908</v>
      </c>
      <c r="C1030" s="20" t="s">
        <v>234</v>
      </c>
      <c r="D1030" s="20" t="s">
        <v>234</v>
      </c>
      <c r="E1030" s="20" t="s">
        <v>916</v>
      </c>
      <c r="F1030" s="20"/>
      <c r="G1030" s="26">
        <f>G1031</f>
        <v>598</v>
      </c>
      <c r="H1030" s="26">
        <f>H1031</f>
        <v>598</v>
      </c>
      <c r="I1030" s="201"/>
    </row>
    <row r="1031" spans="1:9" ht="78.75" x14ac:dyDescent="0.25">
      <c r="A1031" s="25" t="s">
        <v>127</v>
      </c>
      <c r="B1031" s="16">
        <v>908</v>
      </c>
      <c r="C1031" s="20" t="s">
        <v>234</v>
      </c>
      <c r="D1031" s="20" t="s">
        <v>234</v>
      </c>
      <c r="E1031" s="20" t="s">
        <v>916</v>
      </c>
      <c r="F1031" s="20" t="s">
        <v>128</v>
      </c>
      <c r="G1031" s="26">
        <f>G1032</f>
        <v>598</v>
      </c>
      <c r="H1031" s="26">
        <f>H1032</f>
        <v>598</v>
      </c>
      <c r="I1031" s="201"/>
    </row>
    <row r="1032" spans="1:9" ht="23.25" customHeight="1" x14ac:dyDescent="0.25">
      <c r="A1032" s="25" t="s">
        <v>342</v>
      </c>
      <c r="B1032" s="16">
        <v>908</v>
      </c>
      <c r="C1032" s="20" t="s">
        <v>234</v>
      </c>
      <c r="D1032" s="20" t="s">
        <v>234</v>
      </c>
      <c r="E1032" s="20" t="s">
        <v>916</v>
      </c>
      <c r="F1032" s="20" t="s">
        <v>209</v>
      </c>
      <c r="G1032" s="26">
        <v>598</v>
      </c>
      <c r="H1032" s="26">
        <f t="shared" si="90"/>
        <v>598</v>
      </c>
      <c r="I1032" s="201"/>
    </row>
    <row r="1033" spans="1:9" s="200" customFormat="1" ht="47.25" hidden="1" x14ac:dyDescent="0.25">
      <c r="A1033" s="34" t="s">
        <v>1360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21">
        <f t="shared" ref="G1033:H1036" si="92">G1034</f>
        <v>0</v>
      </c>
      <c r="H1033" s="21">
        <f t="shared" si="92"/>
        <v>0</v>
      </c>
      <c r="I1033" s="201"/>
    </row>
    <row r="1034" spans="1:9" s="200" customFormat="1" ht="63" hidden="1" x14ac:dyDescent="0.25">
      <c r="A1034" s="34" t="s">
        <v>1009</v>
      </c>
      <c r="B1034" s="19">
        <v>908</v>
      </c>
      <c r="C1034" s="24" t="s">
        <v>234</v>
      </c>
      <c r="D1034" s="24" t="s">
        <v>234</v>
      </c>
      <c r="E1034" s="24" t="s">
        <v>934</v>
      </c>
      <c r="F1034" s="24"/>
      <c r="G1034" s="21">
        <f t="shared" si="92"/>
        <v>0</v>
      </c>
      <c r="H1034" s="21">
        <f t="shared" si="92"/>
        <v>0</v>
      </c>
      <c r="I1034" s="201"/>
    </row>
    <row r="1035" spans="1:9" s="200" customFormat="1" ht="47.25" hidden="1" x14ac:dyDescent="0.25">
      <c r="A1035" s="31" t="s">
        <v>1081</v>
      </c>
      <c r="B1035" s="16">
        <v>908</v>
      </c>
      <c r="C1035" s="20" t="s">
        <v>234</v>
      </c>
      <c r="D1035" s="20" t="s">
        <v>234</v>
      </c>
      <c r="E1035" s="20" t="s">
        <v>1026</v>
      </c>
      <c r="F1035" s="20"/>
      <c r="G1035" s="26">
        <f t="shared" si="92"/>
        <v>0</v>
      </c>
      <c r="H1035" s="26">
        <f t="shared" si="92"/>
        <v>0</v>
      </c>
      <c r="I1035" s="201"/>
    </row>
    <row r="1036" spans="1:9" s="200" customFormat="1" ht="31.5" hidden="1" x14ac:dyDescent="0.25">
      <c r="A1036" s="25" t="s">
        <v>131</v>
      </c>
      <c r="B1036" s="16">
        <v>908</v>
      </c>
      <c r="C1036" s="20" t="s">
        <v>234</v>
      </c>
      <c r="D1036" s="20" t="s">
        <v>234</v>
      </c>
      <c r="E1036" s="20" t="s">
        <v>1026</v>
      </c>
      <c r="F1036" s="20" t="s">
        <v>132</v>
      </c>
      <c r="G1036" s="26">
        <f t="shared" si="92"/>
        <v>0</v>
      </c>
      <c r="H1036" s="26">
        <f t="shared" si="92"/>
        <v>0</v>
      </c>
      <c r="I1036" s="201"/>
    </row>
    <row r="1037" spans="1:9" s="200" customFormat="1" ht="31.5" hidden="1" x14ac:dyDescent="0.25">
      <c r="A1037" s="25" t="s">
        <v>133</v>
      </c>
      <c r="B1037" s="16">
        <v>908</v>
      </c>
      <c r="C1037" s="20" t="s">
        <v>234</v>
      </c>
      <c r="D1037" s="20" t="s">
        <v>234</v>
      </c>
      <c r="E1037" s="20" t="s">
        <v>1026</v>
      </c>
      <c r="F1037" s="20" t="s">
        <v>134</v>
      </c>
      <c r="G1037" s="26">
        <v>0</v>
      </c>
      <c r="H1037" s="26">
        <v>0</v>
      </c>
      <c r="I1037" s="201"/>
    </row>
    <row r="1038" spans="1:9" ht="15.75" x14ac:dyDescent="0.25">
      <c r="A1038" s="23" t="s">
        <v>243</v>
      </c>
      <c r="B1038" s="19">
        <v>908</v>
      </c>
      <c r="C1038" s="24" t="s">
        <v>244</v>
      </c>
      <c r="D1038" s="24"/>
      <c r="E1038" s="24"/>
      <c r="F1038" s="24"/>
      <c r="G1038" s="21">
        <f t="shared" ref="G1038:H1039" si="93">G1039</f>
        <v>87</v>
      </c>
      <c r="H1038" s="21">
        <f t="shared" si="93"/>
        <v>87</v>
      </c>
      <c r="I1038" s="201"/>
    </row>
    <row r="1039" spans="1:9" ht="15.75" x14ac:dyDescent="0.25">
      <c r="A1039" s="23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21">
        <f t="shared" si="93"/>
        <v>87</v>
      </c>
      <c r="H1039" s="21">
        <f t="shared" si="93"/>
        <v>87</v>
      </c>
      <c r="I1039" s="201"/>
    </row>
    <row r="1040" spans="1:9" ht="15.75" x14ac:dyDescent="0.25">
      <c r="A1040" s="23" t="s">
        <v>141</v>
      </c>
      <c r="B1040" s="19">
        <v>908</v>
      </c>
      <c r="C1040" s="24" t="s">
        <v>244</v>
      </c>
      <c r="D1040" s="24" t="s">
        <v>120</v>
      </c>
      <c r="E1040" s="24" t="s">
        <v>866</v>
      </c>
      <c r="F1040" s="24"/>
      <c r="G1040" s="21">
        <f t="shared" ref="G1040:H1042" si="94">G1041</f>
        <v>87</v>
      </c>
      <c r="H1040" s="21">
        <f t="shared" si="94"/>
        <v>87</v>
      </c>
      <c r="I1040" s="201"/>
    </row>
    <row r="1041" spans="1:9" ht="15.75" x14ac:dyDescent="0.25">
      <c r="A1041" s="23" t="s">
        <v>141</v>
      </c>
      <c r="B1041" s="19">
        <v>908</v>
      </c>
      <c r="C1041" s="24" t="s">
        <v>244</v>
      </c>
      <c r="D1041" s="24" t="s">
        <v>120</v>
      </c>
      <c r="E1041" s="24" t="s">
        <v>865</v>
      </c>
      <c r="F1041" s="24"/>
      <c r="G1041" s="21">
        <f t="shared" si="94"/>
        <v>87</v>
      </c>
      <c r="H1041" s="21">
        <f t="shared" si="94"/>
        <v>87</v>
      </c>
      <c r="I1041" s="201"/>
    </row>
    <row r="1042" spans="1:9" ht="31.5" x14ac:dyDescent="0.25">
      <c r="A1042" s="23" t="s">
        <v>870</v>
      </c>
      <c r="B1042" s="19">
        <v>908</v>
      </c>
      <c r="C1042" s="24" t="s">
        <v>244</v>
      </c>
      <c r="D1042" s="24" t="s">
        <v>120</v>
      </c>
      <c r="E1042" s="24" t="s">
        <v>865</v>
      </c>
      <c r="F1042" s="24"/>
      <c r="G1042" s="21">
        <f t="shared" si="94"/>
        <v>87</v>
      </c>
      <c r="H1042" s="21">
        <f t="shared" si="94"/>
        <v>87</v>
      </c>
      <c r="I1042" s="201"/>
    </row>
    <row r="1043" spans="1:9" ht="15.75" x14ac:dyDescent="0.25">
      <c r="A1043" s="25" t="s">
        <v>572</v>
      </c>
      <c r="B1043" s="16">
        <v>908</v>
      </c>
      <c r="C1043" s="20" t="s">
        <v>244</v>
      </c>
      <c r="D1043" s="20" t="s">
        <v>120</v>
      </c>
      <c r="E1043" s="20" t="s">
        <v>985</v>
      </c>
      <c r="F1043" s="20"/>
      <c r="G1043" s="26">
        <f>G1044</f>
        <v>87</v>
      </c>
      <c r="H1043" s="26">
        <f>H1044</f>
        <v>87</v>
      </c>
      <c r="I1043" s="201"/>
    </row>
    <row r="1044" spans="1:9" ht="31.5" x14ac:dyDescent="0.25">
      <c r="A1044" s="25" t="s">
        <v>131</v>
      </c>
      <c r="B1044" s="16">
        <v>908</v>
      </c>
      <c r="C1044" s="20" t="s">
        <v>244</v>
      </c>
      <c r="D1044" s="20" t="s">
        <v>120</v>
      </c>
      <c r="E1044" s="20" t="s">
        <v>985</v>
      </c>
      <c r="F1044" s="20" t="s">
        <v>132</v>
      </c>
      <c r="G1044" s="26">
        <f>G1045</f>
        <v>87</v>
      </c>
      <c r="H1044" s="26">
        <f>H1045</f>
        <v>87</v>
      </c>
      <c r="I1044" s="201"/>
    </row>
    <row r="1045" spans="1:9" ht="31.5" x14ac:dyDescent="0.25">
      <c r="A1045" s="25" t="s">
        <v>133</v>
      </c>
      <c r="B1045" s="16">
        <v>908</v>
      </c>
      <c r="C1045" s="20" t="s">
        <v>244</v>
      </c>
      <c r="D1045" s="20" t="s">
        <v>120</v>
      </c>
      <c r="E1045" s="20" t="s">
        <v>985</v>
      </c>
      <c r="F1045" s="20" t="s">
        <v>134</v>
      </c>
      <c r="G1045" s="26">
        <f>87</f>
        <v>87</v>
      </c>
      <c r="H1045" s="26">
        <f t="shared" ref="H1045:H1093" si="95">G1045</f>
        <v>87</v>
      </c>
      <c r="I1045" s="201"/>
    </row>
    <row r="1046" spans="1:9" ht="31.5" x14ac:dyDescent="0.25">
      <c r="A1046" s="19" t="s">
        <v>1374</v>
      </c>
      <c r="B1046" s="19">
        <v>910</v>
      </c>
      <c r="C1046" s="47"/>
      <c r="D1046" s="47"/>
      <c r="E1046" s="47"/>
      <c r="F1046" s="47"/>
      <c r="G1046" s="21">
        <f>G1047</f>
        <v>7338.5</v>
      </c>
      <c r="H1046" s="21">
        <f>H1047</f>
        <v>7338.5</v>
      </c>
      <c r="I1046" s="201"/>
    </row>
    <row r="1047" spans="1:9" ht="15.75" x14ac:dyDescent="0.25">
      <c r="A1047" s="23" t="s">
        <v>117</v>
      </c>
      <c r="B1047" s="19">
        <v>910</v>
      </c>
      <c r="C1047" s="24" t="s">
        <v>118</v>
      </c>
      <c r="D1047" s="24"/>
      <c r="E1047" s="24"/>
      <c r="F1047" s="24"/>
      <c r="G1047" s="21">
        <f>G1048+G1067+G1083</f>
        <v>7338.5</v>
      </c>
      <c r="H1047" s="21">
        <f>H1048+H1067+H1083</f>
        <v>7338.5</v>
      </c>
      <c r="I1047" s="201"/>
    </row>
    <row r="1048" spans="1:9" ht="47.25" hidden="1" x14ac:dyDescent="0.25">
      <c r="A1048" s="23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21">
        <f>G1049+G1059</f>
        <v>0</v>
      </c>
      <c r="H1048" s="21">
        <f>H1049+H1059</f>
        <v>0</v>
      </c>
      <c r="I1048" s="201"/>
    </row>
    <row r="1049" spans="1:9" ht="31.5" hidden="1" x14ac:dyDescent="0.25">
      <c r="A1049" s="23" t="s">
        <v>917</v>
      </c>
      <c r="B1049" s="19">
        <v>910</v>
      </c>
      <c r="C1049" s="24" t="s">
        <v>118</v>
      </c>
      <c r="D1049" s="24" t="s">
        <v>213</v>
      </c>
      <c r="E1049" s="24" t="s">
        <v>858</v>
      </c>
      <c r="F1049" s="24"/>
      <c r="G1049" s="21">
        <f>G1050</f>
        <v>0</v>
      </c>
      <c r="H1049" s="21">
        <f>H1050</f>
        <v>0</v>
      </c>
      <c r="I1049" s="201"/>
    </row>
    <row r="1050" spans="1:9" ht="31.5" hidden="1" x14ac:dyDescent="0.25">
      <c r="A1050" s="23" t="s">
        <v>986</v>
      </c>
      <c r="B1050" s="19">
        <v>910</v>
      </c>
      <c r="C1050" s="24" t="s">
        <v>118</v>
      </c>
      <c r="D1050" s="24" t="s">
        <v>213</v>
      </c>
      <c r="E1050" s="24" t="s">
        <v>987</v>
      </c>
      <c r="F1050" s="24"/>
      <c r="G1050" s="21">
        <f>G1051+G1056</f>
        <v>0</v>
      </c>
      <c r="H1050" s="21">
        <f>H1051+H1056</f>
        <v>0</v>
      </c>
      <c r="I1050" s="201"/>
    </row>
    <row r="1051" spans="1:9" ht="31.5" hidden="1" x14ac:dyDescent="0.25">
      <c r="A1051" s="25" t="s">
        <v>576</v>
      </c>
      <c r="B1051" s="16">
        <v>910</v>
      </c>
      <c r="C1051" s="20" t="s">
        <v>118</v>
      </c>
      <c r="D1051" s="20" t="s">
        <v>213</v>
      </c>
      <c r="E1051" s="20" t="s">
        <v>988</v>
      </c>
      <c r="F1051" s="20"/>
      <c r="G1051" s="26">
        <f>G1052+G1054</f>
        <v>0</v>
      </c>
      <c r="H1051" s="26">
        <f>H1052+H1054</f>
        <v>0</v>
      </c>
      <c r="I1051" s="201"/>
    </row>
    <row r="1052" spans="1:9" ht="78.75" hidden="1" x14ac:dyDescent="0.25">
      <c r="A1052" s="25" t="s">
        <v>127</v>
      </c>
      <c r="B1052" s="16">
        <v>910</v>
      </c>
      <c r="C1052" s="20" t="s">
        <v>118</v>
      </c>
      <c r="D1052" s="20" t="s">
        <v>213</v>
      </c>
      <c r="E1052" s="20" t="s">
        <v>988</v>
      </c>
      <c r="F1052" s="20" t="s">
        <v>128</v>
      </c>
      <c r="G1052" s="26">
        <f>G1053</f>
        <v>0</v>
      </c>
      <c r="H1052" s="26">
        <f>H1053</f>
        <v>0</v>
      </c>
      <c r="I1052" s="201"/>
    </row>
    <row r="1053" spans="1:9" ht="31.5" hidden="1" x14ac:dyDescent="0.25">
      <c r="A1053" s="25" t="s">
        <v>129</v>
      </c>
      <c r="B1053" s="16">
        <v>910</v>
      </c>
      <c r="C1053" s="20" t="s">
        <v>118</v>
      </c>
      <c r="D1053" s="20" t="s">
        <v>213</v>
      </c>
      <c r="E1053" s="20" t="s">
        <v>988</v>
      </c>
      <c r="F1053" s="20" t="s">
        <v>130</v>
      </c>
      <c r="G1053" s="26">
        <v>0</v>
      </c>
      <c r="H1053" s="26">
        <v>0</v>
      </c>
      <c r="I1053" s="201"/>
    </row>
    <row r="1054" spans="1:9" ht="31.5" hidden="1" x14ac:dyDescent="0.25">
      <c r="A1054" s="25" t="s">
        <v>198</v>
      </c>
      <c r="B1054" s="16">
        <v>910</v>
      </c>
      <c r="C1054" s="20" t="s">
        <v>118</v>
      </c>
      <c r="D1054" s="20" t="s">
        <v>213</v>
      </c>
      <c r="E1054" s="20" t="s">
        <v>988</v>
      </c>
      <c r="F1054" s="20" t="s">
        <v>132</v>
      </c>
      <c r="G1054" s="26">
        <f>G1055</f>
        <v>0</v>
      </c>
      <c r="H1054" s="26">
        <f>H1055</f>
        <v>0</v>
      </c>
      <c r="I1054" s="201"/>
    </row>
    <row r="1055" spans="1:9" ht="31.5" hidden="1" x14ac:dyDescent="0.25">
      <c r="A1055" s="25" t="s">
        <v>133</v>
      </c>
      <c r="B1055" s="16">
        <v>910</v>
      </c>
      <c r="C1055" s="20" t="s">
        <v>118</v>
      </c>
      <c r="D1055" s="20" t="s">
        <v>213</v>
      </c>
      <c r="E1055" s="20" t="s">
        <v>988</v>
      </c>
      <c r="F1055" s="20" t="s">
        <v>134</v>
      </c>
      <c r="G1055" s="26">
        <v>0</v>
      </c>
      <c r="H1055" s="26">
        <v>0</v>
      </c>
      <c r="I1055" s="201"/>
    </row>
    <row r="1056" spans="1:9" ht="47.25" hidden="1" x14ac:dyDescent="0.25">
      <c r="A1056" s="25" t="s">
        <v>839</v>
      </c>
      <c r="B1056" s="16">
        <v>910</v>
      </c>
      <c r="C1056" s="20" t="s">
        <v>118</v>
      </c>
      <c r="D1056" s="20" t="s">
        <v>213</v>
      </c>
      <c r="E1056" s="20" t="s">
        <v>989</v>
      </c>
      <c r="F1056" s="20"/>
      <c r="G1056" s="26">
        <f>G1057</f>
        <v>0</v>
      </c>
      <c r="H1056" s="26">
        <f>H1057</f>
        <v>0</v>
      </c>
      <c r="I1056" s="201"/>
    </row>
    <row r="1057" spans="1:9" ht="78.75" hidden="1" x14ac:dyDescent="0.25">
      <c r="A1057" s="25" t="s">
        <v>127</v>
      </c>
      <c r="B1057" s="16">
        <v>910</v>
      </c>
      <c r="C1057" s="20" t="s">
        <v>118</v>
      </c>
      <c r="D1057" s="20" t="s">
        <v>213</v>
      </c>
      <c r="E1057" s="20" t="s">
        <v>989</v>
      </c>
      <c r="F1057" s="20" t="s">
        <v>128</v>
      </c>
      <c r="G1057" s="26">
        <f>G1058</f>
        <v>0</v>
      </c>
      <c r="H1057" s="26">
        <f>H1058</f>
        <v>0</v>
      </c>
      <c r="I1057" s="201"/>
    </row>
    <row r="1058" spans="1:9" ht="31.5" hidden="1" x14ac:dyDescent="0.25">
      <c r="A1058" s="25" t="s">
        <v>129</v>
      </c>
      <c r="B1058" s="16">
        <v>910</v>
      </c>
      <c r="C1058" s="20" t="s">
        <v>118</v>
      </c>
      <c r="D1058" s="20" t="s">
        <v>213</v>
      </c>
      <c r="E1058" s="20" t="s">
        <v>989</v>
      </c>
      <c r="F1058" s="20" t="s">
        <v>130</v>
      </c>
      <c r="G1058" s="26">
        <v>0</v>
      </c>
      <c r="H1058" s="26">
        <v>0</v>
      </c>
      <c r="I1058" s="201"/>
    </row>
    <row r="1059" spans="1:9" ht="47.25" hidden="1" x14ac:dyDescent="0.25">
      <c r="A1059" s="23" t="s">
        <v>1179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21">
        <f>G1060</f>
        <v>0</v>
      </c>
      <c r="H1059" s="21">
        <f>H1060</f>
        <v>0</v>
      </c>
      <c r="I1059" s="201"/>
    </row>
    <row r="1060" spans="1:9" ht="63" hidden="1" x14ac:dyDescent="0.25">
      <c r="A1060" s="215" t="s">
        <v>843</v>
      </c>
      <c r="B1060" s="19">
        <v>910</v>
      </c>
      <c r="C1060" s="24" t="s">
        <v>118</v>
      </c>
      <c r="D1060" s="24" t="s">
        <v>213</v>
      </c>
      <c r="E1060" s="24" t="s">
        <v>850</v>
      </c>
      <c r="F1060" s="24"/>
      <c r="G1060" s="21">
        <f>G1061+G1064</f>
        <v>0</v>
      </c>
      <c r="H1060" s="21">
        <f>H1061+H1064</f>
        <v>0</v>
      </c>
      <c r="I1060" s="201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993</v>
      </c>
      <c r="F1061" s="20"/>
      <c r="G1061" s="26">
        <f>G1062</f>
        <v>0</v>
      </c>
      <c r="H1061" s="26">
        <f>H1062</f>
        <v>0</v>
      </c>
      <c r="I1061" s="201"/>
    </row>
    <row r="1062" spans="1:9" ht="31.5" hidden="1" x14ac:dyDescent="0.25">
      <c r="A1062" s="25" t="s">
        <v>131</v>
      </c>
      <c r="B1062" s="16">
        <v>910</v>
      </c>
      <c r="C1062" s="20" t="s">
        <v>118</v>
      </c>
      <c r="D1062" s="20" t="s">
        <v>213</v>
      </c>
      <c r="E1062" s="40" t="s">
        <v>993</v>
      </c>
      <c r="F1062" s="20" t="s">
        <v>132</v>
      </c>
      <c r="G1062" s="26">
        <f>G1063</f>
        <v>0</v>
      </c>
      <c r="H1062" s="26">
        <f>H1063</f>
        <v>0</v>
      </c>
      <c r="I1062" s="201"/>
    </row>
    <row r="1063" spans="1:9" ht="31.5" hidden="1" x14ac:dyDescent="0.25">
      <c r="A1063" s="25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26">
        <v>0</v>
      </c>
      <c r="H1063" s="26">
        <v>0</v>
      </c>
      <c r="I1063" s="201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992</v>
      </c>
      <c r="F1064" s="20"/>
      <c r="G1064" s="26">
        <f>G1065</f>
        <v>0</v>
      </c>
      <c r="H1064" s="26">
        <f>H1065</f>
        <v>0</v>
      </c>
      <c r="I1064" s="201"/>
    </row>
    <row r="1065" spans="1:9" ht="31.5" hidden="1" x14ac:dyDescent="0.25">
      <c r="A1065" s="25" t="s">
        <v>131</v>
      </c>
      <c r="B1065" s="16">
        <v>910</v>
      </c>
      <c r="C1065" s="20" t="s">
        <v>118</v>
      </c>
      <c r="D1065" s="20" t="s">
        <v>213</v>
      </c>
      <c r="E1065" s="20" t="s">
        <v>992</v>
      </c>
      <c r="F1065" s="20" t="s">
        <v>132</v>
      </c>
      <c r="G1065" s="26">
        <f>G1066</f>
        <v>0</v>
      </c>
      <c r="H1065" s="26">
        <f>H1066</f>
        <v>0</v>
      </c>
      <c r="I1065" s="201"/>
    </row>
    <row r="1066" spans="1:9" ht="31.5" hidden="1" x14ac:dyDescent="0.25">
      <c r="A1066" s="25" t="s">
        <v>133</v>
      </c>
      <c r="B1066" s="16">
        <v>910</v>
      </c>
      <c r="C1066" s="20" t="s">
        <v>118</v>
      </c>
      <c r="D1066" s="20" t="s">
        <v>213</v>
      </c>
      <c r="E1066" s="20" t="s">
        <v>992</v>
      </c>
      <c r="F1066" s="20" t="s">
        <v>134</v>
      </c>
      <c r="G1066" s="26">
        <v>0</v>
      </c>
      <c r="H1066" s="26">
        <v>0</v>
      </c>
      <c r="I1066" s="201"/>
    </row>
    <row r="1067" spans="1:9" ht="63" x14ac:dyDescent="0.25">
      <c r="A1067" s="23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21">
        <f>G1068</f>
        <v>5540</v>
      </c>
      <c r="H1067" s="21">
        <f>H1068</f>
        <v>5540</v>
      </c>
      <c r="I1067" s="201"/>
    </row>
    <row r="1068" spans="1:9" ht="31.5" x14ac:dyDescent="0.25">
      <c r="A1068" s="23" t="s">
        <v>917</v>
      </c>
      <c r="B1068" s="19">
        <v>910</v>
      </c>
      <c r="C1068" s="24" t="s">
        <v>118</v>
      </c>
      <c r="D1068" s="24" t="s">
        <v>215</v>
      </c>
      <c r="E1068" s="24" t="s">
        <v>858</v>
      </c>
      <c r="F1068" s="24"/>
      <c r="G1068" s="21">
        <f>G1069</f>
        <v>5540</v>
      </c>
      <c r="H1068" s="21">
        <f>H1069</f>
        <v>5540</v>
      </c>
      <c r="I1068" s="201"/>
    </row>
    <row r="1069" spans="1:9" ht="31.5" x14ac:dyDescent="0.25">
      <c r="A1069" s="23" t="s">
        <v>986</v>
      </c>
      <c r="B1069" s="19">
        <v>910</v>
      </c>
      <c r="C1069" s="24" t="s">
        <v>118</v>
      </c>
      <c r="D1069" s="24" t="s">
        <v>215</v>
      </c>
      <c r="E1069" s="24" t="s">
        <v>987</v>
      </c>
      <c r="F1069" s="24"/>
      <c r="G1069" s="21">
        <f>G1075+G1080+G1070</f>
        <v>5540</v>
      </c>
      <c r="H1069" s="21">
        <f>H1075+H1080+H1070</f>
        <v>5540</v>
      </c>
      <c r="I1069" s="201"/>
    </row>
    <row r="1070" spans="1:9" s="200" customFormat="1" ht="47.25" x14ac:dyDescent="0.25">
      <c r="A1070" s="284" t="s">
        <v>1366</v>
      </c>
      <c r="B1070" s="16">
        <v>910</v>
      </c>
      <c r="C1070" s="20" t="s">
        <v>118</v>
      </c>
      <c r="D1070" s="20" t="s">
        <v>215</v>
      </c>
      <c r="E1070" s="20" t="s">
        <v>1404</v>
      </c>
      <c r="F1070" s="24"/>
      <c r="G1070" s="26">
        <f>G1071+G1073</f>
        <v>4247.6000000000004</v>
      </c>
      <c r="H1070" s="26">
        <f>H1071+H1073</f>
        <v>4247.6000000000004</v>
      </c>
      <c r="I1070" s="201"/>
    </row>
    <row r="1071" spans="1:9" s="200" customFormat="1" ht="78.75" x14ac:dyDescent="0.25">
      <c r="A1071" s="25" t="s">
        <v>127</v>
      </c>
      <c r="B1071" s="16">
        <v>910</v>
      </c>
      <c r="C1071" s="20" t="s">
        <v>118</v>
      </c>
      <c r="D1071" s="20" t="s">
        <v>215</v>
      </c>
      <c r="E1071" s="20" t="s">
        <v>1404</v>
      </c>
      <c r="F1071" s="20" t="s">
        <v>128</v>
      </c>
      <c r="G1071" s="26">
        <f>G1072</f>
        <v>4154.6000000000004</v>
      </c>
      <c r="H1071" s="26">
        <f>H1072</f>
        <v>4154.6000000000004</v>
      </c>
      <c r="I1071" s="201"/>
    </row>
    <row r="1072" spans="1:9" s="200" customFormat="1" ht="31.5" x14ac:dyDescent="0.25">
      <c r="A1072" s="25" t="s">
        <v>129</v>
      </c>
      <c r="B1072" s="16">
        <v>910</v>
      </c>
      <c r="C1072" s="20" t="s">
        <v>118</v>
      </c>
      <c r="D1072" s="20" t="s">
        <v>215</v>
      </c>
      <c r="E1072" s="20" t="s">
        <v>1404</v>
      </c>
      <c r="F1072" s="20" t="s">
        <v>130</v>
      </c>
      <c r="G1072" s="26">
        <v>4154.6000000000004</v>
      </c>
      <c r="H1072" s="26">
        <f>G1072</f>
        <v>4154.6000000000004</v>
      </c>
      <c r="I1072" s="201"/>
    </row>
    <row r="1073" spans="1:9" s="200" customFormat="1" ht="31.5" x14ac:dyDescent="0.25">
      <c r="A1073" s="25" t="s">
        <v>198</v>
      </c>
      <c r="B1073" s="16">
        <v>910</v>
      </c>
      <c r="C1073" s="20" t="s">
        <v>118</v>
      </c>
      <c r="D1073" s="20" t="s">
        <v>215</v>
      </c>
      <c r="E1073" s="20" t="s">
        <v>1404</v>
      </c>
      <c r="F1073" s="20" t="s">
        <v>132</v>
      </c>
      <c r="G1073" s="26">
        <f>G1074</f>
        <v>93</v>
      </c>
      <c r="H1073" s="26">
        <f>H1074</f>
        <v>93</v>
      </c>
      <c r="I1073" s="201"/>
    </row>
    <row r="1074" spans="1:9" s="200" customFormat="1" ht="31.5" x14ac:dyDescent="0.25">
      <c r="A1074" s="25" t="s">
        <v>133</v>
      </c>
      <c r="B1074" s="16">
        <v>910</v>
      </c>
      <c r="C1074" s="20" t="s">
        <v>118</v>
      </c>
      <c r="D1074" s="20" t="s">
        <v>215</v>
      </c>
      <c r="E1074" s="20" t="s">
        <v>1404</v>
      </c>
      <c r="F1074" s="20" t="s">
        <v>134</v>
      </c>
      <c r="G1074" s="26">
        <v>93</v>
      </c>
      <c r="H1074" s="26">
        <f>G1074</f>
        <v>93</v>
      </c>
      <c r="I1074" s="201"/>
    </row>
    <row r="1075" spans="1:9" ht="31.5" x14ac:dyDescent="0.25">
      <c r="A1075" s="25" t="s">
        <v>990</v>
      </c>
      <c r="B1075" s="16">
        <v>910</v>
      </c>
      <c r="C1075" s="20" t="s">
        <v>118</v>
      </c>
      <c r="D1075" s="20" t="s">
        <v>215</v>
      </c>
      <c r="E1075" s="20" t="s">
        <v>991</v>
      </c>
      <c r="F1075" s="20"/>
      <c r="G1075" s="26">
        <f>G1076+G1078</f>
        <v>1240.4000000000001</v>
      </c>
      <c r="H1075" s="26">
        <f>H1076+H1078</f>
        <v>1240.4000000000001</v>
      </c>
      <c r="I1075" s="201"/>
    </row>
    <row r="1076" spans="1:9" ht="78.75" x14ac:dyDescent="0.25">
      <c r="A1076" s="25" t="s">
        <v>127</v>
      </c>
      <c r="B1076" s="16">
        <v>910</v>
      </c>
      <c r="C1076" s="20" t="s">
        <v>118</v>
      </c>
      <c r="D1076" s="20" t="s">
        <v>215</v>
      </c>
      <c r="E1076" s="20" t="s">
        <v>991</v>
      </c>
      <c r="F1076" s="20" t="s">
        <v>128</v>
      </c>
      <c r="G1076" s="26">
        <f>G1077</f>
        <v>1240.4000000000001</v>
      </c>
      <c r="H1076" s="26">
        <f>H1077</f>
        <v>1240.4000000000001</v>
      </c>
      <c r="I1076" s="201"/>
    </row>
    <row r="1077" spans="1:9" ht="31.5" x14ac:dyDescent="0.25">
      <c r="A1077" s="25" t="s">
        <v>129</v>
      </c>
      <c r="B1077" s="16">
        <v>910</v>
      </c>
      <c r="C1077" s="20" t="s">
        <v>118</v>
      </c>
      <c r="D1077" s="20" t="s">
        <v>215</v>
      </c>
      <c r="E1077" s="20" t="s">
        <v>991</v>
      </c>
      <c r="F1077" s="20" t="s">
        <v>130</v>
      </c>
      <c r="G1077" s="26">
        <v>1240.4000000000001</v>
      </c>
      <c r="H1077" s="26">
        <f t="shared" si="95"/>
        <v>1240.4000000000001</v>
      </c>
      <c r="I1077" s="201"/>
    </row>
    <row r="1078" spans="1:9" ht="31.5" hidden="1" x14ac:dyDescent="0.25">
      <c r="A1078" s="25" t="s">
        <v>198</v>
      </c>
      <c r="B1078" s="16">
        <v>910</v>
      </c>
      <c r="C1078" s="20" t="s">
        <v>118</v>
      </c>
      <c r="D1078" s="20" t="s">
        <v>215</v>
      </c>
      <c r="E1078" s="20" t="s">
        <v>991</v>
      </c>
      <c r="F1078" s="20" t="s">
        <v>132</v>
      </c>
      <c r="G1078" s="26">
        <f>G1079</f>
        <v>0</v>
      </c>
      <c r="H1078" s="26">
        <f>H1079</f>
        <v>0</v>
      </c>
      <c r="I1078" s="201"/>
    </row>
    <row r="1079" spans="1:9" ht="31.5" hidden="1" x14ac:dyDescent="0.25">
      <c r="A1079" s="25" t="s">
        <v>133</v>
      </c>
      <c r="B1079" s="16">
        <v>910</v>
      </c>
      <c r="C1079" s="20" t="s">
        <v>118</v>
      </c>
      <c r="D1079" s="20" t="s">
        <v>215</v>
      </c>
      <c r="E1079" s="20" t="s">
        <v>991</v>
      </c>
      <c r="F1079" s="20" t="s">
        <v>134</v>
      </c>
      <c r="G1079" s="26">
        <v>0</v>
      </c>
      <c r="H1079" s="26">
        <f t="shared" si="95"/>
        <v>0</v>
      </c>
      <c r="I1079" s="201"/>
    </row>
    <row r="1080" spans="1:9" ht="47.25" hidden="1" x14ac:dyDescent="0.25">
      <c r="A1080" s="25" t="s">
        <v>839</v>
      </c>
      <c r="B1080" s="16">
        <v>910</v>
      </c>
      <c r="C1080" s="20" t="s">
        <v>118</v>
      </c>
      <c r="D1080" s="20" t="s">
        <v>215</v>
      </c>
      <c r="E1080" s="20" t="s">
        <v>989</v>
      </c>
      <c r="F1080" s="20"/>
      <c r="G1080" s="26">
        <f>'Пр.4 ведом.21'!G1130</f>
        <v>52</v>
      </c>
      <c r="H1080" s="26">
        <f t="shared" si="95"/>
        <v>52</v>
      </c>
      <c r="I1080" s="201"/>
    </row>
    <row r="1081" spans="1:9" ht="78.75" hidden="1" x14ac:dyDescent="0.25">
      <c r="A1081" s="25" t="s">
        <v>127</v>
      </c>
      <c r="B1081" s="16">
        <v>910</v>
      </c>
      <c r="C1081" s="20" t="s">
        <v>118</v>
      </c>
      <c r="D1081" s="20" t="s">
        <v>215</v>
      </c>
      <c r="E1081" s="20" t="s">
        <v>989</v>
      </c>
      <c r="F1081" s="20" t="s">
        <v>128</v>
      </c>
      <c r="G1081" s="26">
        <f>'Пр.4 ведом.21'!G1131</f>
        <v>52</v>
      </c>
      <c r="H1081" s="26">
        <f t="shared" si="95"/>
        <v>52</v>
      </c>
      <c r="I1081" s="201"/>
    </row>
    <row r="1082" spans="1:9" ht="31.5" hidden="1" x14ac:dyDescent="0.25">
      <c r="A1082" s="25" t="s">
        <v>129</v>
      </c>
      <c r="B1082" s="16">
        <v>910</v>
      </c>
      <c r="C1082" s="20" t="s">
        <v>118</v>
      </c>
      <c r="D1082" s="20" t="s">
        <v>215</v>
      </c>
      <c r="E1082" s="20" t="s">
        <v>989</v>
      </c>
      <c r="F1082" s="20" t="s">
        <v>130</v>
      </c>
      <c r="G1082" s="26">
        <f>'Пр.4 ведом.21'!G1132</f>
        <v>52</v>
      </c>
      <c r="H1082" s="26">
        <f t="shared" si="95"/>
        <v>52</v>
      </c>
      <c r="I1082" s="201"/>
    </row>
    <row r="1083" spans="1:9" ht="47.25" x14ac:dyDescent="0.25">
      <c r="A1083" s="23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21">
        <f>G1084</f>
        <v>1798.5</v>
      </c>
      <c r="H1083" s="21">
        <f>H1084</f>
        <v>1798.5</v>
      </c>
      <c r="I1083" s="201"/>
    </row>
    <row r="1084" spans="1:9" ht="31.5" x14ac:dyDescent="0.25">
      <c r="A1084" s="23" t="s">
        <v>917</v>
      </c>
      <c r="B1084" s="19">
        <v>910</v>
      </c>
      <c r="C1084" s="24" t="s">
        <v>118</v>
      </c>
      <c r="D1084" s="24" t="s">
        <v>120</v>
      </c>
      <c r="E1084" s="24" t="s">
        <v>858</v>
      </c>
      <c r="F1084" s="24"/>
      <c r="G1084" s="21">
        <f>G1085</f>
        <v>1798.5</v>
      </c>
      <c r="H1084" s="21">
        <f>H1085</f>
        <v>1798.5</v>
      </c>
      <c r="I1084" s="201"/>
    </row>
    <row r="1085" spans="1:9" ht="31.5" x14ac:dyDescent="0.25">
      <c r="A1085" s="23" t="s">
        <v>986</v>
      </c>
      <c r="B1085" s="19">
        <v>910</v>
      </c>
      <c r="C1085" s="24" t="s">
        <v>118</v>
      </c>
      <c r="D1085" s="24" t="s">
        <v>120</v>
      </c>
      <c r="E1085" s="24" t="s">
        <v>987</v>
      </c>
      <c r="F1085" s="24"/>
      <c r="G1085" s="21">
        <f>G1086+G1091</f>
        <v>1798.5</v>
      </c>
      <c r="H1085" s="21">
        <f>H1086+H1091</f>
        <v>1798.5</v>
      </c>
      <c r="I1085" s="201"/>
    </row>
    <row r="1086" spans="1:9" ht="31.5" x14ac:dyDescent="0.25">
      <c r="A1086" s="25" t="s">
        <v>897</v>
      </c>
      <c r="B1086" s="16">
        <v>910</v>
      </c>
      <c r="C1086" s="20" t="s">
        <v>118</v>
      </c>
      <c r="D1086" s="20" t="s">
        <v>120</v>
      </c>
      <c r="E1086" s="20" t="s">
        <v>991</v>
      </c>
      <c r="F1086" s="20"/>
      <c r="G1086" s="26">
        <f>G1087+G1089</f>
        <v>1752.5</v>
      </c>
      <c r="H1086" s="26">
        <f>H1087+H1089</f>
        <v>1752.5</v>
      </c>
      <c r="I1086" s="201"/>
    </row>
    <row r="1087" spans="1:9" ht="78.75" x14ac:dyDescent="0.25">
      <c r="A1087" s="25" t="s">
        <v>127</v>
      </c>
      <c r="B1087" s="16">
        <v>910</v>
      </c>
      <c r="C1087" s="20" t="s">
        <v>118</v>
      </c>
      <c r="D1087" s="20" t="s">
        <v>120</v>
      </c>
      <c r="E1087" s="20" t="s">
        <v>991</v>
      </c>
      <c r="F1087" s="20" t="s">
        <v>128</v>
      </c>
      <c r="G1087" s="26">
        <f>G1088</f>
        <v>1734.5</v>
      </c>
      <c r="H1087" s="26">
        <f>H1088</f>
        <v>1734.5</v>
      </c>
      <c r="I1087" s="201"/>
    </row>
    <row r="1088" spans="1:9" ht="31.5" x14ac:dyDescent="0.25">
      <c r="A1088" s="25" t="s">
        <v>129</v>
      </c>
      <c r="B1088" s="16">
        <v>910</v>
      </c>
      <c r="C1088" s="20" t="s">
        <v>118</v>
      </c>
      <c r="D1088" s="20" t="s">
        <v>120</v>
      </c>
      <c r="E1088" s="20" t="s">
        <v>991</v>
      </c>
      <c r="F1088" s="20" t="s">
        <v>130</v>
      </c>
      <c r="G1088" s="26">
        <v>1734.5</v>
      </c>
      <c r="H1088" s="26">
        <f t="shared" si="95"/>
        <v>1734.5</v>
      </c>
      <c r="I1088" s="201"/>
    </row>
    <row r="1089" spans="1:41" ht="31.5" x14ac:dyDescent="0.25">
      <c r="A1089" s="25" t="s">
        <v>198</v>
      </c>
      <c r="B1089" s="16">
        <v>910</v>
      </c>
      <c r="C1089" s="20" t="s">
        <v>118</v>
      </c>
      <c r="D1089" s="20" t="s">
        <v>120</v>
      </c>
      <c r="E1089" s="20" t="s">
        <v>991</v>
      </c>
      <c r="F1089" s="20" t="s">
        <v>132</v>
      </c>
      <c r="G1089" s="26">
        <f>G1090</f>
        <v>18</v>
      </c>
      <c r="H1089" s="26">
        <f>H1090</f>
        <v>18</v>
      </c>
      <c r="I1089" s="201"/>
    </row>
    <row r="1090" spans="1:41" ht="34.700000000000003" customHeight="1" x14ac:dyDescent="0.25">
      <c r="A1090" s="25" t="s">
        <v>133</v>
      </c>
      <c r="B1090" s="16">
        <v>910</v>
      </c>
      <c r="C1090" s="20" t="s">
        <v>118</v>
      </c>
      <c r="D1090" s="20" t="s">
        <v>120</v>
      </c>
      <c r="E1090" s="20" t="s">
        <v>991</v>
      </c>
      <c r="F1090" s="20" t="s">
        <v>134</v>
      </c>
      <c r="G1090" s="26">
        <f>18</f>
        <v>18</v>
      </c>
      <c r="H1090" s="26">
        <f t="shared" si="95"/>
        <v>18</v>
      </c>
      <c r="I1090" s="201"/>
    </row>
    <row r="1091" spans="1:41" ht="47.25" x14ac:dyDescent="0.25">
      <c r="A1091" s="25" t="s">
        <v>839</v>
      </c>
      <c r="B1091" s="16">
        <v>910</v>
      </c>
      <c r="C1091" s="20" t="s">
        <v>118</v>
      </c>
      <c r="D1091" s="20" t="s">
        <v>120</v>
      </c>
      <c r="E1091" s="20" t="s">
        <v>989</v>
      </c>
      <c r="F1091" s="20"/>
      <c r="G1091" s="26">
        <f>G1092</f>
        <v>46</v>
      </c>
      <c r="H1091" s="26">
        <f>H1092</f>
        <v>46</v>
      </c>
      <c r="I1091" s="201"/>
    </row>
    <row r="1092" spans="1:41" ht="78.75" x14ac:dyDescent="0.25">
      <c r="A1092" s="25" t="s">
        <v>127</v>
      </c>
      <c r="B1092" s="16">
        <v>910</v>
      </c>
      <c r="C1092" s="20" t="s">
        <v>118</v>
      </c>
      <c r="D1092" s="20" t="s">
        <v>120</v>
      </c>
      <c r="E1092" s="20" t="s">
        <v>989</v>
      </c>
      <c r="F1092" s="20" t="s">
        <v>128</v>
      </c>
      <c r="G1092" s="26">
        <f>G1093</f>
        <v>46</v>
      </c>
      <c r="H1092" s="26">
        <f>H1093</f>
        <v>46</v>
      </c>
      <c r="I1092" s="201"/>
    </row>
    <row r="1093" spans="1:41" ht="31.5" x14ac:dyDescent="0.25">
      <c r="A1093" s="25" t="s">
        <v>129</v>
      </c>
      <c r="B1093" s="16">
        <v>910</v>
      </c>
      <c r="C1093" s="20" t="s">
        <v>118</v>
      </c>
      <c r="D1093" s="20" t="s">
        <v>120</v>
      </c>
      <c r="E1093" s="20" t="s">
        <v>989</v>
      </c>
      <c r="F1093" s="20" t="s">
        <v>130</v>
      </c>
      <c r="G1093" s="26">
        <v>46</v>
      </c>
      <c r="H1093" s="26">
        <f t="shared" si="95"/>
        <v>46</v>
      </c>
      <c r="I1093" s="201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368">
        <f>G1046+G831+G756+G537+G488+G242+G31+G10+G9</f>
        <v>804315.29999999981</v>
      </c>
      <c r="H1094" s="368">
        <f>H1046+H831+H756+H537+H488+H242+H31+H10+H9</f>
        <v>845302.1</v>
      </c>
      <c r="I1094" s="201"/>
      <c r="N1094" s="574" t="s">
        <v>1553</v>
      </c>
      <c r="O1094" s="574"/>
      <c r="P1094" s="574"/>
      <c r="Q1094" s="574"/>
      <c r="R1094" s="574"/>
      <c r="S1094" s="574"/>
      <c r="T1094" s="574"/>
      <c r="U1094" s="574"/>
      <c r="V1094" s="574"/>
      <c r="W1094" s="574"/>
      <c r="X1094" s="574" t="s">
        <v>1554</v>
      </c>
      <c r="Y1094" s="574"/>
      <c r="Z1094" s="574"/>
      <c r="AA1094" s="574"/>
      <c r="AB1094" s="574"/>
      <c r="AC1094" s="574"/>
      <c r="AD1094" s="574"/>
      <c r="AE1094" s="574"/>
      <c r="AF1094" s="574"/>
      <c r="AG1094" s="574"/>
      <c r="AH1094" s="396"/>
      <c r="AI1094" s="396"/>
      <c r="AJ1094" s="396"/>
    </row>
    <row r="1095" spans="1:41" ht="48" x14ac:dyDescent="0.25">
      <c r="A1095" s="50"/>
      <c r="B1095" s="50"/>
      <c r="C1095" s="50"/>
      <c r="D1095" s="50"/>
      <c r="E1095" s="334">
        <f>G1096-G1095</f>
        <v>13210.125460946001</v>
      </c>
      <c r="F1095" s="50"/>
      <c r="G1095" s="373">
        <f>'Пр.1.1. дох.22-23'!C157</f>
        <v>498322.47399999999</v>
      </c>
      <c r="H1095" s="373">
        <f>'Пр.1.1. дох.22-23'!D157</f>
        <v>508033.83399999997</v>
      </c>
      <c r="L1095" s="225">
        <f>H1096-H1095</f>
        <v>13388.564910891058</v>
      </c>
      <c r="M1095" s="201"/>
      <c r="N1095" s="306" t="s">
        <v>1281</v>
      </c>
      <c r="O1095" s="306" t="s">
        <v>1282</v>
      </c>
      <c r="P1095" s="306" t="s">
        <v>1283</v>
      </c>
      <c r="Q1095" s="306" t="s">
        <v>1284</v>
      </c>
      <c r="R1095" s="306" t="s">
        <v>1335</v>
      </c>
      <c r="S1095" s="306" t="s">
        <v>1413</v>
      </c>
      <c r="T1095" s="306" t="s">
        <v>1482</v>
      </c>
      <c r="U1095" s="306" t="s">
        <v>1483</v>
      </c>
      <c r="V1095" s="306" t="s">
        <v>1484</v>
      </c>
      <c r="W1095" s="306" t="s">
        <v>1488</v>
      </c>
      <c r="X1095" s="394" t="s">
        <v>1281</v>
      </c>
      <c r="Y1095" s="394" t="s">
        <v>1282</v>
      </c>
      <c r="Z1095" s="394" t="s">
        <v>1283</v>
      </c>
      <c r="AA1095" s="394" t="s">
        <v>1284</v>
      </c>
      <c r="AB1095" s="394" t="s">
        <v>1335</v>
      </c>
      <c r="AC1095" s="394" t="s">
        <v>1413</v>
      </c>
      <c r="AD1095" s="394" t="s">
        <v>1482</v>
      </c>
      <c r="AE1095" s="394" t="s">
        <v>1483</v>
      </c>
      <c r="AF1095" s="394" t="s">
        <v>1484</v>
      </c>
      <c r="AG1095" s="394" t="s">
        <v>1488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69">
        <f>G1094-G1097</f>
        <v>511532.59946094599</v>
      </c>
      <c r="H1096" s="369">
        <f>H1094-H1097</f>
        <v>521422.39891089103</v>
      </c>
      <c r="L1096" s="201"/>
      <c r="M1096" s="303" t="s">
        <v>588</v>
      </c>
      <c r="N1096" s="305">
        <v>500</v>
      </c>
      <c r="O1096" s="305">
        <v>0</v>
      </c>
      <c r="P1096" s="305">
        <f>300</f>
        <v>300</v>
      </c>
      <c r="Q1096" s="324">
        <f>Q1097*100/90.9-Q1097</f>
        <v>26.809460946094589</v>
      </c>
      <c r="R1096" s="305">
        <v>0</v>
      </c>
      <c r="S1096" s="305">
        <v>222.05</v>
      </c>
      <c r="T1096" s="305"/>
      <c r="U1096" s="397"/>
      <c r="V1096" s="397">
        <v>0</v>
      </c>
      <c r="W1096" s="324">
        <v>71.75</v>
      </c>
      <c r="X1096" s="395">
        <v>500</v>
      </c>
      <c r="Y1096" s="395">
        <v>0</v>
      </c>
      <c r="Z1096" s="395">
        <v>1500</v>
      </c>
      <c r="AA1096" s="398">
        <f>AA1097*100/90.9-AA1097</f>
        <v>26.308910891089056</v>
      </c>
      <c r="AB1096" s="395">
        <v>0</v>
      </c>
      <c r="AC1096" s="398">
        <v>210.85</v>
      </c>
      <c r="AD1096" s="395"/>
      <c r="AE1096" s="399"/>
      <c r="AF1096" s="399"/>
      <c r="AG1096" s="398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69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292782.70053905383</v>
      </c>
      <c r="H1097" s="369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323879.70108910894</v>
      </c>
      <c r="I1097" s="204">
        <v>267446.40000000002</v>
      </c>
      <c r="J1097">
        <v>260319.2</v>
      </c>
      <c r="L1097" s="201"/>
      <c r="M1097" s="304" t="s">
        <v>1487</v>
      </c>
      <c r="N1097" s="305">
        <v>0</v>
      </c>
      <c r="O1097" s="305">
        <v>0</v>
      </c>
      <c r="P1097" s="305">
        <v>0</v>
      </c>
      <c r="Q1097" s="305">
        <f>238.3+29.5</f>
        <v>267.8</v>
      </c>
      <c r="R1097" s="305">
        <v>0</v>
      </c>
      <c r="S1097" s="305">
        <f>4622.3+571.3</f>
        <v>5193.6000000000004</v>
      </c>
      <c r="T1097" s="397"/>
      <c r="U1097" s="397"/>
      <c r="V1097" s="397">
        <v>0</v>
      </c>
      <c r="W1097" s="305">
        <f>1644.1+33.6</f>
        <v>1677.6999999999998</v>
      </c>
      <c r="X1097" s="395">
        <v>0</v>
      </c>
      <c r="Y1097" s="395">
        <v>0</v>
      </c>
      <c r="Z1097" s="395">
        <v>0</v>
      </c>
      <c r="AA1097" s="395">
        <f>233.9+28.9</f>
        <v>262.8</v>
      </c>
      <c r="AB1097" s="395">
        <v>0</v>
      </c>
      <c r="AC1097" s="395">
        <f>4389.1+542.5</f>
        <v>4931.6000000000004</v>
      </c>
      <c r="AD1097" s="399">
        <f>пр.1дох.21!M69</f>
        <v>0</v>
      </c>
      <c r="AE1097" s="399"/>
      <c r="AF1097" s="399"/>
      <c r="AG1097" s="395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74">
        <f>'Пр.1.1. дох.22-23'!C156</f>
        <v>237132.89999999997</v>
      </c>
      <c r="H1098" s="374">
        <f>'Пр.1.1. дох.22-23'!D156</f>
        <v>268229.89999999991</v>
      </c>
      <c r="I1098" s="227">
        <f>I1097-G1097</f>
        <v>-25336.300539053802</v>
      </c>
      <c r="J1098" s="227">
        <f>J1097-H1097</f>
        <v>-63560.501089108933</v>
      </c>
      <c r="L1098" s="225"/>
      <c r="M1098" s="225"/>
      <c r="N1098" s="400" t="s">
        <v>1286</v>
      </c>
      <c r="O1098" s="400" t="s">
        <v>1287</v>
      </c>
      <c r="P1098" s="400" t="s">
        <v>1288</v>
      </c>
      <c r="Q1098" s="400" t="s">
        <v>1289</v>
      </c>
      <c r="R1098" s="400" t="s">
        <v>1288</v>
      </c>
      <c r="S1098" s="400" t="s">
        <v>1412</v>
      </c>
      <c r="T1098" s="400" t="s">
        <v>1412</v>
      </c>
      <c r="U1098" s="323" t="s">
        <v>1412</v>
      </c>
      <c r="V1098" s="400" t="s">
        <v>1485</v>
      </c>
      <c r="W1098" s="400" t="s">
        <v>1412</v>
      </c>
      <c r="X1098" s="400" t="s">
        <v>1286</v>
      </c>
      <c r="Y1098" s="400" t="s">
        <v>1287</v>
      </c>
      <c r="Z1098" s="400" t="s">
        <v>1288</v>
      </c>
      <c r="AA1098" s="400" t="s">
        <v>1289</v>
      </c>
      <c r="AB1098" s="400" t="s">
        <v>1288</v>
      </c>
      <c r="AC1098" s="400" t="s">
        <v>1412</v>
      </c>
      <c r="AD1098" s="400" t="s">
        <v>1412</v>
      </c>
      <c r="AE1098" s="323" t="s">
        <v>1412</v>
      </c>
      <c r="AF1098" s="400" t="s">
        <v>1485</v>
      </c>
      <c r="AG1098" s="400" t="s">
        <v>1412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74">
        <f>G1097-G1098</f>
        <v>55649.80053905386</v>
      </c>
      <c r="H1099" s="374">
        <f>H1097-H1098</f>
        <v>55649.801089109038</v>
      </c>
    </row>
    <row r="1100" spans="1:41" ht="15.75" x14ac:dyDescent="0.25">
      <c r="A1100" s="50"/>
      <c r="B1100" s="50"/>
      <c r="C1100" s="51"/>
      <c r="D1100" s="53"/>
      <c r="E1100" s="53"/>
      <c r="F1100" s="372" t="s">
        <v>674</v>
      </c>
      <c r="G1100" s="374">
        <f>'Пр.1.1. дох.22-23'!C155-'пр.4.1. рдпр 22-23'!D51</f>
        <v>-68515.197850000113</v>
      </c>
      <c r="H1100" s="374">
        <f>'Пр.1.1. дох.22-23'!D155-'пр.4.1. рдпр 22-23'!E51</f>
        <v>-68713.290000000037</v>
      </c>
    </row>
    <row r="1101" spans="1:41" s="200" customFormat="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1"/>
      <c r="N1101" s="567" t="s">
        <v>1555</v>
      </c>
      <c r="O1101" s="568"/>
      <c r="P1101" s="568"/>
      <c r="Q1101" s="568"/>
      <c r="R1101" s="568"/>
      <c r="S1101" s="568"/>
      <c r="T1101" s="568"/>
      <c r="U1101" s="568"/>
      <c r="V1101" s="568"/>
      <c r="W1101" s="568"/>
      <c r="X1101" s="568"/>
      <c r="Y1101" s="568"/>
      <c r="Z1101" s="568"/>
      <c r="AA1101" s="569"/>
      <c r="AB1101" s="575" t="s">
        <v>1556</v>
      </c>
      <c r="AC1101" s="575"/>
      <c r="AD1101" s="575"/>
      <c r="AE1101" s="575"/>
      <c r="AF1101" s="575"/>
      <c r="AG1101" s="575"/>
      <c r="AH1101" s="575"/>
      <c r="AI1101" s="575"/>
      <c r="AJ1101" s="575"/>
      <c r="AK1101" s="575"/>
      <c r="AL1101" s="575"/>
      <c r="AM1101" s="575"/>
      <c r="AN1101" s="575"/>
      <c r="AO1101" s="575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136839.41</v>
      </c>
      <c r="H1102" s="102">
        <f>H10+H32+H243+H489+H538+H832+H1047+H757</f>
        <v>123993.72</v>
      </c>
      <c r="M1102" s="201"/>
      <c r="N1102" s="329" t="s">
        <v>1490</v>
      </c>
      <c r="O1102" s="329" t="s">
        <v>1491</v>
      </c>
      <c r="P1102" s="329" t="s">
        <v>1493</v>
      </c>
      <c r="Q1102" s="329" t="s">
        <v>1494</v>
      </c>
      <c r="R1102" s="329" t="s">
        <v>1495</v>
      </c>
      <c r="S1102" s="329" t="s">
        <v>1496</v>
      </c>
      <c r="T1102" s="329" t="s">
        <v>1499</v>
      </c>
      <c r="U1102" s="329" t="s">
        <v>1501</v>
      </c>
      <c r="V1102" s="329" t="s">
        <v>1505</v>
      </c>
      <c r="W1102" s="329" t="s">
        <v>1506</v>
      </c>
      <c r="X1102" s="329" t="s">
        <v>1512</v>
      </c>
      <c r="Y1102" s="389" t="s">
        <v>1549</v>
      </c>
      <c r="Z1102" s="389" t="s">
        <v>1557</v>
      </c>
      <c r="AA1102" s="389" t="s">
        <v>1558</v>
      </c>
      <c r="AB1102" s="335" t="s">
        <v>1490</v>
      </c>
      <c r="AC1102" s="335" t="s">
        <v>1491</v>
      </c>
      <c r="AD1102" s="335" t="s">
        <v>1493</v>
      </c>
      <c r="AE1102" s="335" t="s">
        <v>1494</v>
      </c>
      <c r="AF1102" s="335" t="s">
        <v>1495</v>
      </c>
      <c r="AG1102" s="335" t="s">
        <v>1496</v>
      </c>
      <c r="AH1102" s="335" t="s">
        <v>1499</v>
      </c>
      <c r="AI1102" s="335" t="s">
        <v>1501</v>
      </c>
      <c r="AJ1102" s="335" t="s">
        <v>1505</v>
      </c>
      <c r="AK1102" s="335" t="s">
        <v>1506</v>
      </c>
      <c r="AL1102" s="335" t="s">
        <v>1512</v>
      </c>
      <c r="AM1102" s="335" t="s">
        <v>1549</v>
      </c>
      <c r="AN1102" s="335" t="s">
        <v>1557</v>
      </c>
      <c r="AO1102" s="335" t="s">
        <v>1558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133468.51</v>
      </c>
      <c r="H1103" s="102">
        <f>H1102-H1104</f>
        <v>120838.32</v>
      </c>
      <c r="M1103" s="301" t="s">
        <v>588</v>
      </c>
      <c r="N1103" s="330">
        <v>3.5</v>
      </c>
      <c r="O1103" s="330">
        <v>3584</v>
      </c>
      <c r="P1103" s="330">
        <v>2200</v>
      </c>
      <c r="Q1103" s="330">
        <v>0</v>
      </c>
      <c r="R1103" s="330">
        <v>868</v>
      </c>
      <c r="S1103" s="330">
        <v>124.4</v>
      </c>
      <c r="T1103" s="330">
        <v>0</v>
      </c>
      <c r="U1103" s="330">
        <v>678</v>
      </c>
      <c r="V1103" s="330">
        <v>19</v>
      </c>
      <c r="W1103" s="330">
        <v>1</v>
      </c>
      <c r="X1103" s="330">
        <v>60</v>
      </c>
      <c r="Y1103" s="330">
        <v>10</v>
      </c>
      <c r="Z1103" s="330">
        <v>150</v>
      </c>
      <c r="AA1103" s="330">
        <v>200</v>
      </c>
      <c r="AB1103" s="336">
        <v>3.5</v>
      </c>
      <c r="AC1103" s="336">
        <v>3584</v>
      </c>
      <c r="AD1103" s="336">
        <v>2200</v>
      </c>
      <c r="AE1103" s="336">
        <v>0</v>
      </c>
      <c r="AF1103" s="336">
        <v>868</v>
      </c>
      <c r="AG1103" s="336">
        <v>124.4</v>
      </c>
      <c r="AH1103" s="336">
        <v>0</v>
      </c>
      <c r="AI1103" s="336">
        <v>678</v>
      </c>
      <c r="AJ1103" s="336">
        <v>19</v>
      </c>
      <c r="AK1103" s="336">
        <v>1</v>
      </c>
      <c r="AL1103" s="336">
        <v>60</v>
      </c>
      <c r="AM1103" s="336">
        <v>10</v>
      </c>
      <c r="AN1103" s="336">
        <v>150</v>
      </c>
      <c r="AO1103" s="336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02" t="s">
        <v>589</v>
      </c>
      <c r="N1104" s="330">
        <v>65.2</v>
      </c>
      <c r="O1104" s="330">
        <v>2161.1</v>
      </c>
      <c r="P1104" s="330">
        <v>1731.8</v>
      </c>
      <c r="Q1104" s="330">
        <v>0</v>
      </c>
      <c r="R1104" s="330">
        <v>516.6</v>
      </c>
      <c r="S1104" s="330">
        <v>173.3</v>
      </c>
      <c r="T1104" s="330">
        <v>1666.6</v>
      </c>
      <c r="U1104" s="330">
        <v>77.8</v>
      </c>
      <c r="V1104" s="330">
        <v>255</v>
      </c>
      <c r="W1104" s="330">
        <v>40</v>
      </c>
      <c r="X1104" s="330">
        <v>200</v>
      </c>
      <c r="Y1104" s="330">
        <v>0</v>
      </c>
      <c r="Z1104" s="330">
        <v>0</v>
      </c>
      <c r="AA1104" s="330">
        <v>0</v>
      </c>
      <c r="AB1104" s="336">
        <v>65.2</v>
      </c>
      <c r="AC1104" s="336">
        <v>2161.1</v>
      </c>
      <c r="AD1104" s="336">
        <v>1665.2</v>
      </c>
      <c r="AE1104" s="336">
        <v>0</v>
      </c>
      <c r="AF1104" s="336">
        <v>516.6</v>
      </c>
      <c r="AG1104" s="336">
        <v>173.3</v>
      </c>
      <c r="AH1104" s="336">
        <v>915</v>
      </c>
      <c r="AI1104" s="336">
        <v>81</v>
      </c>
      <c r="AJ1104" s="336">
        <v>255</v>
      </c>
      <c r="AK1104" s="336">
        <v>40</v>
      </c>
      <c r="AL1104" s="336">
        <v>200</v>
      </c>
      <c r="AM1104" s="336">
        <v>0</v>
      </c>
      <c r="AN1104" s="336">
        <v>0</v>
      </c>
      <c r="AO1104" s="336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5"/>
      <c r="N1105" s="400" t="s">
        <v>1288</v>
      </c>
      <c r="O1105" s="400" t="s">
        <v>1492</v>
      </c>
      <c r="P1105" s="400" t="s">
        <v>1412</v>
      </c>
      <c r="Q1105" s="400" t="s">
        <v>1412</v>
      </c>
      <c r="R1105" s="400" t="s">
        <v>1412</v>
      </c>
      <c r="S1105" s="400" t="s">
        <v>1497</v>
      </c>
      <c r="T1105" s="400" t="s">
        <v>1500</v>
      </c>
      <c r="U1105" s="400" t="s">
        <v>1412</v>
      </c>
      <c r="V1105" s="400" t="s">
        <v>1507</v>
      </c>
      <c r="W1105" s="400" t="s">
        <v>1508</v>
      </c>
      <c r="X1105" s="400" t="s">
        <v>1511</v>
      </c>
      <c r="Y1105" s="400" t="s">
        <v>1289</v>
      </c>
      <c r="Z1105" s="400" t="s">
        <v>1511</v>
      </c>
      <c r="AA1105" s="400" t="s">
        <v>1287</v>
      </c>
      <c r="AB1105" s="390" t="s">
        <v>1288</v>
      </c>
      <c r="AC1105" s="400" t="s">
        <v>1492</v>
      </c>
      <c r="AD1105" s="400" t="s">
        <v>1412</v>
      </c>
      <c r="AE1105" s="390" t="s">
        <v>1412</v>
      </c>
      <c r="AF1105" s="390" t="s">
        <v>1412</v>
      </c>
      <c r="AG1105" s="400" t="s">
        <v>1497</v>
      </c>
      <c r="AH1105" s="390" t="s">
        <v>1497</v>
      </c>
      <c r="AI1105" s="390" t="s">
        <v>1412</v>
      </c>
      <c r="AJ1105" s="390" t="s">
        <v>1507</v>
      </c>
      <c r="AK1105" s="390" t="s">
        <v>1508</v>
      </c>
      <c r="AL1105" s="390" t="s">
        <v>1511</v>
      </c>
      <c r="AM1105" s="400" t="s">
        <v>1289</v>
      </c>
      <c r="AN1105" s="400" t="s">
        <v>1511</v>
      </c>
      <c r="AO1105" s="400" t="s">
        <v>1287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108619.09999999999</v>
      </c>
      <c r="H1110" s="102">
        <f>H874+H521</f>
        <v>116731.45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51971.899999999987</v>
      </c>
      <c r="H1111" s="102">
        <f>H1110-H1112</f>
        <v>60084.249999999993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56647.200000000004</v>
      </c>
      <c r="H1112" s="102">
        <f>H902+H991+H1000+H880-X1096</f>
        <v>56647.200000000004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367282.80999999994</v>
      </c>
      <c r="H1113" s="102">
        <f>H548+H293</f>
        <v>390416.16000000003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143948.00999999992</v>
      </c>
      <c r="H1114" s="102">
        <f>H1113-H1115</f>
        <v>144064.55999999997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64055.099999999991</v>
      </c>
      <c r="H1122" s="102">
        <f>H764</f>
        <v>64086.3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63241.599999999991</v>
      </c>
      <c r="H1123" s="102">
        <f>H1122-H1124</f>
        <v>63272.800000000003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0" customFormat="1" ht="15.75" x14ac:dyDescent="0.25">
      <c r="A1126" s="50"/>
      <c r="B1126" s="50"/>
      <c r="E1126" s="54" t="s">
        <v>1417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70">
        <f>G1102+G1105+G1106+G1107+G1110+G1113+G1116+G1119+G1122+G1125+G1126</f>
        <v>804315.29999999981</v>
      </c>
      <c r="H1127" s="370">
        <f>H1102+H1105+H1106+H1107+H1110+H1113+H1116+H1119+H1122+H1125+H1126</f>
        <v>845302.1</v>
      </c>
    </row>
    <row r="1128" spans="1:13" ht="15.75" x14ac:dyDescent="0.25">
      <c r="A1128" s="50"/>
      <c r="B1128" s="50"/>
      <c r="E1128" s="54" t="s">
        <v>588</v>
      </c>
      <c r="F1128" s="53"/>
      <c r="G1128" s="370">
        <f>G1103+G1105+G1106+G1108+G1111+G1114+G1117+G1120+G1123+G1125+G1126</f>
        <v>510535.19946094602</v>
      </c>
      <c r="H1128" s="370">
        <f>H1103+H1105+H1106+H1108+H1111+H1114+H1117+H1120+H1123+H1125+H1126</f>
        <v>520424.99891089112</v>
      </c>
      <c r="L1128" s="220">
        <f>G1128-G1096</f>
        <v>-997.39999999996508</v>
      </c>
      <c r="M1128" s="220">
        <f>H1128-H1096</f>
        <v>-997.39999999990687</v>
      </c>
    </row>
    <row r="1129" spans="1:13" ht="15.75" x14ac:dyDescent="0.25">
      <c r="A1129" s="50"/>
      <c r="B1129" s="50"/>
      <c r="E1129" s="54" t="s">
        <v>589</v>
      </c>
      <c r="F1129" s="53"/>
      <c r="G1129" s="370">
        <f>G1127-G1128</f>
        <v>293780.10053905379</v>
      </c>
      <c r="H1129" s="370">
        <f>H1127-H1128</f>
        <v>324877.10108910885</v>
      </c>
    </row>
    <row r="1130" spans="1:13" x14ac:dyDescent="0.25">
      <c r="G1130" s="115">
        <f>G1127-G1094</f>
        <v>0</v>
      </c>
      <c r="H1130" s="115">
        <f>H1127-H1094</f>
        <v>0</v>
      </c>
      <c r="L1130" s="280">
        <f>H1130-G1130</f>
        <v>0</v>
      </c>
    </row>
    <row r="1131" spans="1:13" x14ac:dyDescent="0.25">
      <c r="D1131" s="201" t="s">
        <v>590</v>
      </c>
      <c r="E1131" s="201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1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1">
        <v>52</v>
      </c>
      <c r="G1133" s="115">
        <f>G550+G610+G692+G721</f>
        <v>325580.29999999993</v>
      </c>
      <c r="H1133" s="115">
        <f>H550+H610+H692+H721</f>
        <v>348610.15</v>
      </c>
    </row>
    <row r="1134" spans="1:13" x14ac:dyDescent="0.25">
      <c r="E1134" s="201">
        <v>53</v>
      </c>
      <c r="G1134" s="115">
        <f>G213</f>
        <v>150</v>
      </c>
      <c r="H1134" s="115">
        <f>H213</f>
        <v>150</v>
      </c>
    </row>
    <row r="1135" spans="1:13" x14ac:dyDescent="0.25">
      <c r="E1135" s="201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1">
        <v>55</v>
      </c>
      <c r="G1136" s="115">
        <f>G226</f>
        <v>10</v>
      </c>
      <c r="H1136" s="115">
        <f>H226</f>
        <v>10</v>
      </c>
    </row>
    <row r="1137" spans="1:8" x14ac:dyDescent="0.25">
      <c r="E1137" s="201">
        <v>56</v>
      </c>
    </row>
    <row r="1138" spans="1:8" x14ac:dyDescent="0.25">
      <c r="E1138" s="201">
        <v>57</v>
      </c>
      <c r="G1138" s="115">
        <f>G766+G824</f>
        <v>52946.799999999996</v>
      </c>
      <c r="H1138" s="115">
        <f>H766+H824</f>
        <v>52946.799999999996</v>
      </c>
    </row>
    <row r="1139" spans="1:8" x14ac:dyDescent="0.25">
      <c r="E1139" s="201">
        <v>58</v>
      </c>
      <c r="G1139" s="115">
        <f>G295+G359+G470</f>
        <v>81484.89</v>
      </c>
      <c r="H1139" s="115">
        <f>H295+H359+H470</f>
        <v>82684.89</v>
      </c>
    </row>
    <row r="1140" spans="1:8" x14ac:dyDescent="0.25">
      <c r="E1140" s="201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x14ac:dyDescent="0.25">
      <c r="E1141" s="201">
        <v>60</v>
      </c>
      <c r="G1141" s="115">
        <f>G959</f>
        <v>1920</v>
      </c>
      <c r="H1141" s="115">
        <f>H959</f>
        <v>2173</v>
      </c>
    </row>
    <row r="1142" spans="1:8" x14ac:dyDescent="0.25">
      <c r="E1142" s="201">
        <v>61</v>
      </c>
      <c r="G1142" s="115">
        <f>G193</f>
        <v>274</v>
      </c>
      <c r="H1142" s="115">
        <f>H193</f>
        <v>274</v>
      </c>
    </row>
    <row r="1143" spans="1:8" x14ac:dyDescent="0.25">
      <c r="E1143" s="201">
        <v>62</v>
      </c>
      <c r="G1143" s="115">
        <f>G919</f>
        <v>1785.8000000000002</v>
      </c>
      <c r="H1143" s="115">
        <f>H919</f>
        <v>1785.8000000000002</v>
      </c>
    </row>
    <row r="1144" spans="1:8" x14ac:dyDescent="0.25">
      <c r="E1144" s="201">
        <v>63</v>
      </c>
      <c r="G1144" s="115">
        <f>G251+G540+G759</f>
        <v>120</v>
      </c>
      <c r="H1144" s="115">
        <f>H251+H540+H759</f>
        <v>120</v>
      </c>
    </row>
    <row r="1145" spans="1:8" x14ac:dyDescent="0.25">
      <c r="E1145" s="201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x14ac:dyDescent="0.25">
      <c r="E1146" s="201">
        <v>65</v>
      </c>
      <c r="G1146" s="115">
        <f>G998</f>
        <v>500</v>
      </c>
      <c r="H1146" s="115">
        <f>H998</f>
        <v>500</v>
      </c>
    </row>
    <row r="1147" spans="1:8" x14ac:dyDescent="0.25">
      <c r="E1147" s="201">
        <v>66</v>
      </c>
      <c r="G1147" s="115">
        <f>G516</f>
        <v>0</v>
      </c>
      <c r="H1147" s="115">
        <f>H516</f>
        <v>0</v>
      </c>
    </row>
    <row r="1148" spans="1:8" x14ac:dyDescent="0.25">
      <c r="E1148" s="201">
        <v>67</v>
      </c>
      <c r="G1148" s="115">
        <f>G155</f>
        <v>45</v>
      </c>
      <c r="H1148" s="115">
        <f>H155</f>
        <v>50</v>
      </c>
    </row>
    <row r="1149" spans="1:8" x14ac:dyDescent="0.25">
      <c r="E1149" s="201">
        <v>69</v>
      </c>
      <c r="G1149" s="115">
        <f>G160</f>
        <v>80</v>
      </c>
      <c r="H1149" s="115">
        <f>H160</f>
        <v>90</v>
      </c>
    </row>
    <row r="1150" spans="1:8" s="200" customFormat="1" x14ac:dyDescent="0.25">
      <c r="A1150" s="201"/>
      <c r="B1150" s="201"/>
      <c r="C1150" s="201"/>
      <c r="D1150" s="201"/>
      <c r="E1150" s="201">
        <v>70</v>
      </c>
      <c r="F1150" s="201"/>
      <c r="G1150" s="115">
        <f>G948</f>
        <v>204</v>
      </c>
      <c r="H1150" s="115">
        <f>H948</f>
        <v>215</v>
      </c>
    </row>
    <row r="1151" spans="1:8" x14ac:dyDescent="0.25">
      <c r="G1151" s="115">
        <f>SUM(G1131:G1150)</f>
        <v>475608.39999999991</v>
      </c>
      <c r="H1151" s="115">
        <f>SUM(H1131:H1150)</f>
        <v>500661.65</v>
      </c>
    </row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389" zoomScaleNormal="100" zoomScaleSheetLayoutView="100" workbookViewId="0">
      <selection activeCell="H396" sqref="H396"/>
    </sheetView>
  </sheetViews>
  <sheetFormatPr defaultColWidth="9.140625" defaultRowHeight="15" x14ac:dyDescent="0.25"/>
  <cols>
    <col min="1" max="1" width="55" style="201" customWidth="1"/>
    <col min="2" max="2" width="6.42578125" style="201" customWidth="1"/>
    <col min="3" max="3" width="6" style="201" customWidth="1"/>
    <col min="4" max="4" width="5.140625" style="201" customWidth="1"/>
    <col min="5" max="5" width="15.85546875" style="201" customWidth="1"/>
    <col min="6" max="6" width="7" style="201" customWidth="1"/>
    <col min="7" max="7" width="15.85546875" style="115" customWidth="1"/>
    <col min="8" max="8" width="16" style="115" customWidth="1"/>
    <col min="9" max="9" width="13.28515625" style="449" hidden="1" customWidth="1"/>
    <col min="10" max="11" width="0" style="449" hidden="1" customWidth="1"/>
    <col min="12" max="12" width="10.42578125" style="449" customWidth="1"/>
    <col min="13" max="13" width="10.85546875" style="449" customWidth="1"/>
    <col min="14" max="14" width="9.28515625" style="449" customWidth="1"/>
    <col min="15" max="15" width="7.42578125" style="449" customWidth="1"/>
    <col min="16" max="16" width="8" style="449" customWidth="1"/>
    <col min="17" max="17" width="7.7109375" style="449" customWidth="1"/>
    <col min="18" max="18" width="7.140625" style="449" customWidth="1"/>
    <col min="19" max="23" width="8.140625" style="449" customWidth="1"/>
    <col min="24" max="24" width="6.7109375" style="449" customWidth="1"/>
    <col min="25" max="27" width="7.42578125" style="449" customWidth="1"/>
    <col min="28" max="16384" width="9.140625" style="449"/>
  </cols>
  <sheetData>
    <row r="1" spans="1:9" ht="18.75" customHeight="1" x14ac:dyDescent="0.25">
      <c r="A1" s="63"/>
      <c r="B1" s="63"/>
      <c r="C1" s="63"/>
      <c r="D1" s="63"/>
      <c r="G1" s="554" t="s">
        <v>1526</v>
      </c>
      <c r="H1" s="554"/>
      <c r="I1" s="201"/>
    </row>
    <row r="2" spans="1:9" ht="18.75" customHeight="1" x14ac:dyDescent="0.25">
      <c r="A2" s="63"/>
      <c r="B2" s="63"/>
      <c r="C2" s="63"/>
      <c r="D2" s="63"/>
      <c r="G2" s="554" t="s">
        <v>1525</v>
      </c>
      <c r="H2" s="554"/>
      <c r="I2" s="201"/>
    </row>
    <row r="3" spans="1:9" ht="18.75" customHeight="1" x14ac:dyDescent="0.25">
      <c r="A3" s="63"/>
      <c r="B3" s="63"/>
      <c r="C3" s="63"/>
      <c r="D3" s="63"/>
      <c r="G3" s="554" t="s">
        <v>1517</v>
      </c>
      <c r="H3" s="554"/>
      <c r="I3" s="201"/>
    </row>
    <row r="4" spans="1:9" ht="15.75" x14ac:dyDescent="0.25">
      <c r="A4" s="572"/>
      <c r="B4" s="572"/>
      <c r="C4" s="572"/>
      <c r="D4" s="572"/>
      <c r="E4" s="572"/>
      <c r="F4" s="572"/>
      <c r="I4" s="201"/>
    </row>
    <row r="5" spans="1:9" ht="15.75" x14ac:dyDescent="0.25">
      <c r="A5" s="563" t="s">
        <v>1290</v>
      </c>
      <c r="B5" s="563"/>
      <c r="C5" s="563"/>
      <c r="D5" s="563"/>
      <c r="E5" s="563"/>
      <c r="F5" s="563"/>
      <c r="G5" s="563"/>
      <c r="H5" s="563"/>
      <c r="I5" s="201"/>
    </row>
    <row r="6" spans="1:9" ht="15.75" x14ac:dyDescent="0.25">
      <c r="A6" s="500"/>
      <c r="B6" s="500"/>
      <c r="C6" s="500"/>
      <c r="D6" s="500"/>
      <c r="E6" s="500"/>
      <c r="F6" s="500"/>
      <c r="I6" s="201"/>
    </row>
    <row r="7" spans="1:9" ht="15.75" x14ac:dyDescent="0.25">
      <c r="A7" s="13"/>
      <c r="B7" s="13"/>
      <c r="C7" s="13"/>
      <c r="D7" s="13"/>
      <c r="E7" s="13"/>
      <c r="F7" s="13"/>
      <c r="G7" s="268" t="s">
        <v>1</v>
      </c>
      <c r="H7" s="268"/>
      <c r="I7" s="201"/>
    </row>
    <row r="8" spans="1:9" ht="63" x14ac:dyDescent="0.25">
      <c r="A8" s="495" t="s">
        <v>110</v>
      </c>
      <c r="B8" s="495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66" t="s">
        <v>1027</v>
      </c>
      <c r="H8" s="366" t="s">
        <v>1291</v>
      </c>
      <c r="I8" s="201"/>
    </row>
    <row r="9" spans="1:9" ht="15.75" x14ac:dyDescent="0.25">
      <c r="A9" s="292" t="s">
        <v>1415</v>
      </c>
      <c r="B9" s="495"/>
      <c r="C9" s="15"/>
      <c r="D9" s="15"/>
      <c r="E9" s="15"/>
      <c r="F9" s="15"/>
      <c r="G9" s="59">
        <v>12478.69</v>
      </c>
      <c r="H9" s="59">
        <v>25451.88</v>
      </c>
      <c r="I9" s="201"/>
    </row>
    <row r="10" spans="1:9" ht="31.5" x14ac:dyDescent="0.25">
      <c r="A10" s="453" t="s">
        <v>116</v>
      </c>
      <c r="B10" s="453">
        <v>901</v>
      </c>
      <c r="C10" s="454"/>
      <c r="D10" s="454"/>
      <c r="E10" s="454"/>
      <c r="F10" s="454"/>
      <c r="G10" s="455">
        <f>G11+G25</f>
        <v>13506</v>
      </c>
      <c r="H10" s="455">
        <f>H11+H25</f>
        <v>13506</v>
      </c>
      <c r="I10" s="201"/>
    </row>
    <row r="11" spans="1:9" ht="15.75" x14ac:dyDescent="0.25">
      <c r="A11" s="456" t="s">
        <v>117</v>
      </c>
      <c r="B11" s="453">
        <v>901</v>
      </c>
      <c r="C11" s="457" t="s">
        <v>118</v>
      </c>
      <c r="D11" s="454"/>
      <c r="E11" s="454"/>
      <c r="F11" s="454"/>
      <c r="G11" s="455">
        <f t="shared" ref="G11:H13" si="0">G12</f>
        <v>13506</v>
      </c>
      <c r="H11" s="455">
        <f t="shared" si="0"/>
        <v>13506</v>
      </c>
      <c r="I11" s="201"/>
    </row>
    <row r="12" spans="1:9" ht="51" customHeight="1" x14ac:dyDescent="0.25">
      <c r="A12" s="456" t="s">
        <v>119</v>
      </c>
      <c r="B12" s="453">
        <v>901</v>
      </c>
      <c r="C12" s="457" t="s">
        <v>118</v>
      </c>
      <c r="D12" s="457" t="s">
        <v>120</v>
      </c>
      <c r="E12" s="457"/>
      <c r="F12" s="457"/>
      <c r="G12" s="455">
        <f t="shared" si="0"/>
        <v>13506</v>
      </c>
      <c r="H12" s="455">
        <f t="shared" si="0"/>
        <v>13506</v>
      </c>
      <c r="I12" s="201"/>
    </row>
    <row r="13" spans="1:9" ht="31.5" x14ac:dyDescent="0.25">
      <c r="A13" s="456" t="s">
        <v>917</v>
      </c>
      <c r="B13" s="453">
        <v>901</v>
      </c>
      <c r="C13" s="457" t="s">
        <v>118</v>
      </c>
      <c r="D13" s="457" t="s">
        <v>120</v>
      </c>
      <c r="E13" s="457" t="s">
        <v>858</v>
      </c>
      <c r="F13" s="457"/>
      <c r="G13" s="455">
        <f t="shared" si="0"/>
        <v>13506</v>
      </c>
      <c r="H13" s="455">
        <f t="shared" si="0"/>
        <v>13506</v>
      </c>
      <c r="I13" s="201"/>
    </row>
    <row r="14" spans="1:9" ht="15.75" x14ac:dyDescent="0.25">
      <c r="A14" s="456" t="s">
        <v>918</v>
      </c>
      <c r="B14" s="453">
        <v>901</v>
      </c>
      <c r="C14" s="457" t="s">
        <v>118</v>
      </c>
      <c r="D14" s="457" t="s">
        <v>120</v>
      </c>
      <c r="E14" s="457" t="s">
        <v>859</v>
      </c>
      <c r="F14" s="457"/>
      <c r="G14" s="455">
        <f>G15+G22</f>
        <v>13506</v>
      </c>
      <c r="H14" s="455">
        <f>H15+H22</f>
        <v>13506</v>
      </c>
      <c r="I14" s="201"/>
    </row>
    <row r="15" spans="1:9" ht="31.5" x14ac:dyDescent="0.25">
      <c r="A15" s="458" t="s">
        <v>897</v>
      </c>
      <c r="B15" s="452">
        <v>901</v>
      </c>
      <c r="C15" s="454" t="s">
        <v>118</v>
      </c>
      <c r="D15" s="454" t="s">
        <v>120</v>
      </c>
      <c r="E15" s="454" t="s">
        <v>860</v>
      </c>
      <c r="F15" s="454"/>
      <c r="G15" s="459">
        <f>G16+G18+G20</f>
        <v>13086</v>
      </c>
      <c r="H15" s="459">
        <f>H16+H18+H20</f>
        <v>13086</v>
      </c>
      <c r="I15" s="201"/>
    </row>
    <row r="16" spans="1:9" ht="78.75" x14ac:dyDescent="0.25">
      <c r="A16" s="458" t="s">
        <v>127</v>
      </c>
      <c r="B16" s="452">
        <v>901</v>
      </c>
      <c r="C16" s="454" t="s">
        <v>118</v>
      </c>
      <c r="D16" s="454" t="s">
        <v>120</v>
      </c>
      <c r="E16" s="454" t="s">
        <v>860</v>
      </c>
      <c r="F16" s="454" t="s">
        <v>128</v>
      </c>
      <c r="G16" s="459">
        <f>G17</f>
        <v>12081</v>
      </c>
      <c r="H16" s="459">
        <f>H17</f>
        <v>12081</v>
      </c>
      <c r="I16" s="201"/>
    </row>
    <row r="17" spans="1:12" ht="31.5" x14ac:dyDescent="0.25">
      <c r="A17" s="458" t="s">
        <v>129</v>
      </c>
      <c r="B17" s="452">
        <v>901</v>
      </c>
      <c r="C17" s="454" t="s">
        <v>118</v>
      </c>
      <c r="D17" s="454" t="s">
        <v>120</v>
      </c>
      <c r="E17" s="454" t="s">
        <v>860</v>
      </c>
      <c r="F17" s="454" t="s">
        <v>130</v>
      </c>
      <c r="G17" s="459">
        <v>12081</v>
      </c>
      <c r="H17" s="459">
        <f t="shared" ref="H17:H97" si="1">G17</f>
        <v>12081</v>
      </c>
      <c r="I17" s="201"/>
    </row>
    <row r="18" spans="1:12" ht="31.5" x14ac:dyDescent="0.25">
      <c r="A18" s="458" t="s">
        <v>131</v>
      </c>
      <c r="B18" s="452">
        <v>901</v>
      </c>
      <c r="C18" s="454" t="s">
        <v>118</v>
      </c>
      <c r="D18" s="454" t="s">
        <v>120</v>
      </c>
      <c r="E18" s="454" t="s">
        <v>860</v>
      </c>
      <c r="F18" s="454" t="s">
        <v>132</v>
      </c>
      <c r="G18" s="459">
        <f>G19</f>
        <v>977</v>
      </c>
      <c r="H18" s="459">
        <f>H19</f>
        <v>977</v>
      </c>
      <c r="I18" s="201"/>
    </row>
    <row r="19" spans="1:12" ht="31.5" x14ac:dyDescent="0.25">
      <c r="A19" s="458" t="s">
        <v>133</v>
      </c>
      <c r="B19" s="452">
        <v>901</v>
      </c>
      <c r="C19" s="454" t="s">
        <v>118</v>
      </c>
      <c r="D19" s="454" t="s">
        <v>120</v>
      </c>
      <c r="E19" s="454" t="s">
        <v>860</v>
      </c>
      <c r="F19" s="454" t="s">
        <v>134</v>
      </c>
      <c r="G19" s="459">
        <v>977</v>
      </c>
      <c r="H19" s="459">
        <f t="shared" si="1"/>
        <v>977</v>
      </c>
      <c r="I19" s="201"/>
    </row>
    <row r="20" spans="1:12" ht="15.75" x14ac:dyDescent="0.25">
      <c r="A20" s="458" t="s">
        <v>135</v>
      </c>
      <c r="B20" s="452">
        <v>901</v>
      </c>
      <c r="C20" s="454" t="s">
        <v>118</v>
      </c>
      <c r="D20" s="454" t="s">
        <v>120</v>
      </c>
      <c r="E20" s="454" t="s">
        <v>860</v>
      </c>
      <c r="F20" s="454" t="s">
        <v>136</v>
      </c>
      <c r="G20" s="459">
        <f>G21</f>
        <v>28</v>
      </c>
      <c r="H20" s="459">
        <f>H21</f>
        <v>28</v>
      </c>
      <c r="I20" s="201"/>
    </row>
    <row r="21" spans="1:12" ht="15.75" x14ac:dyDescent="0.25">
      <c r="A21" s="458" t="s">
        <v>568</v>
      </c>
      <c r="B21" s="452">
        <v>901</v>
      </c>
      <c r="C21" s="454" t="s">
        <v>118</v>
      </c>
      <c r="D21" s="454" t="s">
        <v>120</v>
      </c>
      <c r="E21" s="454" t="s">
        <v>860</v>
      </c>
      <c r="F21" s="454" t="s">
        <v>138</v>
      </c>
      <c r="G21" s="459">
        <v>28</v>
      </c>
      <c r="H21" s="459">
        <v>28</v>
      </c>
      <c r="I21" s="201"/>
    </row>
    <row r="22" spans="1:12" ht="47.25" x14ac:dyDescent="0.25">
      <c r="A22" s="458" t="s">
        <v>839</v>
      </c>
      <c r="B22" s="452">
        <v>901</v>
      </c>
      <c r="C22" s="454" t="s">
        <v>118</v>
      </c>
      <c r="D22" s="454" t="s">
        <v>120</v>
      </c>
      <c r="E22" s="454" t="s">
        <v>862</v>
      </c>
      <c r="F22" s="454"/>
      <c r="G22" s="459">
        <f>G23</f>
        <v>420</v>
      </c>
      <c r="H22" s="459">
        <f>H23</f>
        <v>420</v>
      </c>
      <c r="I22" s="201"/>
    </row>
    <row r="23" spans="1:12" ht="78.75" x14ac:dyDescent="0.25">
      <c r="A23" s="458" t="s">
        <v>127</v>
      </c>
      <c r="B23" s="452">
        <v>901</v>
      </c>
      <c r="C23" s="454" t="s">
        <v>118</v>
      </c>
      <c r="D23" s="454" t="s">
        <v>120</v>
      </c>
      <c r="E23" s="454" t="s">
        <v>862</v>
      </c>
      <c r="F23" s="454" t="s">
        <v>128</v>
      </c>
      <c r="G23" s="459">
        <f>G24</f>
        <v>420</v>
      </c>
      <c r="H23" s="459">
        <f>H24</f>
        <v>420</v>
      </c>
      <c r="I23" s="201"/>
    </row>
    <row r="24" spans="1:12" ht="31.5" x14ac:dyDescent="0.25">
      <c r="A24" s="458" t="s">
        <v>129</v>
      </c>
      <c r="B24" s="452">
        <v>901</v>
      </c>
      <c r="C24" s="454" t="s">
        <v>118</v>
      </c>
      <c r="D24" s="454" t="s">
        <v>120</v>
      </c>
      <c r="E24" s="454" t="s">
        <v>862</v>
      </c>
      <c r="F24" s="454" t="s">
        <v>130</v>
      </c>
      <c r="G24" s="459">
        <v>420</v>
      </c>
      <c r="H24" s="459">
        <v>420</v>
      </c>
      <c r="I24" s="201"/>
    </row>
    <row r="25" spans="1:12" ht="15.75" hidden="1" x14ac:dyDescent="0.25">
      <c r="A25" s="456" t="s">
        <v>139</v>
      </c>
      <c r="B25" s="453">
        <v>901</v>
      </c>
      <c r="C25" s="457" t="s">
        <v>118</v>
      </c>
      <c r="D25" s="457" t="s">
        <v>140</v>
      </c>
      <c r="E25" s="457"/>
      <c r="F25" s="457"/>
      <c r="G25" s="455">
        <f t="shared" ref="G25:H29" si="2">G26</f>
        <v>0</v>
      </c>
      <c r="H25" s="455">
        <f t="shared" si="2"/>
        <v>0</v>
      </c>
      <c r="I25" s="201"/>
    </row>
    <row r="26" spans="1:12" ht="15.75" hidden="1" x14ac:dyDescent="0.25">
      <c r="A26" s="456" t="s">
        <v>141</v>
      </c>
      <c r="B26" s="453">
        <v>901</v>
      </c>
      <c r="C26" s="457" t="s">
        <v>118</v>
      </c>
      <c r="D26" s="457" t="s">
        <v>140</v>
      </c>
      <c r="E26" s="457" t="s">
        <v>866</v>
      </c>
      <c r="F26" s="457"/>
      <c r="G26" s="455">
        <f t="shared" si="2"/>
        <v>0</v>
      </c>
      <c r="H26" s="455">
        <f t="shared" si="2"/>
        <v>0</v>
      </c>
      <c r="I26" s="201"/>
    </row>
    <row r="27" spans="1:12" ht="31.5" hidden="1" x14ac:dyDescent="0.25">
      <c r="A27" s="456" t="s">
        <v>870</v>
      </c>
      <c r="B27" s="453">
        <v>901</v>
      </c>
      <c r="C27" s="457" t="s">
        <v>118</v>
      </c>
      <c r="D27" s="457" t="s">
        <v>140</v>
      </c>
      <c r="E27" s="457" t="s">
        <v>865</v>
      </c>
      <c r="F27" s="457"/>
      <c r="G27" s="455">
        <f t="shared" si="2"/>
        <v>0</v>
      </c>
      <c r="H27" s="455">
        <f t="shared" si="2"/>
        <v>0</v>
      </c>
      <c r="I27" s="201"/>
    </row>
    <row r="28" spans="1:12" ht="15.75" hidden="1" x14ac:dyDescent="0.25">
      <c r="A28" s="458" t="s">
        <v>1138</v>
      </c>
      <c r="B28" s="452">
        <v>901</v>
      </c>
      <c r="C28" s="454" t="s">
        <v>118</v>
      </c>
      <c r="D28" s="454" t="s">
        <v>140</v>
      </c>
      <c r="E28" s="454" t="s">
        <v>1139</v>
      </c>
      <c r="F28" s="454"/>
      <c r="G28" s="459">
        <f t="shared" si="2"/>
        <v>0</v>
      </c>
      <c r="H28" s="459">
        <f t="shared" si="2"/>
        <v>0</v>
      </c>
      <c r="I28" s="201"/>
    </row>
    <row r="29" spans="1:12" ht="15.75" hidden="1" x14ac:dyDescent="0.25">
      <c r="A29" s="458" t="s">
        <v>135</v>
      </c>
      <c r="B29" s="452">
        <v>901</v>
      </c>
      <c r="C29" s="454" t="s">
        <v>118</v>
      </c>
      <c r="D29" s="454" t="s">
        <v>140</v>
      </c>
      <c r="E29" s="454" t="s">
        <v>1139</v>
      </c>
      <c r="F29" s="454" t="s">
        <v>145</v>
      </c>
      <c r="G29" s="459">
        <f>G30</f>
        <v>0</v>
      </c>
      <c r="H29" s="459">
        <f t="shared" si="2"/>
        <v>0</v>
      </c>
      <c r="I29" s="201"/>
    </row>
    <row r="30" spans="1:12" ht="15.75" hidden="1" x14ac:dyDescent="0.25">
      <c r="A30" s="458" t="s">
        <v>1138</v>
      </c>
      <c r="B30" s="452">
        <v>901</v>
      </c>
      <c r="C30" s="454" t="s">
        <v>118</v>
      </c>
      <c r="D30" s="454" t="s">
        <v>140</v>
      </c>
      <c r="E30" s="454" t="s">
        <v>1139</v>
      </c>
      <c r="F30" s="454" t="s">
        <v>1140</v>
      </c>
      <c r="G30" s="459">
        <v>0</v>
      </c>
      <c r="H30" s="459">
        <v>0</v>
      </c>
      <c r="I30" s="201"/>
      <c r="L30" s="449" t="s">
        <v>1295</v>
      </c>
    </row>
    <row r="31" spans="1:12" ht="21.75" customHeight="1" x14ac:dyDescent="0.25">
      <c r="A31" s="453" t="s">
        <v>148</v>
      </c>
      <c r="B31" s="453">
        <v>902</v>
      </c>
      <c r="C31" s="454"/>
      <c r="D31" s="454"/>
      <c r="E31" s="454"/>
      <c r="F31" s="454"/>
      <c r="G31" s="455">
        <f>G32+G172+G191+G218+G165</f>
        <v>79272.81</v>
      </c>
      <c r="H31" s="455">
        <f>H32+H172+H191+H218+H165</f>
        <v>66093.72</v>
      </c>
      <c r="I31" s="201"/>
    </row>
    <row r="32" spans="1:12" ht="15.75" x14ac:dyDescent="0.25">
      <c r="A32" s="456" t="s">
        <v>117</v>
      </c>
      <c r="B32" s="453">
        <v>902</v>
      </c>
      <c r="C32" s="457" t="s">
        <v>118</v>
      </c>
      <c r="D32" s="454"/>
      <c r="E32" s="454"/>
      <c r="F32" s="454"/>
      <c r="G32" s="455">
        <f>G52+G113+G130+G122+G33</f>
        <v>57018.81</v>
      </c>
      <c r="H32" s="455">
        <f>H52+H113+H130+H122+H33</f>
        <v>43873.119999999995</v>
      </c>
      <c r="I32" s="201"/>
    </row>
    <row r="33" spans="1:9" ht="47.25" x14ac:dyDescent="0.25">
      <c r="A33" s="456" t="s">
        <v>575</v>
      </c>
      <c r="B33" s="453">
        <v>902</v>
      </c>
      <c r="C33" s="457" t="s">
        <v>118</v>
      </c>
      <c r="D33" s="457" t="s">
        <v>213</v>
      </c>
      <c r="E33" s="454"/>
      <c r="F33" s="454"/>
      <c r="G33" s="455">
        <f>G34+G44</f>
        <v>4867.3999999999996</v>
      </c>
      <c r="H33" s="455">
        <f>H34+H44</f>
        <v>4867.3999999999996</v>
      </c>
      <c r="I33" s="201"/>
    </row>
    <row r="34" spans="1:9" ht="31.5" x14ac:dyDescent="0.25">
      <c r="A34" s="456" t="s">
        <v>917</v>
      </c>
      <c r="B34" s="453">
        <v>902</v>
      </c>
      <c r="C34" s="457" t="s">
        <v>118</v>
      </c>
      <c r="D34" s="457" t="s">
        <v>213</v>
      </c>
      <c r="E34" s="457" t="s">
        <v>858</v>
      </c>
      <c r="F34" s="454"/>
      <c r="G34" s="455">
        <f>G35</f>
        <v>4826.8999999999996</v>
      </c>
      <c r="H34" s="455">
        <f>H35</f>
        <v>4826.8999999999996</v>
      </c>
      <c r="I34" s="201"/>
    </row>
    <row r="35" spans="1:9" ht="15.75" x14ac:dyDescent="0.25">
      <c r="A35" s="456" t="s">
        <v>918</v>
      </c>
      <c r="B35" s="453">
        <v>902</v>
      </c>
      <c r="C35" s="457" t="s">
        <v>118</v>
      </c>
      <c r="D35" s="457" t="s">
        <v>213</v>
      </c>
      <c r="E35" s="457" t="s">
        <v>859</v>
      </c>
      <c r="F35" s="454"/>
      <c r="G35" s="455">
        <f>G36+G41</f>
        <v>4826.8999999999996</v>
      </c>
      <c r="H35" s="455">
        <f>H36+H41</f>
        <v>4826.8999999999996</v>
      </c>
      <c r="I35" s="201"/>
    </row>
    <row r="36" spans="1:9" ht="31.5" x14ac:dyDescent="0.25">
      <c r="A36" s="458" t="s">
        <v>576</v>
      </c>
      <c r="B36" s="452">
        <v>902</v>
      </c>
      <c r="C36" s="454" t="s">
        <v>118</v>
      </c>
      <c r="D36" s="454" t="s">
        <v>213</v>
      </c>
      <c r="E36" s="454" t="s">
        <v>1331</v>
      </c>
      <c r="F36" s="454"/>
      <c r="G36" s="459">
        <f>G37+G39</f>
        <v>4826.8999999999996</v>
      </c>
      <c r="H36" s="459">
        <f>H37+H39</f>
        <v>4826.8999999999996</v>
      </c>
      <c r="I36" s="201"/>
    </row>
    <row r="37" spans="1:9" ht="78.75" x14ac:dyDescent="0.25">
      <c r="A37" s="458" t="s">
        <v>127</v>
      </c>
      <c r="B37" s="452">
        <v>902</v>
      </c>
      <c r="C37" s="454" t="s">
        <v>118</v>
      </c>
      <c r="D37" s="454" t="s">
        <v>213</v>
      </c>
      <c r="E37" s="454" t="s">
        <v>1331</v>
      </c>
      <c r="F37" s="454" t="s">
        <v>128</v>
      </c>
      <c r="G37" s="459">
        <f>G38</f>
        <v>4736.8999999999996</v>
      </c>
      <c r="H37" s="459">
        <f>H38</f>
        <v>4736.8999999999996</v>
      </c>
      <c r="I37" s="201"/>
    </row>
    <row r="38" spans="1:9" ht="31.5" x14ac:dyDescent="0.25">
      <c r="A38" s="458" t="s">
        <v>129</v>
      </c>
      <c r="B38" s="452">
        <v>902</v>
      </c>
      <c r="C38" s="454" t="s">
        <v>118</v>
      </c>
      <c r="D38" s="454" t="s">
        <v>213</v>
      </c>
      <c r="E38" s="454" t="s">
        <v>1331</v>
      </c>
      <c r="F38" s="454" t="s">
        <v>130</v>
      </c>
      <c r="G38" s="27">
        <v>4736.8999999999996</v>
      </c>
      <c r="H38" s="459">
        <f>G38</f>
        <v>4736.8999999999996</v>
      </c>
      <c r="I38" s="201"/>
    </row>
    <row r="39" spans="1:9" ht="31.5" x14ac:dyDescent="0.25">
      <c r="A39" s="458" t="s">
        <v>198</v>
      </c>
      <c r="B39" s="452">
        <v>902</v>
      </c>
      <c r="C39" s="454" t="s">
        <v>118</v>
      </c>
      <c r="D39" s="454" t="s">
        <v>213</v>
      </c>
      <c r="E39" s="454" t="s">
        <v>1331</v>
      </c>
      <c r="F39" s="454" t="s">
        <v>132</v>
      </c>
      <c r="G39" s="459">
        <f>G40</f>
        <v>90</v>
      </c>
      <c r="H39" s="459">
        <f>H40</f>
        <v>90</v>
      </c>
      <c r="I39" s="201"/>
    </row>
    <row r="40" spans="1:9" ht="32.65" customHeight="1" x14ac:dyDescent="0.25">
      <c r="A40" s="458" t="s">
        <v>133</v>
      </c>
      <c r="B40" s="452">
        <v>902</v>
      </c>
      <c r="C40" s="454" t="s">
        <v>118</v>
      </c>
      <c r="D40" s="454" t="s">
        <v>213</v>
      </c>
      <c r="E40" s="454" t="s">
        <v>1331</v>
      </c>
      <c r="F40" s="454" t="s">
        <v>134</v>
      </c>
      <c r="G40" s="459">
        <v>90</v>
      </c>
      <c r="H40" s="459">
        <f>G40</f>
        <v>90</v>
      </c>
      <c r="I40" s="201"/>
    </row>
    <row r="41" spans="1:9" ht="47.25" hidden="1" x14ac:dyDescent="0.25">
      <c r="A41" s="458" t="s">
        <v>839</v>
      </c>
      <c r="B41" s="452">
        <v>902</v>
      </c>
      <c r="C41" s="454" t="s">
        <v>118</v>
      </c>
      <c r="D41" s="454" t="s">
        <v>213</v>
      </c>
      <c r="E41" s="454" t="s">
        <v>862</v>
      </c>
      <c r="F41" s="454"/>
      <c r="G41" s="459">
        <f>G42</f>
        <v>0</v>
      </c>
      <c r="H41" s="459">
        <f>G41</f>
        <v>0</v>
      </c>
      <c r="I41" s="201"/>
    </row>
    <row r="42" spans="1:9" ht="78.75" hidden="1" x14ac:dyDescent="0.25">
      <c r="A42" s="458" t="s">
        <v>127</v>
      </c>
      <c r="B42" s="452">
        <v>902</v>
      </c>
      <c r="C42" s="454" t="s">
        <v>118</v>
      </c>
      <c r="D42" s="454" t="s">
        <v>213</v>
      </c>
      <c r="E42" s="454" t="s">
        <v>862</v>
      </c>
      <c r="F42" s="454" t="s">
        <v>128</v>
      </c>
      <c r="G42" s="459">
        <f>G43</f>
        <v>0</v>
      </c>
      <c r="H42" s="459">
        <f>G42</f>
        <v>0</v>
      </c>
      <c r="I42" s="201"/>
    </row>
    <row r="43" spans="1:9" ht="31.5" hidden="1" x14ac:dyDescent="0.25">
      <c r="A43" s="458" t="s">
        <v>129</v>
      </c>
      <c r="B43" s="452">
        <v>902</v>
      </c>
      <c r="C43" s="454" t="s">
        <v>118</v>
      </c>
      <c r="D43" s="454" t="s">
        <v>213</v>
      </c>
      <c r="E43" s="454" t="s">
        <v>862</v>
      </c>
      <c r="F43" s="454" t="s">
        <v>130</v>
      </c>
      <c r="G43" s="459">
        <f>42-42</f>
        <v>0</v>
      </c>
      <c r="H43" s="459">
        <f>G43</f>
        <v>0</v>
      </c>
      <c r="I43" s="201"/>
    </row>
    <row r="44" spans="1:9" ht="47.25" x14ac:dyDescent="0.25">
      <c r="A44" s="456" t="s">
        <v>1367</v>
      </c>
      <c r="B44" s="453">
        <v>902</v>
      </c>
      <c r="C44" s="457" t="s">
        <v>118</v>
      </c>
      <c r="D44" s="457" t="s">
        <v>213</v>
      </c>
      <c r="E44" s="457" t="s">
        <v>162</v>
      </c>
      <c r="F44" s="457"/>
      <c r="G44" s="455">
        <f>G45</f>
        <v>40.5</v>
      </c>
      <c r="H44" s="455">
        <f>H45</f>
        <v>40.5</v>
      </c>
      <c r="I44" s="201"/>
    </row>
    <row r="45" spans="1:9" ht="63" x14ac:dyDescent="0.25">
      <c r="A45" s="215" t="s">
        <v>843</v>
      </c>
      <c r="B45" s="453">
        <v>902</v>
      </c>
      <c r="C45" s="457" t="s">
        <v>118</v>
      </c>
      <c r="D45" s="457" t="s">
        <v>213</v>
      </c>
      <c r="E45" s="7" t="s">
        <v>850</v>
      </c>
      <c r="F45" s="457"/>
      <c r="G45" s="455">
        <f>G46+G49</f>
        <v>40.5</v>
      </c>
      <c r="H45" s="455">
        <f>H46+H49</f>
        <v>40.5</v>
      </c>
      <c r="I45" s="201"/>
    </row>
    <row r="46" spans="1:9" ht="47.25" x14ac:dyDescent="0.25">
      <c r="A46" s="31" t="s">
        <v>1095</v>
      </c>
      <c r="B46" s="452">
        <v>902</v>
      </c>
      <c r="C46" s="454" t="s">
        <v>118</v>
      </c>
      <c r="D46" s="454" t="s">
        <v>213</v>
      </c>
      <c r="E46" s="461" t="s">
        <v>993</v>
      </c>
      <c r="F46" s="454"/>
      <c r="G46" s="459">
        <f>G47</f>
        <v>40.5</v>
      </c>
      <c r="H46" s="459">
        <f>H47</f>
        <v>40.5</v>
      </c>
      <c r="I46" s="201"/>
    </row>
    <row r="47" spans="1:9" ht="31.5" x14ac:dyDescent="0.25">
      <c r="A47" s="458" t="s">
        <v>131</v>
      </c>
      <c r="B47" s="452">
        <v>902</v>
      </c>
      <c r="C47" s="454" t="s">
        <v>118</v>
      </c>
      <c r="D47" s="454" t="s">
        <v>213</v>
      </c>
      <c r="E47" s="461" t="s">
        <v>993</v>
      </c>
      <c r="F47" s="454" t="s">
        <v>132</v>
      </c>
      <c r="G47" s="459">
        <f>G48</f>
        <v>40.5</v>
      </c>
      <c r="H47" s="459">
        <f>H48</f>
        <v>40.5</v>
      </c>
      <c r="I47" s="201"/>
    </row>
    <row r="48" spans="1:9" ht="31.5" x14ac:dyDescent="0.25">
      <c r="A48" s="458" t="s">
        <v>133</v>
      </c>
      <c r="B48" s="452">
        <v>902</v>
      </c>
      <c r="C48" s="454" t="s">
        <v>118</v>
      </c>
      <c r="D48" s="454" t="s">
        <v>213</v>
      </c>
      <c r="E48" s="461" t="s">
        <v>696</v>
      </c>
      <c r="F48" s="454" t="s">
        <v>134</v>
      </c>
      <c r="G48" s="459">
        <f>0.5+40</f>
        <v>40.5</v>
      </c>
      <c r="H48" s="459">
        <f>G48</f>
        <v>40.5</v>
      </c>
      <c r="I48" s="201"/>
    </row>
    <row r="49" spans="1:9" ht="47.25" hidden="1" x14ac:dyDescent="0.25">
      <c r="A49" s="31" t="s">
        <v>695</v>
      </c>
      <c r="B49" s="452">
        <v>902</v>
      </c>
      <c r="C49" s="454" t="s">
        <v>118</v>
      </c>
      <c r="D49" s="454" t="s">
        <v>213</v>
      </c>
      <c r="E49" s="454" t="s">
        <v>992</v>
      </c>
      <c r="F49" s="454"/>
      <c r="G49" s="459">
        <f>G50</f>
        <v>0</v>
      </c>
      <c r="H49" s="459">
        <f>H50</f>
        <v>0</v>
      </c>
      <c r="I49" s="201"/>
    </row>
    <row r="50" spans="1:9" ht="31.5" hidden="1" x14ac:dyDescent="0.25">
      <c r="A50" s="458" t="s">
        <v>131</v>
      </c>
      <c r="B50" s="452">
        <v>902</v>
      </c>
      <c r="C50" s="454" t="s">
        <v>118</v>
      </c>
      <c r="D50" s="454" t="s">
        <v>213</v>
      </c>
      <c r="E50" s="454" t="s">
        <v>992</v>
      </c>
      <c r="F50" s="454" t="s">
        <v>132</v>
      </c>
      <c r="G50" s="459">
        <f>G51</f>
        <v>0</v>
      </c>
      <c r="H50" s="459">
        <f>H51</f>
        <v>0</v>
      </c>
      <c r="I50" s="201"/>
    </row>
    <row r="51" spans="1:9" ht="31.5" hidden="1" x14ac:dyDescent="0.25">
      <c r="A51" s="458" t="s">
        <v>133</v>
      </c>
      <c r="B51" s="452">
        <v>902</v>
      </c>
      <c r="C51" s="454" t="s">
        <v>118</v>
      </c>
      <c r="D51" s="454" t="s">
        <v>213</v>
      </c>
      <c r="E51" s="454" t="s">
        <v>992</v>
      </c>
      <c r="F51" s="454" t="s">
        <v>134</v>
      </c>
      <c r="G51" s="459"/>
      <c r="H51" s="459"/>
      <c r="I51" s="201"/>
    </row>
    <row r="52" spans="1:9" ht="63" x14ac:dyDescent="0.25">
      <c r="A52" s="456" t="s">
        <v>149</v>
      </c>
      <c r="B52" s="453">
        <v>902</v>
      </c>
      <c r="C52" s="457" t="s">
        <v>118</v>
      </c>
      <c r="D52" s="457" t="s">
        <v>150</v>
      </c>
      <c r="E52" s="457"/>
      <c r="F52" s="457"/>
      <c r="G52" s="455">
        <f>G53+G89</f>
        <v>44810.21</v>
      </c>
      <c r="H52" s="455">
        <f>H53+H89</f>
        <v>31621.519999999997</v>
      </c>
      <c r="I52" s="201"/>
    </row>
    <row r="53" spans="1:9" ht="31.5" x14ac:dyDescent="0.25">
      <c r="A53" s="456" t="s">
        <v>917</v>
      </c>
      <c r="B53" s="453">
        <v>902</v>
      </c>
      <c r="C53" s="457" t="s">
        <v>118</v>
      </c>
      <c r="D53" s="457" t="s">
        <v>150</v>
      </c>
      <c r="E53" s="457" t="s">
        <v>858</v>
      </c>
      <c r="F53" s="457"/>
      <c r="G53" s="44">
        <f>G54+G70</f>
        <v>44126.71</v>
      </c>
      <c r="H53" s="44">
        <f>H54+H70</f>
        <v>30938.019999999997</v>
      </c>
      <c r="I53" s="201"/>
    </row>
    <row r="54" spans="1:9" ht="15.75" x14ac:dyDescent="0.25">
      <c r="A54" s="456" t="s">
        <v>918</v>
      </c>
      <c r="B54" s="453">
        <v>902</v>
      </c>
      <c r="C54" s="457" t="s">
        <v>118</v>
      </c>
      <c r="D54" s="457" t="s">
        <v>150</v>
      </c>
      <c r="E54" s="457" t="s">
        <v>859</v>
      </c>
      <c r="F54" s="457"/>
      <c r="G54" s="44">
        <f>G55+G64+G67</f>
        <v>40818.11</v>
      </c>
      <c r="H54" s="44">
        <f>H55+H64+H67</f>
        <v>27844.92</v>
      </c>
      <c r="I54" s="201"/>
    </row>
    <row r="55" spans="1:9" ht="31.5" x14ac:dyDescent="0.25">
      <c r="A55" s="458" t="s">
        <v>897</v>
      </c>
      <c r="B55" s="452">
        <v>902</v>
      </c>
      <c r="C55" s="454" t="s">
        <v>118</v>
      </c>
      <c r="D55" s="454" t="s">
        <v>150</v>
      </c>
      <c r="E55" s="454" t="s">
        <v>860</v>
      </c>
      <c r="F55" s="454"/>
      <c r="G55" s="459">
        <f>G56+G58+G60+G62</f>
        <v>37155.71</v>
      </c>
      <c r="H55" s="459">
        <f>H56+H58+H60+H62</f>
        <v>24182.519999999997</v>
      </c>
      <c r="I55" s="201"/>
    </row>
    <row r="56" spans="1:9" ht="78.75" x14ac:dyDescent="0.25">
      <c r="A56" s="458" t="s">
        <v>127</v>
      </c>
      <c r="B56" s="452">
        <v>902</v>
      </c>
      <c r="C56" s="454" t="s">
        <v>118</v>
      </c>
      <c r="D56" s="454" t="s">
        <v>150</v>
      </c>
      <c r="E56" s="454" t="s">
        <v>860</v>
      </c>
      <c r="F56" s="454" t="s">
        <v>128</v>
      </c>
      <c r="G56" s="459">
        <f>G57</f>
        <v>31521.309999999998</v>
      </c>
      <c r="H56" s="459">
        <f>H57</f>
        <v>18548.12</v>
      </c>
      <c r="I56" s="201"/>
    </row>
    <row r="57" spans="1:9" ht="31.5" x14ac:dyDescent="0.25">
      <c r="A57" s="458" t="s">
        <v>129</v>
      </c>
      <c r="B57" s="452">
        <v>902</v>
      </c>
      <c r="C57" s="454" t="s">
        <v>118</v>
      </c>
      <c r="D57" s="454" t="s">
        <v>150</v>
      </c>
      <c r="E57" s="454" t="s">
        <v>860</v>
      </c>
      <c r="F57" s="454" t="s">
        <v>130</v>
      </c>
      <c r="G57" s="459">
        <f>44000-G9</f>
        <v>31521.309999999998</v>
      </c>
      <c r="H57" s="459">
        <f>44000-H9</f>
        <v>18548.12</v>
      </c>
      <c r="I57" s="201"/>
    </row>
    <row r="58" spans="1:9" ht="31.5" x14ac:dyDescent="0.25">
      <c r="A58" s="458" t="s">
        <v>131</v>
      </c>
      <c r="B58" s="452">
        <v>902</v>
      </c>
      <c r="C58" s="454" t="s">
        <v>118</v>
      </c>
      <c r="D58" s="454" t="s">
        <v>150</v>
      </c>
      <c r="E58" s="454" t="s">
        <v>860</v>
      </c>
      <c r="F58" s="454" t="s">
        <v>132</v>
      </c>
      <c r="G58" s="459">
        <f>G59</f>
        <v>5559.4</v>
      </c>
      <c r="H58" s="459">
        <f>H59</f>
        <v>5559.4</v>
      </c>
      <c r="I58" s="201"/>
    </row>
    <row r="59" spans="1:9" ht="31.5" x14ac:dyDescent="0.25">
      <c r="A59" s="458" t="s">
        <v>133</v>
      </c>
      <c r="B59" s="452">
        <v>902</v>
      </c>
      <c r="C59" s="454" t="s">
        <v>118</v>
      </c>
      <c r="D59" s="454" t="s">
        <v>150</v>
      </c>
      <c r="E59" s="454" t="s">
        <v>860</v>
      </c>
      <c r="F59" s="454" t="s">
        <v>134</v>
      </c>
      <c r="G59" s="459">
        <v>5559.4</v>
      </c>
      <c r="H59" s="459">
        <f>G59</f>
        <v>5559.4</v>
      </c>
      <c r="I59" s="201"/>
    </row>
    <row r="60" spans="1:9" ht="31.5" hidden="1" x14ac:dyDescent="0.25">
      <c r="A60" s="458" t="s">
        <v>248</v>
      </c>
      <c r="B60" s="452">
        <v>902</v>
      </c>
      <c r="C60" s="454" t="s">
        <v>118</v>
      </c>
      <c r="D60" s="454" t="s">
        <v>150</v>
      </c>
      <c r="E60" s="454" t="s">
        <v>860</v>
      </c>
      <c r="F60" s="454" t="s">
        <v>249</v>
      </c>
      <c r="G60" s="459">
        <f>G61</f>
        <v>0</v>
      </c>
      <c r="H60" s="459">
        <f>H61</f>
        <v>0</v>
      </c>
      <c r="I60" s="201"/>
    </row>
    <row r="61" spans="1:9" ht="31.5" hidden="1" x14ac:dyDescent="0.25">
      <c r="A61" s="458" t="s">
        <v>250</v>
      </c>
      <c r="B61" s="452">
        <v>902</v>
      </c>
      <c r="C61" s="454" t="s">
        <v>118</v>
      </c>
      <c r="D61" s="454" t="s">
        <v>150</v>
      </c>
      <c r="E61" s="454" t="s">
        <v>860</v>
      </c>
      <c r="F61" s="454" t="s">
        <v>251</v>
      </c>
      <c r="G61" s="459">
        <v>0</v>
      </c>
      <c r="H61" s="459">
        <f t="shared" si="1"/>
        <v>0</v>
      </c>
      <c r="I61" s="201"/>
    </row>
    <row r="62" spans="1:9" ht="15.75" x14ac:dyDescent="0.25">
      <c r="A62" s="458" t="s">
        <v>135</v>
      </c>
      <c r="B62" s="452">
        <v>902</v>
      </c>
      <c r="C62" s="454" t="s">
        <v>118</v>
      </c>
      <c r="D62" s="454" t="s">
        <v>150</v>
      </c>
      <c r="E62" s="454" t="s">
        <v>860</v>
      </c>
      <c r="F62" s="454" t="s">
        <v>145</v>
      </c>
      <c r="G62" s="459">
        <f>G63</f>
        <v>75</v>
      </c>
      <c r="H62" s="459">
        <f>H63</f>
        <v>75</v>
      </c>
      <c r="I62" s="201"/>
    </row>
    <row r="63" spans="1:9" ht="15.75" x14ac:dyDescent="0.25">
      <c r="A63" s="458" t="s">
        <v>568</v>
      </c>
      <c r="B63" s="452">
        <v>902</v>
      </c>
      <c r="C63" s="454" t="s">
        <v>118</v>
      </c>
      <c r="D63" s="454" t="s">
        <v>150</v>
      </c>
      <c r="E63" s="454" t="s">
        <v>860</v>
      </c>
      <c r="F63" s="454" t="s">
        <v>138</v>
      </c>
      <c r="G63" s="459">
        <v>75</v>
      </c>
      <c r="H63" s="459">
        <f t="shared" si="1"/>
        <v>75</v>
      </c>
      <c r="I63" s="201"/>
    </row>
    <row r="64" spans="1:9" ht="31.5" x14ac:dyDescent="0.25">
      <c r="A64" s="458" t="s">
        <v>840</v>
      </c>
      <c r="B64" s="452">
        <v>902</v>
      </c>
      <c r="C64" s="454" t="s">
        <v>118</v>
      </c>
      <c r="D64" s="454" t="s">
        <v>150</v>
      </c>
      <c r="E64" s="454" t="s">
        <v>861</v>
      </c>
      <c r="F64" s="454"/>
      <c r="G64" s="459">
        <f>G65</f>
        <v>2071.4</v>
      </c>
      <c r="H64" s="459">
        <f t="shared" si="1"/>
        <v>2071.4</v>
      </c>
      <c r="I64" s="201"/>
    </row>
    <row r="65" spans="1:9" ht="78.75" x14ac:dyDescent="0.25">
      <c r="A65" s="458" t="s">
        <v>127</v>
      </c>
      <c r="B65" s="452">
        <v>902</v>
      </c>
      <c r="C65" s="454" t="s">
        <v>118</v>
      </c>
      <c r="D65" s="454" t="s">
        <v>150</v>
      </c>
      <c r="E65" s="454" t="s">
        <v>861</v>
      </c>
      <c r="F65" s="454" t="s">
        <v>128</v>
      </c>
      <c r="G65" s="459">
        <f>G66</f>
        <v>2071.4</v>
      </c>
      <c r="H65" s="459">
        <f>H66</f>
        <v>2071.4</v>
      </c>
      <c r="I65" s="201"/>
    </row>
    <row r="66" spans="1:9" ht="31.5" x14ac:dyDescent="0.25">
      <c r="A66" s="458" t="s">
        <v>129</v>
      </c>
      <c r="B66" s="452">
        <v>902</v>
      </c>
      <c r="C66" s="454" t="s">
        <v>118</v>
      </c>
      <c r="D66" s="454" t="s">
        <v>150</v>
      </c>
      <c r="E66" s="454" t="s">
        <v>861</v>
      </c>
      <c r="F66" s="454" t="s">
        <v>130</v>
      </c>
      <c r="G66" s="459">
        <v>2071.4</v>
      </c>
      <c r="H66" s="459">
        <f t="shared" si="1"/>
        <v>2071.4</v>
      </c>
      <c r="I66" s="201"/>
    </row>
    <row r="67" spans="1:9" ht="47.25" x14ac:dyDescent="0.25">
      <c r="A67" s="458" t="s">
        <v>839</v>
      </c>
      <c r="B67" s="452">
        <v>902</v>
      </c>
      <c r="C67" s="454" t="s">
        <v>118</v>
      </c>
      <c r="D67" s="454" t="s">
        <v>150</v>
      </c>
      <c r="E67" s="454" t="s">
        <v>862</v>
      </c>
      <c r="F67" s="454"/>
      <c r="G67" s="459">
        <f>G68</f>
        <v>1591</v>
      </c>
      <c r="H67" s="459">
        <f>H68</f>
        <v>1591</v>
      </c>
      <c r="I67" s="201"/>
    </row>
    <row r="68" spans="1:9" ht="78.75" x14ac:dyDescent="0.25">
      <c r="A68" s="458" t="s">
        <v>127</v>
      </c>
      <c r="B68" s="452">
        <v>902</v>
      </c>
      <c r="C68" s="454" t="s">
        <v>118</v>
      </c>
      <c r="D68" s="454" t="s">
        <v>150</v>
      </c>
      <c r="E68" s="454" t="s">
        <v>862</v>
      </c>
      <c r="F68" s="454" t="s">
        <v>128</v>
      </c>
      <c r="G68" s="459">
        <f>G69</f>
        <v>1591</v>
      </c>
      <c r="H68" s="459">
        <f>H69</f>
        <v>1591</v>
      </c>
      <c r="I68" s="201"/>
    </row>
    <row r="69" spans="1:9" ht="31.5" x14ac:dyDescent="0.25">
      <c r="A69" s="458" t="s">
        <v>129</v>
      </c>
      <c r="B69" s="452">
        <v>902</v>
      </c>
      <c r="C69" s="454" t="s">
        <v>118</v>
      </c>
      <c r="D69" s="454" t="s">
        <v>150</v>
      </c>
      <c r="E69" s="454" t="s">
        <v>862</v>
      </c>
      <c r="F69" s="454" t="s">
        <v>130</v>
      </c>
      <c r="G69" s="459">
        <v>1591</v>
      </c>
      <c r="H69" s="459">
        <f t="shared" si="1"/>
        <v>1591</v>
      </c>
      <c r="I69" s="201"/>
    </row>
    <row r="70" spans="1:9" ht="31.5" x14ac:dyDescent="0.25">
      <c r="A70" s="456" t="s">
        <v>885</v>
      </c>
      <c r="B70" s="453">
        <v>902</v>
      </c>
      <c r="C70" s="457" t="s">
        <v>118</v>
      </c>
      <c r="D70" s="457" t="s">
        <v>150</v>
      </c>
      <c r="E70" s="457" t="s">
        <v>863</v>
      </c>
      <c r="F70" s="457"/>
      <c r="G70" s="455">
        <f>G71+G74+G79+G84</f>
        <v>3308.6</v>
      </c>
      <c r="H70" s="455">
        <f>H71+H74+H79+H84</f>
        <v>3093.1</v>
      </c>
      <c r="I70" s="201"/>
    </row>
    <row r="71" spans="1:9" ht="47.25" hidden="1" x14ac:dyDescent="0.25">
      <c r="A71" s="458" t="s">
        <v>779</v>
      </c>
      <c r="B71" s="452">
        <v>902</v>
      </c>
      <c r="C71" s="454" t="s">
        <v>118</v>
      </c>
      <c r="D71" s="454" t="s">
        <v>150</v>
      </c>
      <c r="E71" s="454" t="s">
        <v>919</v>
      </c>
      <c r="F71" s="457"/>
      <c r="G71" s="459">
        <f>G72</f>
        <v>0</v>
      </c>
      <c r="H71" s="459">
        <f>H72</f>
        <v>0</v>
      </c>
      <c r="I71" s="201"/>
    </row>
    <row r="72" spans="1:9" ht="31.5" hidden="1" x14ac:dyDescent="0.25">
      <c r="A72" s="458" t="s">
        <v>131</v>
      </c>
      <c r="B72" s="452">
        <v>902</v>
      </c>
      <c r="C72" s="454" t="s">
        <v>118</v>
      </c>
      <c r="D72" s="454" t="s">
        <v>150</v>
      </c>
      <c r="E72" s="454" t="s">
        <v>919</v>
      </c>
      <c r="F72" s="454" t="s">
        <v>132</v>
      </c>
      <c r="G72" s="459">
        <f>G73</f>
        <v>0</v>
      </c>
      <c r="H72" s="459">
        <f>H73</f>
        <v>0</v>
      </c>
      <c r="I72" s="201"/>
    </row>
    <row r="73" spans="1:9" ht="31.5" hidden="1" x14ac:dyDescent="0.25">
      <c r="A73" s="458" t="s">
        <v>133</v>
      </c>
      <c r="B73" s="452">
        <v>902</v>
      </c>
      <c r="C73" s="454" t="s">
        <v>118</v>
      </c>
      <c r="D73" s="454" t="s">
        <v>150</v>
      </c>
      <c r="E73" s="454" t="s">
        <v>919</v>
      </c>
      <c r="F73" s="454" t="s">
        <v>134</v>
      </c>
      <c r="G73" s="367">
        <v>0</v>
      </c>
      <c r="H73" s="367">
        <v>0</v>
      </c>
      <c r="I73" s="201"/>
    </row>
    <row r="74" spans="1:9" ht="47.25" x14ac:dyDescent="0.25">
      <c r="A74" s="31" t="s">
        <v>189</v>
      </c>
      <c r="B74" s="452">
        <v>902</v>
      </c>
      <c r="C74" s="454" t="s">
        <v>118</v>
      </c>
      <c r="D74" s="454" t="s">
        <v>150</v>
      </c>
      <c r="E74" s="454" t="s">
        <v>920</v>
      </c>
      <c r="F74" s="454"/>
      <c r="G74" s="459">
        <f>G75+G77</f>
        <v>563.20000000000005</v>
      </c>
      <c r="H74" s="459">
        <f>H75+H77</f>
        <v>347.7</v>
      </c>
      <c r="I74" s="201"/>
    </row>
    <row r="75" spans="1:9" ht="78.75" x14ac:dyDescent="0.25">
      <c r="A75" s="458" t="s">
        <v>127</v>
      </c>
      <c r="B75" s="452">
        <v>902</v>
      </c>
      <c r="C75" s="454" t="s">
        <v>118</v>
      </c>
      <c r="D75" s="454" t="s">
        <v>150</v>
      </c>
      <c r="E75" s="454" t="s">
        <v>920</v>
      </c>
      <c r="F75" s="454" t="s">
        <v>128</v>
      </c>
      <c r="G75" s="459">
        <f>G76</f>
        <v>563.20000000000005</v>
      </c>
      <c r="H75" s="459">
        <f>H76</f>
        <v>347.7</v>
      </c>
      <c r="I75" s="201"/>
    </row>
    <row r="76" spans="1:9" ht="31.5" x14ac:dyDescent="0.25">
      <c r="A76" s="458" t="s">
        <v>129</v>
      </c>
      <c r="B76" s="452">
        <v>902</v>
      </c>
      <c r="C76" s="454" t="s">
        <v>118</v>
      </c>
      <c r="D76" s="454" t="s">
        <v>150</v>
      </c>
      <c r="E76" s="454" t="s">
        <v>920</v>
      </c>
      <c r="F76" s="454" t="s">
        <v>130</v>
      </c>
      <c r="G76" s="459">
        <v>563.20000000000005</v>
      </c>
      <c r="H76" s="459">
        <v>347.7</v>
      </c>
      <c r="I76" s="201"/>
    </row>
    <row r="77" spans="1:9" ht="31.5" hidden="1" x14ac:dyDescent="0.25">
      <c r="A77" s="458" t="s">
        <v>131</v>
      </c>
      <c r="B77" s="452">
        <v>902</v>
      </c>
      <c r="C77" s="454" t="s">
        <v>118</v>
      </c>
      <c r="D77" s="454" t="s">
        <v>150</v>
      </c>
      <c r="E77" s="454" t="s">
        <v>920</v>
      </c>
      <c r="F77" s="454" t="s">
        <v>132</v>
      </c>
      <c r="G77" s="459">
        <f>G78</f>
        <v>0</v>
      </c>
      <c r="H77" s="459">
        <f>H78</f>
        <v>0</v>
      </c>
      <c r="I77" s="201"/>
    </row>
    <row r="78" spans="1:9" ht="31.5" hidden="1" x14ac:dyDescent="0.25">
      <c r="A78" s="458" t="s">
        <v>133</v>
      </c>
      <c r="B78" s="452">
        <v>902</v>
      </c>
      <c r="C78" s="454" t="s">
        <v>118</v>
      </c>
      <c r="D78" s="454" t="s">
        <v>150</v>
      </c>
      <c r="E78" s="454" t="s">
        <v>920</v>
      </c>
      <c r="F78" s="454" t="s">
        <v>134</v>
      </c>
      <c r="G78" s="367">
        <v>0</v>
      </c>
      <c r="H78" s="367">
        <v>0</v>
      </c>
      <c r="I78" s="201"/>
    </row>
    <row r="79" spans="1:9" ht="47.25" x14ac:dyDescent="0.25">
      <c r="A79" s="31" t="s">
        <v>194</v>
      </c>
      <c r="B79" s="452">
        <v>902</v>
      </c>
      <c r="C79" s="454" t="s">
        <v>118</v>
      </c>
      <c r="D79" s="454" t="s">
        <v>150</v>
      </c>
      <c r="E79" s="454" t="s">
        <v>1028</v>
      </c>
      <c r="F79" s="454"/>
      <c r="G79" s="459">
        <f>G80+G82</f>
        <v>1411.1</v>
      </c>
      <c r="H79" s="459">
        <f>H80+H82</f>
        <v>1411.1</v>
      </c>
      <c r="I79" s="201"/>
    </row>
    <row r="80" spans="1:9" ht="78.75" x14ac:dyDescent="0.25">
      <c r="A80" s="458" t="s">
        <v>127</v>
      </c>
      <c r="B80" s="452">
        <v>902</v>
      </c>
      <c r="C80" s="454" t="s">
        <v>118</v>
      </c>
      <c r="D80" s="454" t="s">
        <v>150</v>
      </c>
      <c r="E80" s="454" t="s">
        <v>1028</v>
      </c>
      <c r="F80" s="454" t="s">
        <v>128</v>
      </c>
      <c r="G80" s="459">
        <f>G81</f>
        <v>1372.1</v>
      </c>
      <c r="H80" s="459">
        <f>H81</f>
        <v>1372.1</v>
      </c>
      <c r="I80" s="201"/>
    </row>
    <row r="81" spans="1:9" ht="31.5" x14ac:dyDescent="0.25">
      <c r="A81" s="458" t="s">
        <v>129</v>
      </c>
      <c r="B81" s="452">
        <v>902</v>
      </c>
      <c r="C81" s="454" t="s">
        <v>118</v>
      </c>
      <c r="D81" s="454" t="s">
        <v>150</v>
      </c>
      <c r="E81" s="454" t="s">
        <v>1028</v>
      </c>
      <c r="F81" s="454" t="s">
        <v>130</v>
      </c>
      <c r="G81" s="459">
        <f>1372.1</f>
        <v>1372.1</v>
      </c>
      <c r="H81" s="459">
        <f t="shared" si="1"/>
        <v>1372.1</v>
      </c>
      <c r="I81" s="201"/>
    </row>
    <row r="82" spans="1:9" ht="31.5" x14ac:dyDescent="0.25">
      <c r="A82" s="458" t="s">
        <v>131</v>
      </c>
      <c r="B82" s="452">
        <v>902</v>
      </c>
      <c r="C82" s="454" t="s">
        <v>118</v>
      </c>
      <c r="D82" s="454" t="s">
        <v>150</v>
      </c>
      <c r="E82" s="454" t="s">
        <v>1028</v>
      </c>
      <c r="F82" s="454" t="s">
        <v>132</v>
      </c>
      <c r="G82" s="459">
        <f>G83</f>
        <v>39</v>
      </c>
      <c r="H82" s="459">
        <f>H83</f>
        <v>39</v>
      </c>
      <c r="I82" s="201"/>
    </row>
    <row r="83" spans="1:9" ht="31.5" x14ac:dyDescent="0.25">
      <c r="A83" s="458" t="s">
        <v>133</v>
      </c>
      <c r="B83" s="452">
        <v>902</v>
      </c>
      <c r="C83" s="454" t="s">
        <v>118</v>
      </c>
      <c r="D83" s="454" t="s">
        <v>150</v>
      </c>
      <c r="E83" s="454" t="s">
        <v>1028</v>
      </c>
      <c r="F83" s="454" t="s">
        <v>134</v>
      </c>
      <c r="G83" s="459">
        <f>61.2-19.5-2.7</f>
        <v>39</v>
      </c>
      <c r="H83" s="459">
        <f t="shared" si="1"/>
        <v>39</v>
      </c>
      <c r="I83" s="201"/>
    </row>
    <row r="84" spans="1:9" ht="47.25" x14ac:dyDescent="0.25">
      <c r="A84" s="31" t="s">
        <v>196</v>
      </c>
      <c r="B84" s="452">
        <v>902</v>
      </c>
      <c r="C84" s="454" t="s">
        <v>118</v>
      </c>
      <c r="D84" s="454" t="s">
        <v>150</v>
      </c>
      <c r="E84" s="454" t="s">
        <v>921</v>
      </c>
      <c r="F84" s="454"/>
      <c r="G84" s="459">
        <f>G85+G87</f>
        <v>1334.3</v>
      </c>
      <c r="H84" s="459">
        <f>H85+H87</f>
        <v>1334.3</v>
      </c>
      <c r="I84" s="201"/>
    </row>
    <row r="85" spans="1:9" ht="78.75" x14ac:dyDescent="0.25">
      <c r="A85" s="458" t="s">
        <v>127</v>
      </c>
      <c r="B85" s="452">
        <v>902</v>
      </c>
      <c r="C85" s="454" t="s">
        <v>118</v>
      </c>
      <c r="D85" s="454" t="s">
        <v>150</v>
      </c>
      <c r="E85" s="454" t="s">
        <v>921</v>
      </c>
      <c r="F85" s="454" t="s">
        <v>128</v>
      </c>
      <c r="G85" s="459">
        <f>G86</f>
        <v>1300.3</v>
      </c>
      <c r="H85" s="459">
        <f>H86</f>
        <v>1300.3</v>
      </c>
      <c r="I85" s="201"/>
    </row>
    <row r="86" spans="1:9" ht="31.5" x14ac:dyDescent="0.25">
      <c r="A86" s="458" t="s">
        <v>129</v>
      </c>
      <c r="B86" s="452">
        <v>902</v>
      </c>
      <c r="C86" s="454" t="s">
        <v>118</v>
      </c>
      <c r="D86" s="454" t="s">
        <v>150</v>
      </c>
      <c r="E86" s="454" t="s">
        <v>921</v>
      </c>
      <c r="F86" s="454" t="s">
        <v>130</v>
      </c>
      <c r="G86" s="459">
        <v>1300.3</v>
      </c>
      <c r="H86" s="459">
        <f t="shared" si="1"/>
        <v>1300.3</v>
      </c>
      <c r="I86" s="201"/>
    </row>
    <row r="87" spans="1:9" ht="31.5" x14ac:dyDescent="0.25">
      <c r="A87" s="458" t="s">
        <v>198</v>
      </c>
      <c r="B87" s="452">
        <v>902</v>
      </c>
      <c r="C87" s="454" t="s">
        <v>118</v>
      </c>
      <c r="D87" s="454" t="s">
        <v>150</v>
      </c>
      <c r="E87" s="454" t="s">
        <v>921</v>
      </c>
      <c r="F87" s="454" t="s">
        <v>132</v>
      </c>
      <c r="G87" s="459">
        <f>G88</f>
        <v>34</v>
      </c>
      <c r="H87" s="459">
        <f>H88</f>
        <v>34</v>
      </c>
      <c r="I87" s="201"/>
    </row>
    <row r="88" spans="1:9" ht="31.5" x14ac:dyDescent="0.25">
      <c r="A88" s="458" t="s">
        <v>133</v>
      </c>
      <c r="B88" s="452">
        <v>902</v>
      </c>
      <c r="C88" s="454" t="s">
        <v>118</v>
      </c>
      <c r="D88" s="454" t="s">
        <v>150</v>
      </c>
      <c r="E88" s="454" t="s">
        <v>921</v>
      </c>
      <c r="F88" s="454" t="s">
        <v>134</v>
      </c>
      <c r="G88" s="459">
        <v>34</v>
      </c>
      <c r="H88" s="459">
        <f t="shared" si="1"/>
        <v>34</v>
      </c>
      <c r="I88" s="201"/>
    </row>
    <row r="89" spans="1:9" ht="47.25" x14ac:dyDescent="0.25">
      <c r="A89" s="456" t="s">
        <v>1367</v>
      </c>
      <c r="B89" s="453">
        <v>902</v>
      </c>
      <c r="C89" s="457" t="s">
        <v>118</v>
      </c>
      <c r="D89" s="457" t="s">
        <v>150</v>
      </c>
      <c r="E89" s="457" t="s">
        <v>162</v>
      </c>
      <c r="F89" s="457"/>
      <c r="G89" s="455">
        <f>G90+G94+G106</f>
        <v>683.5</v>
      </c>
      <c r="H89" s="455">
        <f>H90+H94+H106</f>
        <v>683.5</v>
      </c>
      <c r="I89" s="201"/>
    </row>
    <row r="90" spans="1:9" ht="63" x14ac:dyDescent="0.25">
      <c r="A90" s="289" t="s">
        <v>1342</v>
      </c>
      <c r="B90" s="453">
        <v>902</v>
      </c>
      <c r="C90" s="457" t="s">
        <v>118</v>
      </c>
      <c r="D90" s="457" t="s">
        <v>150</v>
      </c>
      <c r="E90" s="7" t="s">
        <v>849</v>
      </c>
      <c r="F90" s="457"/>
      <c r="G90" s="455">
        <f t="shared" ref="G90:H92" si="3">G91</f>
        <v>606</v>
      </c>
      <c r="H90" s="455">
        <f t="shared" si="3"/>
        <v>606</v>
      </c>
      <c r="I90" s="201"/>
    </row>
    <row r="91" spans="1:9" ht="47.25" x14ac:dyDescent="0.25">
      <c r="A91" s="29" t="s">
        <v>1309</v>
      </c>
      <c r="B91" s="452">
        <v>902</v>
      </c>
      <c r="C91" s="454" t="s">
        <v>118</v>
      </c>
      <c r="D91" s="454" t="s">
        <v>150</v>
      </c>
      <c r="E91" s="461" t="s">
        <v>841</v>
      </c>
      <c r="F91" s="454"/>
      <c r="G91" s="459">
        <f t="shared" si="3"/>
        <v>606</v>
      </c>
      <c r="H91" s="459">
        <f t="shared" si="3"/>
        <v>606</v>
      </c>
      <c r="I91" s="201"/>
    </row>
    <row r="92" spans="1:9" ht="31.5" x14ac:dyDescent="0.25">
      <c r="A92" s="458" t="s">
        <v>131</v>
      </c>
      <c r="B92" s="452">
        <v>902</v>
      </c>
      <c r="C92" s="454" t="s">
        <v>118</v>
      </c>
      <c r="D92" s="454" t="s">
        <v>150</v>
      </c>
      <c r="E92" s="461" t="s">
        <v>841</v>
      </c>
      <c r="F92" s="454" t="s">
        <v>132</v>
      </c>
      <c r="G92" s="459">
        <f t="shared" si="3"/>
        <v>606</v>
      </c>
      <c r="H92" s="459">
        <f t="shared" si="3"/>
        <v>606</v>
      </c>
      <c r="I92" s="201"/>
    </row>
    <row r="93" spans="1:9" ht="31.5" x14ac:dyDescent="0.25">
      <c r="A93" s="458" t="s">
        <v>133</v>
      </c>
      <c r="B93" s="452">
        <v>902</v>
      </c>
      <c r="C93" s="454" t="s">
        <v>118</v>
      </c>
      <c r="D93" s="454" t="s">
        <v>150</v>
      </c>
      <c r="E93" s="461" t="s">
        <v>841</v>
      </c>
      <c r="F93" s="454" t="s">
        <v>134</v>
      </c>
      <c r="G93" s="459">
        <v>606</v>
      </c>
      <c r="H93" s="459">
        <f t="shared" si="1"/>
        <v>606</v>
      </c>
      <c r="I93" s="201"/>
    </row>
    <row r="94" spans="1:9" ht="63" x14ac:dyDescent="0.25">
      <c r="A94" s="215" t="s">
        <v>843</v>
      </c>
      <c r="B94" s="453">
        <v>902</v>
      </c>
      <c r="C94" s="457" t="s">
        <v>118</v>
      </c>
      <c r="D94" s="457" t="s">
        <v>150</v>
      </c>
      <c r="E94" s="7" t="s">
        <v>850</v>
      </c>
      <c r="F94" s="457"/>
      <c r="G94" s="455">
        <f>G95+G100+G103</f>
        <v>77</v>
      </c>
      <c r="H94" s="455">
        <f>H95+H100+H103</f>
        <v>77</v>
      </c>
      <c r="I94" s="201"/>
    </row>
    <row r="95" spans="1:9" ht="47.25" x14ac:dyDescent="0.25">
      <c r="A95" s="174" t="s">
        <v>165</v>
      </c>
      <c r="B95" s="452">
        <v>902</v>
      </c>
      <c r="C95" s="454" t="s">
        <v>118</v>
      </c>
      <c r="D95" s="454" t="s">
        <v>150</v>
      </c>
      <c r="E95" s="461" t="s">
        <v>842</v>
      </c>
      <c r="F95" s="454"/>
      <c r="G95" s="459">
        <f>G96+G98</f>
        <v>77</v>
      </c>
      <c r="H95" s="459">
        <f>H96+H98</f>
        <v>77</v>
      </c>
      <c r="I95" s="201"/>
    </row>
    <row r="96" spans="1:9" ht="78.75" x14ac:dyDescent="0.25">
      <c r="A96" s="458" t="s">
        <v>127</v>
      </c>
      <c r="B96" s="452">
        <v>902</v>
      </c>
      <c r="C96" s="454" t="s">
        <v>118</v>
      </c>
      <c r="D96" s="454" t="s">
        <v>150</v>
      </c>
      <c r="E96" s="461" t="s">
        <v>842</v>
      </c>
      <c r="F96" s="454" t="s">
        <v>128</v>
      </c>
      <c r="G96" s="459">
        <f>G97</f>
        <v>37</v>
      </c>
      <c r="H96" s="459">
        <f>H97</f>
        <v>37</v>
      </c>
      <c r="I96" s="201"/>
    </row>
    <row r="97" spans="1:9" ht="31.5" x14ac:dyDescent="0.25">
      <c r="A97" s="458" t="s">
        <v>129</v>
      </c>
      <c r="B97" s="452">
        <v>902</v>
      </c>
      <c r="C97" s="454" t="s">
        <v>118</v>
      </c>
      <c r="D97" s="454" t="s">
        <v>150</v>
      </c>
      <c r="E97" s="461" t="s">
        <v>842</v>
      </c>
      <c r="F97" s="454" t="s">
        <v>130</v>
      </c>
      <c r="G97" s="459">
        <f>37</f>
        <v>37</v>
      </c>
      <c r="H97" s="459">
        <f t="shared" si="1"/>
        <v>37</v>
      </c>
      <c r="I97" s="201"/>
    </row>
    <row r="98" spans="1:9" ht="31.5" x14ac:dyDescent="0.25">
      <c r="A98" s="458" t="s">
        <v>131</v>
      </c>
      <c r="B98" s="452">
        <v>902</v>
      </c>
      <c r="C98" s="454" t="s">
        <v>118</v>
      </c>
      <c r="D98" s="454" t="s">
        <v>150</v>
      </c>
      <c r="E98" s="461" t="s">
        <v>842</v>
      </c>
      <c r="F98" s="454" t="s">
        <v>132</v>
      </c>
      <c r="G98" s="459">
        <f>G99</f>
        <v>40</v>
      </c>
      <c r="H98" s="459">
        <f>H99</f>
        <v>40</v>
      </c>
      <c r="I98" s="201"/>
    </row>
    <row r="99" spans="1:9" ht="31.5" x14ac:dyDescent="0.25">
      <c r="A99" s="458" t="s">
        <v>133</v>
      </c>
      <c r="B99" s="452">
        <v>902</v>
      </c>
      <c r="C99" s="454" t="s">
        <v>118</v>
      </c>
      <c r="D99" s="454" t="s">
        <v>150</v>
      </c>
      <c r="E99" s="461" t="s">
        <v>842</v>
      </c>
      <c r="F99" s="454" t="s">
        <v>134</v>
      </c>
      <c r="G99" s="459">
        <f>40</f>
        <v>40</v>
      </c>
      <c r="H99" s="459">
        <f t="shared" ref="H99:H178" si="4">G99</f>
        <v>40</v>
      </c>
      <c r="I99" s="201"/>
    </row>
    <row r="100" spans="1:9" ht="47.25" hidden="1" x14ac:dyDescent="0.25">
      <c r="A100" s="31" t="s">
        <v>1095</v>
      </c>
      <c r="B100" s="452">
        <v>902</v>
      </c>
      <c r="C100" s="454" t="s">
        <v>118</v>
      </c>
      <c r="D100" s="454" t="s">
        <v>150</v>
      </c>
      <c r="E100" s="461" t="s">
        <v>993</v>
      </c>
      <c r="F100" s="454"/>
      <c r="G100" s="459">
        <f>G101</f>
        <v>0</v>
      </c>
      <c r="H100" s="459">
        <f>H101</f>
        <v>0</v>
      </c>
      <c r="I100" s="201"/>
    </row>
    <row r="101" spans="1:9" ht="31.5" hidden="1" x14ac:dyDescent="0.25">
      <c r="A101" s="458" t="s">
        <v>131</v>
      </c>
      <c r="B101" s="452">
        <v>902</v>
      </c>
      <c r="C101" s="454" t="s">
        <v>118</v>
      </c>
      <c r="D101" s="454" t="s">
        <v>150</v>
      </c>
      <c r="E101" s="461" t="s">
        <v>993</v>
      </c>
      <c r="F101" s="454" t="s">
        <v>132</v>
      </c>
      <c r="G101" s="459">
        <f>G102</f>
        <v>0</v>
      </c>
      <c r="H101" s="459">
        <f>H102</f>
        <v>0</v>
      </c>
      <c r="I101" s="201"/>
    </row>
    <row r="102" spans="1:9" ht="31.5" hidden="1" x14ac:dyDescent="0.25">
      <c r="A102" s="458" t="s">
        <v>133</v>
      </c>
      <c r="B102" s="452">
        <v>902</v>
      </c>
      <c r="C102" s="454" t="s">
        <v>118</v>
      </c>
      <c r="D102" s="454" t="s">
        <v>150</v>
      </c>
      <c r="E102" s="461" t="s">
        <v>696</v>
      </c>
      <c r="F102" s="454" t="s">
        <v>134</v>
      </c>
      <c r="G102" s="459">
        <v>0</v>
      </c>
      <c r="H102" s="459">
        <v>0</v>
      </c>
      <c r="I102" s="201"/>
    </row>
    <row r="103" spans="1:9" ht="47.25" hidden="1" x14ac:dyDescent="0.25">
      <c r="A103" s="31" t="s">
        <v>695</v>
      </c>
      <c r="B103" s="452">
        <v>902</v>
      </c>
      <c r="C103" s="454" t="s">
        <v>118</v>
      </c>
      <c r="D103" s="454" t="s">
        <v>150</v>
      </c>
      <c r="E103" s="454" t="s">
        <v>992</v>
      </c>
      <c r="F103" s="454"/>
      <c r="G103" s="459">
        <f>G104</f>
        <v>0</v>
      </c>
      <c r="H103" s="459">
        <f>H104</f>
        <v>0</v>
      </c>
      <c r="I103" s="201"/>
    </row>
    <row r="104" spans="1:9" ht="31.5" hidden="1" x14ac:dyDescent="0.25">
      <c r="A104" s="458" t="s">
        <v>131</v>
      </c>
      <c r="B104" s="452">
        <v>902</v>
      </c>
      <c r="C104" s="454" t="s">
        <v>118</v>
      </c>
      <c r="D104" s="454" t="s">
        <v>150</v>
      </c>
      <c r="E104" s="454" t="s">
        <v>992</v>
      </c>
      <c r="F104" s="454" t="s">
        <v>132</v>
      </c>
      <c r="G104" s="459">
        <f>G105</f>
        <v>0</v>
      </c>
      <c r="H104" s="459">
        <f>H105</f>
        <v>0</v>
      </c>
      <c r="I104" s="201"/>
    </row>
    <row r="105" spans="1:9" ht="31.5" hidden="1" x14ac:dyDescent="0.25">
      <c r="A105" s="458" t="s">
        <v>133</v>
      </c>
      <c r="B105" s="452">
        <v>902</v>
      </c>
      <c r="C105" s="454" t="s">
        <v>118</v>
      </c>
      <c r="D105" s="454" t="s">
        <v>150</v>
      </c>
      <c r="E105" s="454" t="s">
        <v>992</v>
      </c>
      <c r="F105" s="454" t="s">
        <v>134</v>
      </c>
      <c r="G105" s="459">
        <v>0</v>
      </c>
      <c r="H105" s="459">
        <v>0</v>
      </c>
      <c r="I105" s="201"/>
    </row>
    <row r="106" spans="1:9" ht="63" x14ac:dyDescent="0.25">
      <c r="A106" s="216" t="s">
        <v>1003</v>
      </c>
      <c r="B106" s="453">
        <v>902</v>
      </c>
      <c r="C106" s="457" t="s">
        <v>118</v>
      </c>
      <c r="D106" s="457" t="s">
        <v>150</v>
      </c>
      <c r="E106" s="7" t="s">
        <v>851</v>
      </c>
      <c r="F106" s="457"/>
      <c r="G106" s="455">
        <f>G107+G110</f>
        <v>0.5</v>
      </c>
      <c r="H106" s="455">
        <f>H107+H110</f>
        <v>0.5</v>
      </c>
      <c r="I106" s="201"/>
    </row>
    <row r="107" spans="1:9" ht="47.25" x14ac:dyDescent="0.25">
      <c r="A107" s="33" t="s">
        <v>191</v>
      </c>
      <c r="B107" s="452">
        <v>902</v>
      </c>
      <c r="C107" s="454" t="s">
        <v>118</v>
      </c>
      <c r="D107" s="454" t="s">
        <v>150</v>
      </c>
      <c r="E107" s="461" t="s">
        <v>844</v>
      </c>
      <c r="F107" s="454"/>
      <c r="G107" s="459">
        <f>G108</f>
        <v>0.5</v>
      </c>
      <c r="H107" s="459">
        <f>H108</f>
        <v>0.5</v>
      </c>
      <c r="I107" s="201"/>
    </row>
    <row r="108" spans="1:9" ht="31.5" x14ac:dyDescent="0.25">
      <c r="A108" s="458" t="s">
        <v>131</v>
      </c>
      <c r="B108" s="452">
        <v>902</v>
      </c>
      <c r="C108" s="454" t="s">
        <v>118</v>
      </c>
      <c r="D108" s="454" t="s">
        <v>150</v>
      </c>
      <c r="E108" s="461" t="s">
        <v>844</v>
      </c>
      <c r="F108" s="454" t="s">
        <v>132</v>
      </c>
      <c r="G108" s="459">
        <f>G109</f>
        <v>0.5</v>
      </c>
      <c r="H108" s="459">
        <f>H109</f>
        <v>0.5</v>
      </c>
      <c r="I108" s="201"/>
    </row>
    <row r="109" spans="1:9" ht="31.5" x14ac:dyDescent="0.25">
      <c r="A109" s="458" t="s">
        <v>133</v>
      </c>
      <c r="B109" s="452">
        <v>902</v>
      </c>
      <c r="C109" s="454" t="s">
        <v>118</v>
      </c>
      <c r="D109" s="454" t="s">
        <v>150</v>
      </c>
      <c r="E109" s="461" t="s">
        <v>844</v>
      </c>
      <c r="F109" s="454" t="s">
        <v>134</v>
      </c>
      <c r="G109" s="459">
        <f>0.5</f>
        <v>0.5</v>
      </c>
      <c r="H109" s="459">
        <f t="shared" si="4"/>
        <v>0.5</v>
      </c>
      <c r="I109" s="201"/>
    </row>
    <row r="110" spans="1:9" ht="47.25" hidden="1" x14ac:dyDescent="0.25">
      <c r="A110" s="33" t="s">
        <v>191</v>
      </c>
      <c r="B110" s="452">
        <v>902</v>
      </c>
      <c r="C110" s="454" t="s">
        <v>118</v>
      </c>
      <c r="D110" s="454" t="s">
        <v>150</v>
      </c>
      <c r="E110" s="454" t="s">
        <v>845</v>
      </c>
      <c r="F110" s="454"/>
      <c r="G110" s="459">
        <f>'[1]Пр.5 ведом.21'!G106</f>
        <v>0</v>
      </c>
      <c r="H110" s="459">
        <f t="shared" si="4"/>
        <v>0</v>
      </c>
      <c r="I110" s="201"/>
    </row>
    <row r="111" spans="1:9" ht="31.5" hidden="1" x14ac:dyDescent="0.25">
      <c r="A111" s="458" t="s">
        <v>131</v>
      </c>
      <c r="B111" s="452">
        <v>902</v>
      </c>
      <c r="C111" s="454" t="s">
        <v>118</v>
      </c>
      <c r="D111" s="454" t="s">
        <v>150</v>
      </c>
      <c r="E111" s="454" t="s">
        <v>845</v>
      </c>
      <c r="F111" s="454" t="s">
        <v>132</v>
      </c>
      <c r="G111" s="459">
        <f>'[1]Пр.5 ведом.21'!G107</f>
        <v>0</v>
      </c>
      <c r="H111" s="459">
        <f t="shared" si="4"/>
        <v>0</v>
      </c>
      <c r="I111" s="201"/>
    </row>
    <row r="112" spans="1:9" ht="31.5" hidden="1" x14ac:dyDescent="0.25">
      <c r="A112" s="458" t="s">
        <v>133</v>
      </c>
      <c r="B112" s="452">
        <v>902</v>
      </c>
      <c r="C112" s="454" t="s">
        <v>118</v>
      </c>
      <c r="D112" s="454" t="s">
        <v>150</v>
      </c>
      <c r="E112" s="454" t="s">
        <v>845</v>
      </c>
      <c r="F112" s="454" t="s">
        <v>134</v>
      </c>
      <c r="G112" s="459">
        <f>'[1]Пр.5 ведом.21'!G108</f>
        <v>0</v>
      </c>
      <c r="H112" s="459">
        <f t="shared" si="4"/>
        <v>0</v>
      </c>
      <c r="I112" s="201"/>
    </row>
    <row r="113" spans="1:9" ht="47.25" x14ac:dyDescent="0.25">
      <c r="A113" s="456" t="s">
        <v>119</v>
      </c>
      <c r="B113" s="453">
        <v>902</v>
      </c>
      <c r="C113" s="457" t="s">
        <v>118</v>
      </c>
      <c r="D113" s="457" t="s">
        <v>120</v>
      </c>
      <c r="E113" s="457"/>
      <c r="F113" s="454"/>
      <c r="G113" s="455">
        <f>G114</f>
        <v>1332.2</v>
      </c>
      <c r="H113" s="455">
        <f>H114</f>
        <v>1332.2</v>
      </c>
      <c r="I113" s="201"/>
    </row>
    <row r="114" spans="1:9" ht="31.5" x14ac:dyDescent="0.25">
      <c r="A114" s="456" t="s">
        <v>917</v>
      </c>
      <c r="B114" s="453">
        <v>902</v>
      </c>
      <c r="C114" s="457" t="s">
        <v>118</v>
      </c>
      <c r="D114" s="457" t="s">
        <v>120</v>
      </c>
      <c r="E114" s="457" t="s">
        <v>858</v>
      </c>
      <c r="F114" s="457"/>
      <c r="G114" s="455">
        <f>G115</f>
        <v>1332.2</v>
      </c>
      <c r="H114" s="455">
        <f>H115</f>
        <v>1332.2</v>
      </c>
      <c r="I114" s="201"/>
    </row>
    <row r="115" spans="1:9" ht="15.75" x14ac:dyDescent="0.25">
      <c r="A115" s="456" t="s">
        <v>918</v>
      </c>
      <c r="B115" s="453">
        <v>902</v>
      </c>
      <c r="C115" s="457" t="s">
        <v>118</v>
      </c>
      <c r="D115" s="457" t="s">
        <v>120</v>
      </c>
      <c r="E115" s="457" t="s">
        <v>859</v>
      </c>
      <c r="F115" s="457"/>
      <c r="G115" s="455">
        <f>G116+G119</f>
        <v>1332.2</v>
      </c>
      <c r="H115" s="455">
        <f>H116+H119</f>
        <v>1332.2</v>
      </c>
      <c r="I115" s="201"/>
    </row>
    <row r="116" spans="1:9" ht="31.5" x14ac:dyDescent="0.25">
      <c r="A116" s="458" t="s">
        <v>897</v>
      </c>
      <c r="B116" s="452">
        <v>902</v>
      </c>
      <c r="C116" s="454" t="s">
        <v>118</v>
      </c>
      <c r="D116" s="454" t="s">
        <v>120</v>
      </c>
      <c r="E116" s="454" t="s">
        <v>860</v>
      </c>
      <c r="F116" s="454"/>
      <c r="G116" s="459">
        <f>G117</f>
        <v>1286.2</v>
      </c>
      <c r="H116" s="459">
        <f>H117</f>
        <v>1286.2</v>
      </c>
      <c r="I116" s="201"/>
    </row>
    <row r="117" spans="1:9" ht="78.75" x14ac:dyDescent="0.25">
      <c r="A117" s="458" t="s">
        <v>127</v>
      </c>
      <c r="B117" s="452">
        <v>902</v>
      </c>
      <c r="C117" s="454" t="s">
        <v>118</v>
      </c>
      <c r="D117" s="454" t="s">
        <v>120</v>
      </c>
      <c r="E117" s="454" t="s">
        <v>860</v>
      </c>
      <c r="F117" s="454" t="s">
        <v>128</v>
      </c>
      <c r="G117" s="459">
        <f>G118</f>
        <v>1286.2</v>
      </c>
      <c r="H117" s="459">
        <f>H118</f>
        <v>1286.2</v>
      </c>
      <c r="I117" s="201"/>
    </row>
    <row r="118" spans="1:9" ht="31.5" x14ac:dyDescent="0.25">
      <c r="A118" s="458" t="s">
        <v>129</v>
      </c>
      <c r="B118" s="452">
        <v>902</v>
      </c>
      <c r="C118" s="454" t="s">
        <v>118</v>
      </c>
      <c r="D118" s="454" t="s">
        <v>120</v>
      </c>
      <c r="E118" s="454" t="s">
        <v>860</v>
      </c>
      <c r="F118" s="454" t="s">
        <v>130</v>
      </c>
      <c r="G118" s="459">
        <v>1286.2</v>
      </c>
      <c r="H118" s="459">
        <f t="shared" si="4"/>
        <v>1286.2</v>
      </c>
      <c r="I118" s="201"/>
    </row>
    <row r="119" spans="1:9" ht="47.25" x14ac:dyDescent="0.25">
      <c r="A119" s="458" t="s">
        <v>839</v>
      </c>
      <c r="B119" s="452">
        <v>902</v>
      </c>
      <c r="C119" s="454" t="s">
        <v>118</v>
      </c>
      <c r="D119" s="454" t="s">
        <v>120</v>
      </c>
      <c r="E119" s="454" t="s">
        <v>862</v>
      </c>
      <c r="F119" s="454"/>
      <c r="G119" s="459">
        <f>G120</f>
        <v>46</v>
      </c>
      <c r="H119" s="459">
        <f>H120</f>
        <v>46</v>
      </c>
      <c r="I119" s="201"/>
    </row>
    <row r="120" spans="1:9" ht="78.75" x14ac:dyDescent="0.25">
      <c r="A120" s="458" t="s">
        <v>127</v>
      </c>
      <c r="B120" s="452">
        <v>902</v>
      </c>
      <c r="C120" s="454" t="s">
        <v>118</v>
      </c>
      <c r="D120" s="454" t="s">
        <v>120</v>
      </c>
      <c r="E120" s="454" t="s">
        <v>862</v>
      </c>
      <c r="F120" s="454" t="s">
        <v>128</v>
      </c>
      <c r="G120" s="459">
        <f>G121</f>
        <v>46</v>
      </c>
      <c r="H120" s="459">
        <f>H121</f>
        <v>46</v>
      </c>
      <c r="I120" s="201"/>
    </row>
    <row r="121" spans="1:9" ht="31.5" x14ac:dyDescent="0.25">
      <c r="A121" s="458" t="s">
        <v>129</v>
      </c>
      <c r="B121" s="452">
        <v>902</v>
      </c>
      <c r="C121" s="454" t="s">
        <v>118</v>
      </c>
      <c r="D121" s="454" t="s">
        <v>120</v>
      </c>
      <c r="E121" s="454" t="s">
        <v>862</v>
      </c>
      <c r="F121" s="454" t="s">
        <v>130</v>
      </c>
      <c r="G121" s="459">
        <v>46</v>
      </c>
      <c r="H121" s="459">
        <f t="shared" si="4"/>
        <v>46</v>
      </c>
      <c r="I121" s="201"/>
    </row>
    <row r="122" spans="1:9" ht="15.75" hidden="1" x14ac:dyDescent="0.25">
      <c r="A122" s="456" t="s">
        <v>1148</v>
      </c>
      <c r="B122" s="453">
        <v>902</v>
      </c>
      <c r="C122" s="457" t="s">
        <v>118</v>
      </c>
      <c r="D122" s="457" t="s">
        <v>264</v>
      </c>
      <c r="E122" s="457"/>
      <c r="F122" s="454"/>
      <c r="G122" s="455">
        <f t="shared" ref="G122:H124" si="5">G123</f>
        <v>0</v>
      </c>
      <c r="H122" s="455">
        <f t="shared" si="5"/>
        <v>0</v>
      </c>
      <c r="I122" s="201"/>
    </row>
    <row r="123" spans="1:9" ht="15.75" hidden="1" x14ac:dyDescent="0.25">
      <c r="A123" s="456" t="s">
        <v>141</v>
      </c>
      <c r="B123" s="453">
        <v>902</v>
      </c>
      <c r="C123" s="457" t="s">
        <v>118</v>
      </c>
      <c r="D123" s="457" t="s">
        <v>264</v>
      </c>
      <c r="E123" s="457" t="s">
        <v>866</v>
      </c>
      <c r="F123" s="454"/>
      <c r="G123" s="455">
        <f t="shared" si="5"/>
        <v>0</v>
      </c>
      <c r="H123" s="455">
        <f t="shared" si="5"/>
        <v>0</v>
      </c>
      <c r="I123" s="201"/>
    </row>
    <row r="124" spans="1:9" ht="31.5" hidden="1" x14ac:dyDescent="0.25">
      <c r="A124" s="456" t="s">
        <v>870</v>
      </c>
      <c r="B124" s="453">
        <v>902</v>
      </c>
      <c r="C124" s="457" t="s">
        <v>118</v>
      </c>
      <c r="D124" s="457" t="s">
        <v>264</v>
      </c>
      <c r="E124" s="457" t="s">
        <v>865</v>
      </c>
      <c r="F124" s="454"/>
      <c r="G124" s="455">
        <f t="shared" si="5"/>
        <v>0</v>
      </c>
      <c r="H124" s="455">
        <f t="shared" si="5"/>
        <v>0</v>
      </c>
      <c r="I124" s="201"/>
    </row>
    <row r="125" spans="1:9" ht="15.75" hidden="1" x14ac:dyDescent="0.25">
      <c r="A125" s="45" t="s">
        <v>199</v>
      </c>
      <c r="B125" s="452">
        <v>902</v>
      </c>
      <c r="C125" s="454" t="s">
        <v>118</v>
      </c>
      <c r="D125" s="454" t="s">
        <v>264</v>
      </c>
      <c r="E125" s="454" t="s">
        <v>1147</v>
      </c>
      <c r="F125" s="454"/>
      <c r="G125" s="459">
        <f>G126+G128</f>
        <v>0</v>
      </c>
      <c r="H125" s="459">
        <f>H126+H128</f>
        <v>0</v>
      </c>
      <c r="I125" s="201"/>
    </row>
    <row r="126" spans="1:9" ht="78.75" hidden="1" x14ac:dyDescent="0.25">
      <c r="A126" s="458" t="s">
        <v>127</v>
      </c>
      <c r="B126" s="452">
        <v>902</v>
      </c>
      <c r="C126" s="454" t="s">
        <v>118</v>
      </c>
      <c r="D126" s="454" t="s">
        <v>264</v>
      </c>
      <c r="E126" s="454" t="s">
        <v>1147</v>
      </c>
      <c r="F126" s="454" t="s">
        <v>128</v>
      </c>
      <c r="G126" s="459">
        <f>G127</f>
        <v>0</v>
      </c>
      <c r="H126" s="459">
        <f>H127</f>
        <v>0</v>
      </c>
      <c r="I126" s="201"/>
    </row>
    <row r="127" spans="1:9" ht="31.5" hidden="1" x14ac:dyDescent="0.25">
      <c r="A127" s="458" t="s">
        <v>129</v>
      </c>
      <c r="B127" s="452">
        <v>902</v>
      </c>
      <c r="C127" s="454" t="s">
        <v>118</v>
      </c>
      <c r="D127" s="454" t="s">
        <v>264</v>
      </c>
      <c r="E127" s="454" t="s">
        <v>1147</v>
      </c>
      <c r="F127" s="454" t="s">
        <v>130</v>
      </c>
      <c r="G127" s="459">
        <v>0</v>
      </c>
      <c r="H127" s="459">
        <v>0</v>
      </c>
      <c r="I127" s="201"/>
    </row>
    <row r="128" spans="1:9" ht="31.5" hidden="1" x14ac:dyDescent="0.25">
      <c r="A128" s="458" t="s">
        <v>198</v>
      </c>
      <c r="B128" s="452">
        <v>902</v>
      </c>
      <c r="C128" s="454" t="s">
        <v>118</v>
      </c>
      <c r="D128" s="454" t="s">
        <v>264</v>
      </c>
      <c r="E128" s="454" t="s">
        <v>1147</v>
      </c>
      <c r="F128" s="454" t="s">
        <v>132</v>
      </c>
      <c r="G128" s="459">
        <f>G129</f>
        <v>0</v>
      </c>
      <c r="H128" s="459">
        <f>H129</f>
        <v>0</v>
      </c>
      <c r="I128" s="201"/>
    </row>
    <row r="129" spans="1:9" ht="31.5" hidden="1" x14ac:dyDescent="0.25">
      <c r="A129" s="458" t="s">
        <v>133</v>
      </c>
      <c r="B129" s="452">
        <v>902</v>
      </c>
      <c r="C129" s="454" t="s">
        <v>118</v>
      </c>
      <c r="D129" s="454" t="s">
        <v>264</v>
      </c>
      <c r="E129" s="454" t="s">
        <v>1147</v>
      </c>
      <c r="F129" s="454" t="s">
        <v>134</v>
      </c>
      <c r="G129" s="459">
        <v>0</v>
      </c>
      <c r="H129" s="459">
        <v>0</v>
      </c>
      <c r="I129" s="201"/>
    </row>
    <row r="130" spans="1:9" ht="15.75" x14ac:dyDescent="0.25">
      <c r="A130" s="456" t="s">
        <v>139</v>
      </c>
      <c r="B130" s="453">
        <v>902</v>
      </c>
      <c r="C130" s="457" t="s">
        <v>118</v>
      </c>
      <c r="D130" s="457" t="s">
        <v>140</v>
      </c>
      <c r="E130" s="457"/>
      <c r="F130" s="457"/>
      <c r="G130" s="455">
        <f>G146+G155+G131+G160+G141</f>
        <v>6009</v>
      </c>
      <c r="H130" s="455">
        <f>H146+H155+H131+H160+H141</f>
        <v>6052</v>
      </c>
      <c r="I130" s="201"/>
    </row>
    <row r="131" spans="1:9" ht="15.75" x14ac:dyDescent="0.25">
      <c r="A131" s="456" t="s">
        <v>141</v>
      </c>
      <c r="B131" s="453">
        <v>902</v>
      </c>
      <c r="C131" s="457" t="s">
        <v>118</v>
      </c>
      <c r="D131" s="457" t="s">
        <v>140</v>
      </c>
      <c r="E131" s="457" t="s">
        <v>866</v>
      </c>
      <c r="F131" s="457"/>
      <c r="G131" s="455">
        <f>G132</f>
        <v>5829</v>
      </c>
      <c r="H131" s="455">
        <f>H132</f>
        <v>5829</v>
      </c>
      <c r="I131" s="201"/>
    </row>
    <row r="132" spans="1:9" ht="31.5" x14ac:dyDescent="0.25">
      <c r="A132" s="456" t="s">
        <v>922</v>
      </c>
      <c r="B132" s="453">
        <v>902</v>
      </c>
      <c r="C132" s="457" t="s">
        <v>118</v>
      </c>
      <c r="D132" s="457" t="s">
        <v>140</v>
      </c>
      <c r="E132" s="457" t="s">
        <v>867</v>
      </c>
      <c r="F132" s="457"/>
      <c r="G132" s="455">
        <f>G133+G138</f>
        <v>5829</v>
      </c>
      <c r="H132" s="455">
        <f>H133+H138</f>
        <v>5829</v>
      </c>
      <c r="I132" s="201"/>
    </row>
    <row r="133" spans="1:9" ht="31.5" x14ac:dyDescent="0.25">
      <c r="A133" s="458" t="s">
        <v>928</v>
      </c>
      <c r="B133" s="452">
        <v>902</v>
      </c>
      <c r="C133" s="454" t="s">
        <v>118</v>
      </c>
      <c r="D133" s="454" t="s">
        <v>140</v>
      </c>
      <c r="E133" s="454" t="s">
        <v>868</v>
      </c>
      <c r="F133" s="454"/>
      <c r="G133" s="459">
        <f>G134+G136</f>
        <v>5701</v>
      </c>
      <c r="H133" s="459">
        <f>H134+H136</f>
        <v>5701</v>
      </c>
      <c r="I133" s="201"/>
    </row>
    <row r="134" spans="1:9" ht="78.75" x14ac:dyDescent="0.25">
      <c r="A134" s="458" t="s">
        <v>127</v>
      </c>
      <c r="B134" s="452">
        <v>902</v>
      </c>
      <c r="C134" s="454" t="s">
        <v>118</v>
      </c>
      <c r="D134" s="454" t="s">
        <v>140</v>
      </c>
      <c r="E134" s="454" t="s">
        <v>868</v>
      </c>
      <c r="F134" s="454" t="s">
        <v>128</v>
      </c>
      <c r="G134" s="459">
        <f>G135</f>
        <v>4501</v>
      </c>
      <c r="H134" s="459">
        <f>H135</f>
        <v>4501</v>
      </c>
      <c r="I134" s="201"/>
    </row>
    <row r="135" spans="1:9" ht="15.75" x14ac:dyDescent="0.25">
      <c r="A135" s="458" t="s">
        <v>208</v>
      </c>
      <c r="B135" s="452">
        <v>902</v>
      </c>
      <c r="C135" s="454" t="s">
        <v>118</v>
      </c>
      <c r="D135" s="454" t="s">
        <v>140</v>
      </c>
      <c r="E135" s="454" t="s">
        <v>868</v>
      </c>
      <c r="F135" s="454" t="s">
        <v>209</v>
      </c>
      <c r="G135" s="459">
        <v>4501</v>
      </c>
      <c r="H135" s="459">
        <f t="shared" si="4"/>
        <v>4501</v>
      </c>
      <c r="I135" s="201"/>
    </row>
    <row r="136" spans="1:9" ht="31.5" x14ac:dyDescent="0.25">
      <c r="A136" s="458" t="s">
        <v>198</v>
      </c>
      <c r="B136" s="452">
        <v>902</v>
      </c>
      <c r="C136" s="454" t="s">
        <v>118</v>
      </c>
      <c r="D136" s="454" t="s">
        <v>140</v>
      </c>
      <c r="E136" s="454" t="s">
        <v>868</v>
      </c>
      <c r="F136" s="454" t="s">
        <v>132</v>
      </c>
      <c r="G136" s="459">
        <f>G137</f>
        <v>1200</v>
      </c>
      <c r="H136" s="459">
        <f>H137</f>
        <v>1200</v>
      </c>
      <c r="I136" s="201"/>
    </row>
    <row r="137" spans="1:9" ht="31.5" x14ac:dyDescent="0.25">
      <c r="A137" s="458" t="s">
        <v>133</v>
      </c>
      <c r="B137" s="452">
        <v>902</v>
      </c>
      <c r="C137" s="454" t="s">
        <v>118</v>
      </c>
      <c r="D137" s="454" t="s">
        <v>140</v>
      </c>
      <c r="E137" s="454" t="s">
        <v>868</v>
      </c>
      <c r="F137" s="454" t="s">
        <v>134</v>
      </c>
      <c r="G137" s="459">
        <v>1200</v>
      </c>
      <c r="H137" s="459">
        <f t="shared" si="4"/>
        <v>1200</v>
      </c>
      <c r="I137" s="201"/>
    </row>
    <row r="138" spans="1:9" ht="47.25" x14ac:dyDescent="0.25">
      <c r="A138" s="458" t="s">
        <v>839</v>
      </c>
      <c r="B138" s="452">
        <v>902</v>
      </c>
      <c r="C138" s="454" t="s">
        <v>118</v>
      </c>
      <c r="D138" s="454" t="s">
        <v>140</v>
      </c>
      <c r="E138" s="454" t="s">
        <v>869</v>
      </c>
      <c r="F138" s="454"/>
      <c r="G138" s="459">
        <f>G139</f>
        <v>128</v>
      </c>
      <c r="H138" s="459">
        <f>H139</f>
        <v>128</v>
      </c>
      <c r="I138" s="201"/>
    </row>
    <row r="139" spans="1:9" ht="78.75" x14ac:dyDescent="0.25">
      <c r="A139" s="458" t="s">
        <v>127</v>
      </c>
      <c r="B139" s="452">
        <v>902</v>
      </c>
      <c r="C139" s="454" t="s">
        <v>118</v>
      </c>
      <c r="D139" s="454" t="s">
        <v>140</v>
      </c>
      <c r="E139" s="454" t="s">
        <v>869</v>
      </c>
      <c r="F139" s="454" t="s">
        <v>128</v>
      </c>
      <c r="G139" s="459">
        <f>G140</f>
        <v>128</v>
      </c>
      <c r="H139" s="459">
        <f>H140</f>
        <v>128</v>
      </c>
      <c r="I139" s="201"/>
    </row>
    <row r="140" spans="1:9" ht="15.75" x14ac:dyDescent="0.25">
      <c r="A140" s="458" t="s">
        <v>208</v>
      </c>
      <c r="B140" s="452">
        <v>902</v>
      </c>
      <c r="C140" s="454" t="s">
        <v>118</v>
      </c>
      <c r="D140" s="454" t="s">
        <v>140</v>
      </c>
      <c r="E140" s="454" t="s">
        <v>869</v>
      </c>
      <c r="F140" s="454" t="s">
        <v>209</v>
      </c>
      <c r="G140" s="459">
        <v>128</v>
      </c>
      <c r="H140" s="459">
        <f t="shared" si="4"/>
        <v>128</v>
      </c>
      <c r="I140" s="201"/>
    </row>
    <row r="141" spans="1:9" ht="47.25" x14ac:dyDescent="0.25">
      <c r="A141" s="34" t="s">
        <v>1221</v>
      </c>
      <c r="B141" s="453">
        <v>902</v>
      </c>
      <c r="C141" s="457" t="s">
        <v>118</v>
      </c>
      <c r="D141" s="457" t="s">
        <v>140</v>
      </c>
      <c r="E141" s="457" t="s">
        <v>324</v>
      </c>
      <c r="F141" s="457"/>
      <c r="G141" s="455">
        <f>G143</f>
        <v>12</v>
      </c>
      <c r="H141" s="455">
        <f>H143</f>
        <v>40</v>
      </c>
      <c r="I141" s="201"/>
    </row>
    <row r="142" spans="1:9" ht="63" x14ac:dyDescent="0.25">
      <c r="A142" s="34" t="s">
        <v>1025</v>
      </c>
      <c r="B142" s="453">
        <v>902</v>
      </c>
      <c r="C142" s="457" t="s">
        <v>118</v>
      </c>
      <c r="D142" s="457" t="s">
        <v>140</v>
      </c>
      <c r="E142" s="457" t="s">
        <v>934</v>
      </c>
      <c r="F142" s="457"/>
      <c r="G142" s="455">
        <f>G145</f>
        <v>12</v>
      </c>
      <c r="H142" s="455">
        <f>H145</f>
        <v>40</v>
      </c>
      <c r="I142" s="201"/>
    </row>
    <row r="143" spans="1:9" ht="47.25" x14ac:dyDescent="0.25">
      <c r="A143" s="31" t="s">
        <v>1081</v>
      </c>
      <c r="B143" s="452">
        <v>902</v>
      </c>
      <c r="C143" s="454" t="s">
        <v>118</v>
      </c>
      <c r="D143" s="454" t="s">
        <v>140</v>
      </c>
      <c r="E143" s="454" t="s">
        <v>1026</v>
      </c>
      <c r="F143" s="454"/>
      <c r="G143" s="459">
        <f>G144</f>
        <v>12</v>
      </c>
      <c r="H143" s="459">
        <f>H144</f>
        <v>40</v>
      </c>
      <c r="I143" s="201"/>
    </row>
    <row r="144" spans="1:9" ht="31.5" x14ac:dyDescent="0.25">
      <c r="A144" s="458" t="s">
        <v>131</v>
      </c>
      <c r="B144" s="452">
        <v>902</v>
      </c>
      <c r="C144" s="454" t="s">
        <v>118</v>
      </c>
      <c r="D144" s="454" t="s">
        <v>140</v>
      </c>
      <c r="E144" s="454" t="s">
        <v>1026</v>
      </c>
      <c r="F144" s="454" t="s">
        <v>132</v>
      </c>
      <c r="G144" s="459">
        <f>G145</f>
        <v>12</v>
      </c>
      <c r="H144" s="459">
        <f>H145</f>
        <v>40</v>
      </c>
      <c r="I144" s="201"/>
    </row>
    <row r="145" spans="1:9" ht="31.5" x14ac:dyDescent="0.25">
      <c r="A145" s="458" t="s">
        <v>133</v>
      </c>
      <c r="B145" s="452">
        <v>902</v>
      </c>
      <c r="C145" s="454" t="s">
        <v>118</v>
      </c>
      <c r="D145" s="454" t="s">
        <v>140</v>
      </c>
      <c r="E145" s="454" t="s">
        <v>1026</v>
      </c>
      <c r="F145" s="454" t="s">
        <v>134</v>
      </c>
      <c r="G145" s="459">
        <v>12</v>
      </c>
      <c r="H145" s="459">
        <v>40</v>
      </c>
      <c r="I145" s="201"/>
    </row>
    <row r="146" spans="1:9" ht="54.75" customHeight="1" x14ac:dyDescent="0.25">
      <c r="A146" s="462" t="s">
        <v>1344</v>
      </c>
      <c r="B146" s="453">
        <v>902</v>
      </c>
      <c r="C146" s="457" t="s">
        <v>118</v>
      </c>
      <c r="D146" s="457" t="s">
        <v>140</v>
      </c>
      <c r="E146" s="457" t="s">
        <v>705</v>
      </c>
      <c r="F146" s="465"/>
      <c r="G146" s="455">
        <f>G147+G151</f>
        <v>43</v>
      </c>
      <c r="H146" s="455">
        <f>H147+H151</f>
        <v>43</v>
      </c>
      <c r="I146" s="201"/>
    </row>
    <row r="147" spans="1:9" ht="47.25" x14ac:dyDescent="0.25">
      <c r="A147" s="206" t="s">
        <v>846</v>
      </c>
      <c r="B147" s="453">
        <v>902</v>
      </c>
      <c r="C147" s="457" t="s">
        <v>118</v>
      </c>
      <c r="D147" s="457" t="s">
        <v>140</v>
      </c>
      <c r="E147" s="457" t="s">
        <v>852</v>
      </c>
      <c r="F147" s="465"/>
      <c r="G147" s="455">
        <f t="shared" ref="G147:H149" si="6">G148</f>
        <v>28</v>
      </c>
      <c r="H147" s="455">
        <f t="shared" si="6"/>
        <v>28</v>
      </c>
      <c r="I147" s="201"/>
    </row>
    <row r="148" spans="1:9" ht="31.5" x14ac:dyDescent="0.25">
      <c r="A148" s="98" t="s">
        <v>776</v>
      </c>
      <c r="B148" s="452">
        <v>902</v>
      </c>
      <c r="C148" s="454" t="s">
        <v>118</v>
      </c>
      <c r="D148" s="454" t="s">
        <v>140</v>
      </c>
      <c r="E148" s="454" t="s">
        <v>847</v>
      </c>
      <c r="F148" s="460"/>
      <c r="G148" s="459">
        <f t="shared" si="6"/>
        <v>28</v>
      </c>
      <c r="H148" s="459">
        <f t="shared" si="6"/>
        <v>28</v>
      </c>
      <c r="I148" s="201"/>
    </row>
    <row r="149" spans="1:9" ht="31.5" x14ac:dyDescent="0.25">
      <c r="A149" s="458" t="s">
        <v>131</v>
      </c>
      <c r="B149" s="452">
        <v>902</v>
      </c>
      <c r="C149" s="454" t="s">
        <v>118</v>
      </c>
      <c r="D149" s="454" t="s">
        <v>140</v>
      </c>
      <c r="E149" s="454" t="s">
        <v>847</v>
      </c>
      <c r="F149" s="460" t="s">
        <v>132</v>
      </c>
      <c r="G149" s="459">
        <f t="shared" si="6"/>
        <v>28</v>
      </c>
      <c r="H149" s="459">
        <f t="shared" si="6"/>
        <v>28</v>
      </c>
      <c r="I149" s="201"/>
    </row>
    <row r="150" spans="1:9" ht="31.5" x14ac:dyDescent="0.25">
      <c r="A150" s="458" t="s">
        <v>133</v>
      </c>
      <c r="B150" s="452">
        <v>902</v>
      </c>
      <c r="C150" s="454" t="s">
        <v>118</v>
      </c>
      <c r="D150" s="454" t="s">
        <v>140</v>
      </c>
      <c r="E150" s="454" t="s">
        <v>847</v>
      </c>
      <c r="F150" s="460" t="s">
        <v>134</v>
      </c>
      <c r="G150" s="459">
        <v>28</v>
      </c>
      <c r="H150" s="459">
        <v>28</v>
      </c>
      <c r="I150" s="201"/>
    </row>
    <row r="151" spans="1:9" ht="31.5" x14ac:dyDescent="0.25">
      <c r="A151" s="464" t="s">
        <v>1023</v>
      </c>
      <c r="B151" s="453">
        <v>902</v>
      </c>
      <c r="C151" s="457" t="s">
        <v>118</v>
      </c>
      <c r="D151" s="457" t="s">
        <v>140</v>
      </c>
      <c r="E151" s="457" t="s">
        <v>853</v>
      </c>
      <c r="F151" s="465"/>
      <c r="G151" s="455">
        <f t="shared" ref="G151:H153" si="7">G152</f>
        <v>15</v>
      </c>
      <c r="H151" s="455">
        <f t="shared" si="7"/>
        <v>15</v>
      </c>
      <c r="I151" s="201"/>
    </row>
    <row r="152" spans="1:9" ht="31.5" x14ac:dyDescent="0.25">
      <c r="A152" s="98" t="s">
        <v>777</v>
      </c>
      <c r="B152" s="452">
        <v>902</v>
      </c>
      <c r="C152" s="454" t="s">
        <v>118</v>
      </c>
      <c r="D152" s="454" t="s">
        <v>140</v>
      </c>
      <c r="E152" s="454" t="s">
        <v>848</v>
      </c>
      <c r="F152" s="460"/>
      <c r="G152" s="459">
        <f t="shared" si="7"/>
        <v>15</v>
      </c>
      <c r="H152" s="459">
        <f t="shared" si="7"/>
        <v>15</v>
      </c>
      <c r="I152" s="201"/>
    </row>
    <row r="153" spans="1:9" ht="31.5" x14ac:dyDescent="0.25">
      <c r="A153" s="458" t="s">
        <v>131</v>
      </c>
      <c r="B153" s="452">
        <v>902</v>
      </c>
      <c r="C153" s="454" t="s">
        <v>118</v>
      </c>
      <c r="D153" s="454" t="s">
        <v>140</v>
      </c>
      <c r="E153" s="454" t="s">
        <v>848</v>
      </c>
      <c r="F153" s="460" t="s">
        <v>132</v>
      </c>
      <c r="G153" s="459">
        <f t="shared" si="7"/>
        <v>15</v>
      </c>
      <c r="H153" s="459">
        <f t="shared" si="7"/>
        <v>15</v>
      </c>
      <c r="I153" s="201"/>
    </row>
    <row r="154" spans="1:9" ht="31.5" x14ac:dyDescent="0.25">
      <c r="A154" s="458" t="s">
        <v>133</v>
      </c>
      <c r="B154" s="452">
        <v>902</v>
      </c>
      <c r="C154" s="454" t="s">
        <v>118</v>
      </c>
      <c r="D154" s="454" t="s">
        <v>140</v>
      </c>
      <c r="E154" s="454" t="s">
        <v>848</v>
      </c>
      <c r="F154" s="460" t="s">
        <v>134</v>
      </c>
      <c r="G154" s="459">
        <f>15</f>
        <v>15</v>
      </c>
      <c r="H154" s="459">
        <f t="shared" si="4"/>
        <v>15</v>
      </c>
      <c r="I154" s="201"/>
    </row>
    <row r="155" spans="1:9" ht="78.75" x14ac:dyDescent="0.25">
      <c r="A155" s="462" t="s">
        <v>1368</v>
      </c>
      <c r="B155" s="453">
        <v>902</v>
      </c>
      <c r="C155" s="8" t="s">
        <v>118</v>
      </c>
      <c r="D155" s="8" t="s">
        <v>140</v>
      </c>
      <c r="E155" s="500" t="s">
        <v>817</v>
      </c>
      <c r="F155" s="8"/>
      <c r="G155" s="455">
        <f t="shared" ref="G155:H158" si="8">G156</f>
        <v>45</v>
      </c>
      <c r="H155" s="455">
        <f t="shared" si="8"/>
        <v>50</v>
      </c>
      <c r="I155" s="201"/>
    </row>
    <row r="156" spans="1:9" ht="47.25" x14ac:dyDescent="0.25">
      <c r="A156" s="208" t="s">
        <v>854</v>
      </c>
      <c r="B156" s="453">
        <v>902</v>
      </c>
      <c r="C156" s="8" t="s">
        <v>118</v>
      </c>
      <c r="D156" s="8" t="s">
        <v>140</v>
      </c>
      <c r="E156" s="193" t="s">
        <v>1076</v>
      </c>
      <c r="F156" s="8"/>
      <c r="G156" s="455">
        <f t="shared" si="8"/>
        <v>45</v>
      </c>
      <c r="H156" s="455">
        <f t="shared" si="8"/>
        <v>50</v>
      </c>
      <c r="I156" s="201"/>
    </row>
    <row r="157" spans="1:9" ht="31.5" x14ac:dyDescent="0.25">
      <c r="A157" s="97" t="s">
        <v>171</v>
      </c>
      <c r="B157" s="452">
        <v>902</v>
      </c>
      <c r="C157" s="9" t="s">
        <v>118</v>
      </c>
      <c r="D157" s="9" t="s">
        <v>140</v>
      </c>
      <c r="E157" s="5" t="s">
        <v>855</v>
      </c>
      <c r="F157" s="9"/>
      <c r="G157" s="459">
        <f t="shared" si="8"/>
        <v>45</v>
      </c>
      <c r="H157" s="459">
        <f t="shared" si="8"/>
        <v>50</v>
      </c>
      <c r="I157" s="201"/>
    </row>
    <row r="158" spans="1:9" ht="31.5" x14ac:dyDescent="0.25">
      <c r="A158" s="458" t="s">
        <v>131</v>
      </c>
      <c r="B158" s="452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459">
        <f t="shared" si="8"/>
        <v>45</v>
      </c>
      <c r="H158" s="459">
        <f t="shared" si="8"/>
        <v>50</v>
      </c>
      <c r="I158" s="201"/>
    </row>
    <row r="159" spans="1:9" ht="35.450000000000003" customHeight="1" x14ac:dyDescent="0.25">
      <c r="A159" s="458" t="s">
        <v>133</v>
      </c>
      <c r="B159" s="452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459">
        <v>45</v>
      </c>
      <c r="H159" s="459">
        <v>50</v>
      </c>
      <c r="I159" s="201"/>
    </row>
    <row r="160" spans="1:9" ht="63" x14ac:dyDescent="0.25">
      <c r="A160" s="462" t="s">
        <v>1346</v>
      </c>
      <c r="B160" s="453">
        <v>902</v>
      </c>
      <c r="C160" s="8" t="s">
        <v>118</v>
      </c>
      <c r="D160" s="8" t="s">
        <v>140</v>
      </c>
      <c r="E160" s="193" t="s">
        <v>818</v>
      </c>
      <c r="F160" s="8"/>
      <c r="G160" s="455">
        <f>G162</f>
        <v>80</v>
      </c>
      <c r="H160" s="455">
        <f>H162</f>
        <v>90</v>
      </c>
      <c r="I160" s="201"/>
    </row>
    <row r="161" spans="1:9" ht="31.5" x14ac:dyDescent="0.25">
      <c r="A161" s="58" t="s">
        <v>856</v>
      </c>
      <c r="B161" s="453">
        <v>902</v>
      </c>
      <c r="C161" s="8" t="s">
        <v>118</v>
      </c>
      <c r="D161" s="8" t="s">
        <v>140</v>
      </c>
      <c r="E161" s="193" t="s">
        <v>864</v>
      </c>
      <c r="F161" s="8"/>
      <c r="G161" s="455">
        <f t="shared" ref="G161:H163" si="9">G162</f>
        <v>80</v>
      </c>
      <c r="H161" s="455">
        <f t="shared" si="9"/>
        <v>90</v>
      </c>
      <c r="I161" s="201"/>
    </row>
    <row r="162" spans="1:9" ht="15.75" x14ac:dyDescent="0.25">
      <c r="A162" s="45" t="s">
        <v>822</v>
      </c>
      <c r="B162" s="452">
        <v>902</v>
      </c>
      <c r="C162" s="9" t="s">
        <v>118</v>
      </c>
      <c r="D162" s="9" t="s">
        <v>140</v>
      </c>
      <c r="E162" s="5" t="s">
        <v>857</v>
      </c>
      <c r="F162" s="9"/>
      <c r="G162" s="459">
        <f t="shared" si="9"/>
        <v>80</v>
      </c>
      <c r="H162" s="459">
        <f t="shared" si="9"/>
        <v>90</v>
      </c>
      <c r="I162" s="201"/>
    </row>
    <row r="163" spans="1:9" ht="31.5" x14ac:dyDescent="0.25">
      <c r="A163" s="458" t="s">
        <v>131</v>
      </c>
      <c r="B163" s="452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459">
        <f t="shared" si="9"/>
        <v>80</v>
      </c>
      <c r="H163" s="459">
        <f t="shared" si="9"/>
        <v>90</v>
      </c>
      <c r="I163" s="201"/>
    </row>
    <row r="164" spans="1:9" ht="31.5" x14ac:dyDescent="0.25">
      <c r="A164" s="458" t="s">
        <v>133</v>
      </c>
      <c r="B164" s="452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459">
        <v>80</v>
      </c>
      <c r="H164" s="459">
        <v>90</v>
      </c>
      <c r="I164" s="201"/>
    </row>
    <row r="165" spans="1:9" ht="15.75" hidden="1" x14ac:dyDescent="0.25">
      <c r="A165" s="456" t="s">
        <v>212</v>
      </c>
      <c r="B165" s="453">
        <v>902</v>
      </c>
      <c r="C165" s="457" t="s">
        <v>213</v>
      </c>
      <c r="D165" s="457"/>
      <c r="E165" s="457"/>
      <c r="F165" s="457"/>
      <c r="G165" s="455">
        <f t="shared" ref="G165:H168" si="10">G166</f>
        <v>0</v>
      </c>
      <c r="H165" s="455">
        <f t="shared" si="10"/>
        <v>0</v>
      </c>
      <c r="I165" s="201"/>
    </row>
    <row r="166" spans="1:9" ht="17.100000000000001" hidden="1" customHeight="1" x14ac:dyDescent="0.25">
      <c r="A166" s="456" t="s">
        <v>218</v>
      </c>
      <c r="B166" s="453">
        <v>902</v>
      </c>
      <c r="C166" s="457" t="s">
        <v>213</v>
      </c>
      <c r="D166" s="457" t="s">
        <v>219</v>
      </c>
      <c r="E166" s="457"/>
      <c r="F166" s="457"/>
      <c r="G166" s="455">
        <f t="shared" si="10"/>
        <v>0</v>
      </c>
      <c r="H166" s="455">
        <f t="shared" si="10"/>
        <v>0</v>
      </c>
      <c r="I166" s="201"/>
    </row>
    <row r="167" spans="1:9" ht="15.75" hidden="1" x14ac:dyDescent="0.25">
      <c r="A167" s="456" t="s">
        <v>141</v>
      </c>
      <c r="B167" s="453">
        <v>902</v>
      </c>
      <c r="C167" s="457" t="s">
        <v>213</v>
      </c>
      <c r="D167" s="457" t="s">
        <v>219</v>
      </c>
      <c r="E167" s="457" t="s">
        <v>866</v>
      </c>
      <c r="F167" s="457"/>
      <c r="G167" s="455">
        <f t="shared" si="10"/>
        <v>0</v>
      </c>
      <c r="H167" s="455">
        <f t="shared" si="10"/>
        <v>0</v>
      </c>
      <c r="I167" s="201"/>
    </row>
    <row r="168" spans="1:9" ht="31.5" hidden="1" x14ac:dyDescent="0.25">
      <c r="A168" s="456" t="s">
        <v>870</v>
      </c>
      <c r="B168" s="453">
        <v>902</v>
      </c>
      <c r="C168" s="457" t="s">
        <v>213</v>
      </c>
      <c r="D168" s="457" t="s">
        <v>219</v>
      </c>
      <c r="E168" s="457" t="s">
        <v>865</v>
      </c>
      <c r="F168" s="457"/>
      <c r="G168" s="455">
        <f t="shared" si="10"/>
        <v>0</v>
      </c>
      <c r="H168" s="455">
        <f t="shared" si="10"/>
        <v>0</v>
      </c>
      <c r="I168" s="201"/>
    </row>
    <row r="169" spans="1:9" ht="15.75" hidden="1" x14ac:dyDescent="0.25">
      <c r="A169" s="458" t="s">
        <v>220</v>
      </c>
      <c r="B169" s="452">
        <v>902</v>
      </c>
      <c r="C169" s="454" t="s">
        <v>213</v>
      </c>
      <c r="D169" s="454" t="s">
        <v>219</v>
      </c>
      <c r="E169" s="454" t="s">
        <v>871</v>
      </c>
      <c r="F169" s="454"/>
      <c r="G169" s="459">
        <f>'[1]Пр.5 ведом.21'!G160</f>
        <v>0</v>
      </c>
      <c r="H169" s="459">
        <f t="shared" si="4"/>
        <v>0</v>
      </c>
      <c r="I169" s="201"/>
    </row>
    <row r="170" spans="1:9" ht="31.5" hidden="1" x14ac:dyDescent="0.25">
      <c r="A170" s="458" t="s">
        <v>198</v>
      </c>
      <c r="B170" s="452">
        <v>902</v>
      </c>
      <c r="C170" s="454" t="s">
        <v>213</v>
      </c>
      <c r="D170" s="454" t="s">
        <v>219</v>
      </c>
      <c r="E170" s="454" t="s">
        <v>871</v>
      </c>
      <c r="F170" s="454" t="s">
        <v>132</v>
      </c>
      <c r="G170" s="459">
        <f>'[1]Пр.5 ведом.21'!G161</f>
        <v>0</v>
      </c>
      <c r="H170" s="459">
        <f t="shared" si="4"/>
        <v>0</v>
      </c>
      <c r="I170" s="201"/>
    </row>
    <row r="171" spans="1:9" ht="31.5" hidden="1" x14ac:dyDescent="0.25">
      <c r="A171" s="458" t="s">
        <v>133</v>
      </c>
      <c r="B171" s="452">
        <v>902</v>
      </c>
      <c r="C171" s="454" t="s">
        <v>213</v>
      </c>
      <c r="D171" s="454" t="s">
        <v>219</v>
      </c>
      <c r="E171" s="454" t="s">
        <v>871</v>
      </c>
      <c r="F171" s="454" t="s">
        <v>134</v>
      </c>
      <c r="G171" s="459">
        <f>'[1]Пр.5 ведом.21'!G162</f>
        <v>0</v>
      </c>
      <c r="H171" s="459">
        <f t="shared" si="4"/>
        <v>0</v>
      </c>
      <c r="I171" s="201"/>
    </row>
    <row r="172" spans="1:9" ht="31.5" x14ac:dyDescent="0.25">
      <c r="A172" s="456" t="s">
        <v>222</v>
      </c>
      <c r="B172" s="453">
        <v>902</v>
      </c>
      <c r="C172" s="457" t="s">
        <v>215</v>
      </c>
      <c r="D172" s="457"/>
      <c r="E172" s="457"/>
      <c r="F172" s="457"/>
      <c r="G172" s="455">
        <f>G173</f>
        <v>8090.1</v>
      </c>
      <c r="H172" s="455">
        <f>H173</f>
        <v>8090.1</v>
      </c>
      <c r="I172" s="201"/>
    </row>
    <row r="173" spans="1:9" ht="47.25" x14ac:dyDescent="0.25">
      <c r="A173" s="456" t="s">
        <v>1348</v>
      </c>
      <c r="B173" s="453">
        <v>902</v>
      </c>
      <c r="C173" s="457" t="s">
        <v>215</v>
      </c>
      <c r="D173" s="457" t="s">
        <v>244</v>
      </c>
      <c r="E173" s="454"/>
      <c r="F173" s="454"/>
      <c r="G173" s="455">
        <f>G174</f>
        <v>8090.1</v>
      </c>
      <c r="H173" s="455">
        <f>H174</f>
        <v>8090.1</v>
      </c>
      <c r="I173" s="201"/>
    </row>
    <row r="174" spans="1:9" ht="15.75" x14ac:dyDescent="0.25">
      <c r="A174" s="456" t="s">
        <v>141</v>
      </c>
      <c r="B174" s="453">
        <v>902</v>
      </c>
      <c r="C174" s="457" t="s">
        <v>215</v>
      </c>
      <c r="D174" s="457" t="s">
        <v>244</v>
      </c>
      <c r="E174" s="457" t="s">
        <v>866</v>
      </c>
      <c r="F174" s="457"/>
      <c r="G174" s="455">
        <f>G175+G182</f>
        <v>8090.1</v>
      </c>
      <c r="H174" s="455">
        <f>H175+H182</f>
        <v>8090.1</v>
      </c>
      <c r="I174" s="201"/>
    </row>
    <row r="175" spans="1:9" ht="31.5" x14ac:dyDescent="0.25">
      <c r="A175" s="456" t="s">
        <v>870</v>
      </c>
      <c r="B175" s="453">
        <v>902</v>
      </c>
      <c r="C175" s="457" t="s">
        <v>215</v>
      </c>
      <c r="D175" s="457" t="s">
        <v>244</v>
      </c>
      <c r="E175" s="457" t="s">
        <v>865</v>
      </c>
      <c r="F175" s="457"/>
      <c r="G175" s="455">
        <f>G176+G179</f>
        <v>1982</v>
      </c>
      <c r="H175" s="455">
        <f>H176+H179</f>
        <v>1982</v>
      </c>
      <c r="I175" s="201"/>
    </row>
    <row r="176" spans="1:9" ht="47.25" x14ac:dyDescent="0.25">
      <c r="A176" s="458" t="s">
        <v>224</v>
      </c>
      <c r="B176" s="452">
        <v>902</v>
      </c>
      <c r="C176" s="454" t="s">
        <v>215</v>
      </c>
      <c r="D176" s="454" t="s">
        <v>244</v>
      </c>
      <c r="E176" s="454" t="s">
        <v>875</v>
      </c>
      <c r="F176" s="454"/>
      <c r="G176" s="459">
        <f>G177</f>
        <v>1785</v>
      </c>
      <c r="H176" s="459">
        <f>H177</f>
        <v>1785</v>
      </c>
      <c r="I176" s="201"/>
    </row>
    <row r="177" spans="1:9" ht="31.5" x14ac:dyDescent="0.25">
      <c r="A177" s="458" t="s">
        <v>198</v>
      </c>
      <c r="B177" s="452">
        <v>902</v>
      </c>
      <c r="C177" s="454" t="s">
        <v>215</v>
      </c>
      <c r="D177" s="454" t="s">
        <v>244</v>
      </c>
      <c r="E177" s="454" t="s">
        <v>875</v>
      </c>
      <c r="F177" s="454" t="s">
        <v>132</v>
      </c>
      <c r="G177" s="459">
        <f>G178</f>
        <v>1785</v>
      </c>
      <c r="H177" s="459">
        <f>H178</f>
        <v>1785</v>
      </c>
      <c r="I177" s="201"/>
    </row>
    <row r="178" spans="1:9" ht="31.5" x14ac:dyDescent="0.25">
      <c r="A178" s="458" t="s">
        <v>133</v>
      </c>
      <c r="B178" s="452">
        <v>902</v>
      </c>
      <c r="C178" s="454" t="s">
        <v>215</v>
      </c>
      <c r="D178" s="454" t="s">
        <v>244</v>
      </c>
      <c r="E178" s="454" t="s">
        <v>875</v>
      </c>
      <c r="F178" s="454" t="s">
        <v>134</v>
      </c>
      <c r="G178" s="459">
        <f>1785</f>
        <v>1785</v>
      </c>
      <c r="H178" s="459">
        <f t="shared" si="4"/>
        <v>1785</v>
      </c>
      <c r="I178" s="201"/>
    </row>
    <row r="179" spans="1:9" ht="15.75" x14ac:dyDescent="0.25">
      <c r="A179" s="458" t="s">
        <v>230</v>
      </c>
      <c r="B179" s="452">
        <v>902</v>
      </c>
      <c r="C179" s="454" t="s">
        <v>215</v>
      </c>
      <c r="D179" s="454" t="s">
        <v>244</v>
      </c>
      <c r="E179" s="454" t="s">
        <v>876</v>
      </c>
      <c r="F179" s="454"/>
      <c r="G179" s="459">
        <f>G180</f>
        <v>197</v>
      </c>
      <c r="H179" s="459">
        <f>H180</f>
        <v>197</v>
      </c>
      <c r="I179" s="201"/>
    </row>
    <row r="180" spans="1:9" ht="31.5" x14ac:dyDescent="0.25">
      <c r="A180" s="458" t="s">
        <v>198</v>
      </c>
      <c r="B180" s="452">
        <v>902</v>
      </c>
      <c r="C180" s="454" t="s">
        <v>215</v>
      </c>
      <c r="D180" s="454" t="s">
        <v>244</v>
      </c>
      <c r="E180" s="454" t="s">
        <v>876</v>
      </c>
      <c r="F180" s="454" t="s">
        <v>132</v>
      </c>
      <c r="G180" s="459">
        <f>G181</f>
        <v>197</v>
      </c>
      <c r="H180" s="459">
        <f>H181</f>
        <v>197</v>
      </c>
      <c r="I180" s="201"/>
    </row>
    <row r="181" spans="1:9" ht="31.5" x14ac:dyDescent="0.25">
      <c r="A181" s="458" t="s">
        <v>133</v>
      </c>
      <c r="B181" s="452">
        <v>902</v>
      </c>
      <c r="C181" s="454" t="s">
        <v>215</v>
      </c>
      <c r="D181" s="454" t="s">
        <v>244</v>
      </c>
      <c r="E181" s="454" t="s">
        <v>876</v>
      </c>
      <c r="F181" s="454" t="s">
        <v>134</v>
      </c>
      <c r="G181" s="459">
        <f>197</f>
        <v>197</v>
      </c>
      <c r="H181" s="459">
        <f t="shared" ref="H181:H241" si="11">G181</f>
        <v>197</v>
      </c>
      <c r="I181" s="201"/>
    </row>
    <row r="182" spans="1:9" ht="31.5" x14ac:dyDescent="0.25">
      <c r="A182" s="456" t="s">
        <v>923</v>
      </c>
      <c r="B182" s="453">
        <v>902</v>
      </c>
      <c r="C182" s="457" t="s">
        <v>215</v>
      </c>
      <c r="D182" s="457" t="s">
        <v>244</v>
      </c>
      <c r="E182" s="457" t="s">
        <v>872</v>
      </c>
      <c r="F182" s="457"/>
      <c r="G182" s="455">
        <f>G183+G188</f>
        <v>6108.1</v>
      </c>
      <c r="H182" s="455">
        <f>H183+H188</f>
        <v>6108.1</v>
      </c>
      <c r="I182" s="201"/>
    </row>
    <row r="183" spans="1:9" ht="31.5" x14ac:dyDescent="0.25">
      <c r="A183" s="458" t="s">
        <v>927</v>
      </c>
      <c r="B183" s="452">
        <v>902</v>
      </c>
      <c r="C183" s="454" t="s">
        <v>215</v>
      </c>
      <c r="D183" s="454" t="s">
        <v>244</v>
      </c>
      <c r="E183" s="454" t="s">
        <v>873</v>
      </c>
      <c r="F183" s="454"/>
      <c r="G183" s="459">
        <f>G184+G186</f>
        <v>5856.1</v>
      </c>
      <c r="H183" s="459">
        <f>H184+H186</f>
        <v>5856.1</v>
      </c>
      <c r="I183" s="201"/>
    </row>
    <row r="184" spans="1:9" ht="78.75" x14ac:dyDescent="0.25">
      <c r="A184" s="458" t="s">
        <v>127</v>
      </c>
      <c r="B184" s="452">
        <v>902</v>
      </c>
      <c r="C184" s="454" t="s">
        <v>215</v>
      </c>
      <c r="D184" s="454" t="s">
        <v>244</v>
      </c>
      <c r="E184" s="454" t="s">
        <v>873</v>
      </c>
      <c r="F184" s="454" t="s">
        <v>128</v>
      </c>
      <c r="G184" s="459">
        <f>G185</f>
        <v>5693.1</v>
      </c>
      <c r="H184" s="459">
        <f t="shared" si="11"/>
        <v>5693.1</v>
      </c>
      <c r="I184" s="201"/>
    </row>
    <row r="185" spans="1:9" ht="15.75" x14ac:dyDescent="0.25">
      <c r="A185" s="458" t="s">
        <v>208</v>
      </c>
      <c r="B185" s="452">
        <v>902</v>
      </c>
      <c r="C185" s="454" t="s">
        <v>215</v>
      </c>
      <c r="D185" s="454" t="s">
        <v>244</v>
      </c>
      <c r="E185" s="454" t="s">
        <v>873</v>
      </c>
      <c r="F185" s="454" t="s">
        <v>209</v>
      </c>
      <c r="G185" s="459">
        <v>5693.1</v>
      </c>
      <c r="H185" s="459">
        <f t="shared" si="11"/>
        <v>5693.1</v>
      </c>
      <c r="I185" s="201"/>
    </row>
    <row r="186" spans="1:9" ht="31.5" x14ac:dyDescent="0.25">
      <c r="A186" s="458" t="s">
        <v>198</v>
      </c>
      <c r="B186" s="452">
        <v>902</v>
      </c>
      <c r="C186" s="454" t="s">
        <v>215</v>
      </c>
      <c r="D186" s="454" t="s">
        <v>244</v>
      </c>
      <c r="E186" s="454" t="s">
        <v>873</v>
      </c>
      <c r="F186" s="454" t="s">
        <v>132</v>
      </c>
      <c r="G186" s="459">
        <f>G187</f>
        <v>163</v>
      </c>
      <c r="H186" s="459">
        <f>H187</f>
        <v>163</v>
      </c>
      <c r="I186" s="201"/>
    </row>
    <row r="187" spans="1:9" ht="31.5" x14ac:dyDescent="0.25">
      <c r="A187" s="458" t="s">
        <v>133</v>
      </c>
      <c r="B187" s="452">
        <v>902</v>
      </c>
      <c r="C187" s="454" t="s">
        <v>215</v>
      </c>
      <c r="D187" s="454" t="s">
        <v>244</v>
      </c>
      <c r="E187" s="454" t="s">
        <v>873</v>
      </c>
      <c r="F187" s="454" t="s">
        <v>134</v>
      </c>
      <c r="G187" s="459">
        <f>163</f>
        <v>163</v>
      </c>
      <c r="H187" s="459">
        <f t="shared" si="11"/>
        <v>163</v>
      </c>
      <c r="I187" s="201"/>
    </row>
    <row r="188" spans="1:9" ht="47.25" x14ac:dyDescent="0.25">
      <c r="A188" s="458" t="s">
        <v>839</v>
      </c>
      <c r="B188" s="452">
        <v>902</v>
      </c>
      <c r="C188" s="454" t="s">
        <v>215</v>
      </c>
      <c r="D188" s="454" t="s">
        <v>244</v>
      </c>
      <c r="E188" s="454" t="s">
        <v>874</v>
      </c>
      <c r="F188" s="454"/>
      <c r="G188" s="459">
        <f>G189</f>
        <v>252</v>
      </c>
      <c r="H188" s="459">
        <f>H189</f>
        <v>252</v>
      </c>
      <c r="I188" s="201"/>
    </row>
    <row r="189" spans="1:9" ht="78.75" x14ac:dyDescent="0.25">
      <c r="A189" s="458" t="s">
        <v>127</v>
      </c>
      <c r="B189" s="452">
        <v>902</v>
      </c>
      <c r="C189" s="454" t="s">
        <v>215</v>
      </c>
      <c r="D189" s="454" t="s">
        <v>244</v>
      </c>
      <c r="E189" s="454" t="s">
        <v>874</v>
      </c>
      <c r="F189" s="454" t="s">
        <v>128</v>
      </c>
      <c r="G189" s="459">
        <f>G190</f>
        <v>252</v>
      </c>
      <c r="H189" s="459">
        <f>H190</f>
        <v>252</v>
      </c>
      <c r="I189" s="201"/>
    </row>
    <row r="190" spans="1:9" ht="19.5" customHeight="1" x14ac:dyDescent="0.25">
      <c r="A190" s="458" t="s">
        <v>208</v>
      </c>
      <c r="B190" s="452">
        <v>902</v>
      </c>
      <c r="C190" s="454" t="s">
        <v>215</v>
      </c>
      <c r="D190" s="454" t="s">
        <v>244</v>
      </c>
      <c r="E190" s="454" t="s">
        <v>874</v>
      </c>
      <c r="F190" s="454" t="s">
        <v>209</v>
      </c>
      <c r="G190" s="459">
        <f>252</f>
        <v>252</v>
      </c>
      <c r="H190" s="459">
        <f t="shared" si="11"/>
        <v>252</v>
      </c>
      <c r="I190" s="201"/>
    </row>
    <row r="191" spans="1:9" ht="15.75" x14ac:dyDescent="0.25">
      <c r="A191" s="456" t="s">
        <v>232</v>
      </c>
      <c r="B191" s="453">
        <v>902</v>
      </c>
      <c r="C191" s="457" t="s">
        <v>150</v>
      </c>
      <c r="D191" s="457"/>
      <c r="E191" s="457"/>
      <c r="F191" s="454"/>
      <c r="G191" s="455">
        <f>G205+G192</f>
        <v>688.2</v>
      </c>
      <c r="H191" s="455">
        <f>H205+H192</f>
        <v>698.8</v>
      </c>
      <c r="I191" s="201"/>
    </row>
    <row r="192" spans="1:9" ht="15.75" x14ac:dyDescent="0.25">
      <c r="A192" s="456" t="s">
        <v>233</v>
      </c>
      <c r="B192" s="453">
        <v>902</v>
      </c>
      <c r="C192" s="457" t="s">
        <v>150</v>
      </c>
      <c r="D192" s="457" t="s">
        <v>234</v>
      </c>
      <c r="E192" s="457"/>
      <c r="F192" s="454"/>
      <c r="G192" s="455">
        <f>G193</f>
        <v>274</v>
      </c>
      <c r="H192" s="455">
        <f>H193</f>
        <v>274</v>
      </c>
      <c r="I192" s="201"/>
    </row>
    <row r="193" spans="1:9" ht="31.5" x14ac:dyDescent="0.25">
      <c r="A193" s="34" t="s">
        <v>1347</v>
      </c>
      <c r="B193" s="453">
        <v>902</v>
      </c>
      <c r="C193" s="457" t="s">
        <v>150</v>
      </c>
      <c r="D193" s="457" t="s">
        <v>234</v>
      </c>
      <c r="E193" s="193" t="s">
        <v>182</v>
      </c>
      <c r="F193" s="465"/>
      <c r="G193" s="455">
        <f>G194+G201</f>
        <v>274</v>
      </c>
      <c r="H193" s="455">
        <f>H194+H201</f>
        <v>274</v>
      </c>
      <c r="I193" s="201"/>
    </row>
    <row r="194" spans="1:9" ht="31.5" x14ac:dyDescent="0.25">
      <c r="A194" s="34" t="s">
        <v>1006</v>
      </c>
      <c r="B194" s="453">
        <v>902</v>
      </c>
      <c r="C194" s="457" t="s">
        <v>150</v>
      </c>
      <c r="D194" s="457" t="s">
        <v>234</v>
      </c>
      <c r="E194" s="246" t="s">
        <v>877</v>
      </c>
      <c r="F194" s="465"/>
      <c r="G194" s="455">
        <f>G195+G198</f>
        <v>274</v>
      </c>
      <c r="H194" s="455">
        <f>H195+H198</f>
        <v>274</v>
      </c>
      <c r="I194" s="201"/>
    </row>
    <row r="195" spans="1:9" ht="31.5" x14ac:dyDescent="0.25">
      <c r="A195" s="458" t="s">
        <v>235</v>
      </c>
      <c r="B195" s="452">
        <v>902</v>
      </c>
      <c r="C195" s="454" t="s">
        <v>150</v>
      </c>
      <c r="D195" s="454" t="s">
        <v>234</v>
      </c>
      <c r="E195" s="454" t="s">
        <v>898</v>
      </c>
      <c r="F195" s="460"/>
      <c r="G195" s="459">
        <f>G196</f>
        <v>274</v>
      </c>
      <c r="H195" s="459">
        <f>H196</f>
        <v>274</v>
      </c>
      <c r="I195" s="201"/>
    </row>
    <row r="196" spans="1:9" ht="15.75" x14ac:dyDescent="0.25">
      <c r="A196" s="29" t="s">
        <v>135</v>
      </c>
      <c r="B196" s="452">
        <v>902</v>
      </c>
      <c r="C196" s="454" t="s">
        <v>150</v>
      </c>
      <c r="D196" s="454" t="s">
        <v>234</v>
      </c>
      <c r="E196" s="454" t="s">
        <v>898</v>
      </c>
      <c r="F196" s="460" t="s">
        <v>145</v>
      </c>
      <c r="G196" s="459">
        <f>G197</f>
        <v>274</v>
      </c>
      <c r="H196" s="459">
        <f>H197</f>
        <v>274</v>
      </c>
      <c r="I196" s="201"/>
    </row>
    <row r="197" spans="1:9" ht="47.25" x14ac:dyDescent="0.25">
      <c r="A197" s="29" t="s">
        <v>184</v>
      </c>
      <c r="B197" s="452">
        <v>902</v>
      </c>
      <c r="C197" s="454" t="s">
        <v>150</v>
      </c>
      <c r="D197" s="454" t="s">
        <v>234</v>
      </c>
      <c r="E197" s="454" t="s">
        <v>898</v>
      </c>
      <c r="F197" s="460" t="s">
        <v>160</v>
      </c>
      <c r="G197" s="459">
        <f>19+255</f>
        <v>274</v>
      </c>
      <c r="H197" s="459">
        <f>19+255</f>
        <v>274</v>
      </c>
      <c r="I197" s="201"/>
    </row>
    <row r="198" spans="1:9" ht="31.5" hidden="1" x14ac:dyDescent="0.25">
      <c r="A198" s="458" t="s">
        <v>235</v>
      </c>
      <c r="B198" s="452">
        <v>902</v>
      </c>
      <c r="C198" s="454" t="s">
        <v>150</v>
      </c>
      <c r="D198" s="454" t="s">
        <v>234</v>
      </c>
      <c r="E198" s="454" t="s">
        <v>880</v>
      </c>
      <c r="F198" s="454"/>
      <c r="G198" s="459">
        <f>G199</f>
        <v>0</v>
      </c>
      <c r="H198" s="459">
        <f>H199</f>
        <v>0</v>
      </c>
      <c r="I198" s="201"/>
    </row>
    <row r="199" spans="1:9" ht="15.75" hidden="1" x14ac:dyDescent="0.25">
      <c r="A199" s="458" t="s">
        <v>135</v>
      </c>
      <c r="B199" s="452">
        <v>902</v>
      </c>
      <c r="C199" s="454" t="s">
        <v>150</v>
      </c>
      <c r="D199" s="454" t="s">
        <v>234</v>
      </c>
      <c r="E199" s="454" t="s">
        <v>880</v>
      </c>
      <c r="F199" s="454" t="s">
        <v>145</v>
      </c>
      <c r="G199" s="459">
        <f>G200</f>
        <v>0</v>
      </c>
      <c r="H199" s="459">
        <f>H200</f>
        <v>0</v>
      </c>
      <c r="I199" s="201"/>
    </row>
    <row r="200" spans="1:9" ht="47.25" hidden="1" x14ac:dyDescent="0.25">
      <c r="A200" s="458" t="s">
        <v>184</v>
      </c>
      <c r="B200" s="452">
        <v>902</v>
      </c>
      <c r="C200" s="454" t="s">
        <v>150</v>
      </c>
      <c r="D200" s="454" t="s">
        <v>234</v>
      </c>
      <c r="E200" s="454" t="s">
        <v>880</v>
      </c>
      <c r="F200" s="454" t="s">
        <v>160</v>
      </c>
      <c r="G200" s="459"/>
      <c r="H200" s="459"/>
      <c r="I200" s="201"/>
    </row>
    <row r="201" spans="1:9" ht="47.25" hidden="1" x14ac:dyDescent="0.25">
      <c r="A201" s="209" t="s">
        <v>1007</v>
      </c>
      <c r="B201" s="453">
        <v>902</v>
      </c>
      <c r="C201" s="457" t="s">
        <v>150</v>
      </c>
      <c r="D201" s="457" t="s">
        <v>234</v>
      </c>
      <c r="E201" s="193" t="s">
        <v>879</v>
      </c>
      <c r="F201" s="465"/>
      <c r="G201" s="455">
        <f t="shared" ref="G201:H203" si="12">G202</f>
        <v>0</v>
      </c>
      <c r="H201" s="455">
        <f t="shared" si="12"/>
        <v>0</v>
      </c>
      <c r="I201" s="201"/>
    </row>
    <row r="202" spans="1:9" ht="15.75" hidden="1" x14ac:dyDescent="0.25">
      <c r="A202" s="458" t="s">
        <v>878</v>
      </c>
      <c r="B202" s="452">
        <v>902</v>
      </c>
      <c r="C202" s="454" t="s">
        <v>150</v>
      </c>
      <c r="D202" s="454" t="s">
        <v>234</v>
      </c>
      <c r="E202" s="5" t="s">
        <v>899</v>
      </c>
      <c r="F202" s="460"/>
      <c r="G202" s="459">
        <f t="shared" si="12"/>
        <v>0</v>
      </c>
      <c r="H202" s="459">
        <f t="shared" si="12"/>
        <v>0</v>
      </c>
      <c r="I202" s="201"/>
    </row>
    <row r="203" spans="1:9" ht="15.75" hidden="1" x14ac:dyDescent="0.25">
      <c r="A203" s="29" t="s">
        <v>135</v>
      </c>
      <c r="B203" s="452">
        <v>902</v>
      </c>
      <c r="C203" s="454" t="s">
        <v>150</v>
      </c>
      <c r="D203" s="454" t="s">
        <v>234</v>
      </c>
      <c r="E203" s="5" t="s">
        <v>899</v>
      </c>
      <c r="F203" s="460" t="s">
        <v>145</v>
      </c>
      <c r="G203" s="459">
        <f t="shared" si="12"/>
        <v>0</v>
      </c>
      <c r="H203" s="459">
        <f t="shared" si="12"/>
        <v>0</v>
      </c>
      <c r="I203" s="201"/>
    </row>
    <row r="204" spans="1:9" ht="47.25" hidden="1" x14ac:dyDescent="0.25">
      <c r="A204" s="29" t="s">
        <v>184</v>
      </c>
      <c r="B204" s="452">
        <v>902</v>
      </c>
      <c r="C204" s="454" t="s">
        <v>150</v>
      </c>
      <c r="D204" s="454" t="s">
        <v>234</v>
      </c>
      <c r="E204" s="5" t="s">
        <v>899</v>
      </c>
      <c r="F204" s="460" t="s">
        <v>160</v>
      </c>
      <c r="G204" s="459">
        <v>0</v>
      </c>
      <c r="H204" s="459">
        <v>0</v>
      </c>
      <c r="I204" s="201"/>
    </row>
    <row r="205" spans="1:9" ht="31.5" x14ac:dyDescent="0.25">
      <c r="A205" s="456" t="s">
        <v>237</v>
      </c>
      <c r="B205" s="453">
        <v>902</v>
      </c>
      <c r="C205" s="457" t="s">
        <v>150</v>
      </c>
      <c r="D205" s="457" t="s">
        <v>238</v>
      </c>
      <c r="E205" s="457"/>
      <c r="F205" s="457"/>
      <c r="G205" s="455">
        <f>G206+G213</f>
        <v>414.2</v>
      </c>
      <c r="H205" s="455">
        <f>H206+H213</f>
        <v>424.8</v>
      </c>
      <c r="I205" s="201"/>
    </row>
    <row r="206" spans="1:9" ht="31.5" x14ac:dyDescent="0.25">
      <c r="A206" s="456" t="s">
        <v>917</v>
      </c>
      <c r="B206" s="453">
        <v>902</v>
      </c>
      <c r="C206" s="457" t="s">
        <v>150</v>
      </c>
      <c r="D206" s="457" t="s">
        <v>238</v>
      </c>
      <c r="E206" s="457" t="s">
        <v>858</v>
      </c>
      <c r="F206" s="457"/>
      <c r="G206" s="455">
        <f>G207</f>
        <v>264.2</v>
      </c>
      <c r="H206" s="455">
        <f>H207</f>
        <v>274.8</v>
      </c>
      <c r="I206" s="201"/>
    </row>
    <row r="207" spans="1:9" ht="31.5" x14ac:dyDescent="0.25">
      <c r="A207" s="456" t="s">
        <v>885</v>
      </c>
      <c r="B207" s="453">
        <v>902</v>
      </c>
      <c r="C207" s="457" t="s">
        <v>150</v>
      </c>
      <c r="D207" s="457" t="s">
        <v>238</v>
      </c>
      <c r="E207" s="457" t="s">
        <v>863</v>
      </c>
      <c r="F207" s="457"/>
      <c r="G207" s="455">
        <f>G208</f>
        <v>264.2</v>
      </c>
      <c r="H207" s="455">
        <f>H208</f>
        <v>274.8</v>
      </c>
      <c r="I207" s="201"/>
    </row>
    <row r="208" spans="1:9" ht="63" x14ac:dyDescent="0.25">
      <c r="A208" s="31" t="s">
        <v>241</v>
      </c>
      <c r="B208" s="452">
        <v>902</v>
      </c>
      <c r="C208" s="454" t="s">
        <v>150</v>
      </c>
      <c r="D208" s="454" t="s">
        <v>238</v>
      </c>
      <c r="E208" s="454" t="s">
        <v>924</v>
      </c>
      <c r="F208" s="454"/>
      <c r="G208" s="459">
        <f>G209+G211</f>
        <v>264.2</v>
      </c>
      <c r="H208" s="459">
        <f>H209+H211</f>
        <v>274.8</v>
      </c>
      <c r="I208" s="201"/>
    </row>
    <row r="209" spans="1:9" ht="78.75" x14ac:dyDescent="0.25">
      <c r="A209" s="458" t="s">
        <v>127</v>
      </c>
      <c r="B209" s="452">
        <v>902</v>
      </c>
      <c r="C209" s="454" t="s">
        <v>150</v>
      </c>
      <c r="D209" s="454" t="s">
        <v>238</v>
      </c>
      <c r="E209" s="454" t="s">
        <v>924</v>
      </c>
      <c r="F209" s="454" t="s">
        <v>128</v>
      </c>
      <c r="G209" s="459">
        <f>G210</f>
        <v>205.8</v>
      </c>
      <c r="H209" s="459">
        <f>H210</f>
        <v>205.8</v>
      </c>
      <c r="I209" s="201"/>
    </row>
    <row r="210" spans="1:9" ht="31.5" x14ac:dyDescent="0.25">
      <c r="A210" s="458" t="s">
        <v>129</v>
      </c>
      <c r="B210" s="452">
        <v>902</v>
      </c>
      <c r="C210" s="454" t="s">
        <v>150</v>
      </c>
      <c r="D210" s="454" t="s">
        <v>238</v>
      </c>
      <c r="E210" s="454" t="s">
        <v>924</v>
      </c>
      <c r="F210" s="454" t="s">
        <v>130</v>
      </c>
      <c r="G210" s="459">
        <f>187+18.8</f>
        <v>205.8</v>
      </c>
      <c r="H210" s="459">
        <f t="shared" si="11"/>
        <v>205.8</v>
      </c>
      <c r="I210" s="201"/>
    </row>
    <row r="211" spans="1:9" ht="31.5" x14ac:dyDescent="0.25">
      <c r="A211" s="458" t="s">
        <v>131</v>
      </c>
      <c r="B211" s="452">
        <v>902</v>
      </c>
      <c r="C211" s="454" t="s">
        <v>150</v>
      </c>
      <c r="D211" s="454" t="s">
        <v>238</v>
      </c>
      <c r="E211" s="454" t="s">
        <v>924</v>
      </c>
      <c r="F211" s="454" t="s">
        <v>132</v>
      </c>
      <c r="G211" s="459">
        <f>G212</f>
        <v>58.4</v>
      </c>
      <c r="H211" s="459">
        <f>H212</f>
        <v>69</v>
      </c>
      <c r="I211" s="201"/>
    </row>
    <row r="212" spans="1:9" ht="31.5" x14ac:dyDescent="0.25">
      <c r="A212" s="458" t="s">
        <v>133</v>
      </c>
      <c r="B212" s="452">
        <v>902</v>
      </c>
      <c r="C212" s="454" t="s">
        <v>150</v>
      </c>
      <c r="D212" s="454" t="s">
        <v>238</v>
      </c>
      <c r="E212" s="454" t="s">
        <v>924</v>
      </c>
      <c r="F212" s="454" t="s">
        <v>134</v>
      </c>
      <c r="G212" s="459">
        <f>101.8-43.4</f>
        <v>58.4</v>
      </c>
      <c r="H212" s="459">
        <v>69</v>
      </c>
      <c r="I212" s="201"/>
    </row>
    <row r="213" spans="1:9" ht="47.25" x14ac:dyDescent="0.25">
      <c r="A213" s="456" t="s">
        <v>1339</v>
      </c>
      <c r="B213" s="453">
        <v>902</v>
      </c>
      <c r="C213" s="457" t="s">
        <v>150</v>
      </c>
      <c r="D213" s="457" t="s">
        <v>238</v>
      </c>
      <c r="E213" s="457" t="s">
        <v>156</v>
      </c>
      <c r="F213" s="457"/>
      <c r="G213" s="455">
        <f t="shared" ref="G213:H215" si="13">G214</f>
        <v>150</v>
      </c>
      <c r="H213" s="455">
        <f t="shared" si="13"/>
        <v>150</v>
      </c>
      <c r="I213" s="201"/>
    </row>
    <row r="214" spans="1:9" ht="47.25" x14ac:dyDescent="0.25">
      <c r="A214" s="456" t="s">
        <v>1065</v>
      </c>
      <c r="B214" s="453">
        <v>902</v>
      </c>
      <c r="C214" s="457" t="s">
        <v>150</v>
      </c>
      <c r="D214" s="457" t="s">
        <v>238</v>
      </c>
      <c r="E214" s="457" t="s">
        <v>1062</v>
      </c>
      <c r="F214" s="457"/>
      <c r="G214" s="455">
        <f t="shared" si="13"/>
        <v>150</v>
      </c>
      <c r="H214" s="455">
        <f t="shared" si="13"/>
        <v>150</v>
      </c>
      <c r="I214" s="201"/>
    </row>
    <row r="215" spans="1:9" ht="31.5" x14ac:dyDescent="0.25">
      <c r="A215" s="458" t="s">
        <v>1066</v>
      </c>
      <c r="B215" s="452">
        <v>902</v>
      </c>
      <c r="C215" s="454" t="s">
        <v>150</v>
      </c>
      <c r="D215" s="454" t="s">
        <v>238</v>
      </c>
      <c r="E215" s="454" t="s">
        <v>1063</v>
      </c>
      <c r="F215" s="454"/>
      <c r="G215" s="459">
        <f t="shared" si="13"/>
        <v>150</v>
      </c>
      <c r="H215" s="459">
        <f t="shared" si="13"/>
        <v>150</v>
      </c>
      <c r="I215" s="201"/>
    </row>
    <row r="216" spans="1:9" ht="15.75" x14ac:dyDescent="0.25">
      <c r="A216" s="458" t="s">
        <v>135</v>
      </c>
      <c r="B216" s="452">
        <v>902</v>
      </c>
      <c r="C216" s="454" t="s">
        <v>150</v>
      </c>
      <c r="D216" s="454" t="s">
        <v>238</v>
      </c>
      <c r="E216" s="454" t="s">
        <v>1063</v>
      </c>
      <c r="F216" s="454" t="s">
        <v>145</v>
      </c>
      <c r="G216" s="459">
        <f>G217</f>
        <v>150</v>
      </c>
      <c r="H216" s="459">
        <f t="shared" si="11"/>
        <v>150</v>
      </c>
      <c r="I216" s="201"/>
    </row>
    <row r="217" spans="1:9" ht="47.25" x14ac:dyDescent="0.25">
      <c r="A217" s="458" t="s">
        <v>184</v>
      </c>
      <c r="B217" s="452">
        <v>902</v>
      </c>
      <c r="C217" s="454" t="s">
        <v>150</v>
      </c>
      <c r="D217" s="454" t="s">
        <v>238</v>
      </c>
      <c r="E217" s="454" t="s">
        <v>1063</v>
      </c>
      <c r="F217" s="454" t="s">
        <v>160</v>
      </c>
      <c r="G217" s="159">
        <v>150</v>
      </c>
      <c r="H217" s="159">
        <f t="shared" si="11"/>
        <v>150</v>
      </c>
      <c r="I217" s="201"/>
    </row>
    <row r="218" spans="1:9" ht="15.75" x14ac:dyDescent="0.25">
      <c r="A218" s="456" t="s">
        <v>243</v>
      </c>
      <c r="B218" s="453">
        <v>902</v>
      </c>
      <c r="C218" s="457" t="s">
        <v>244</v>
      </c>
      <c r="D218" s="457"/>
      <c r="E218" s="457"/>
      <c r="F218" s="457"/>
      <c r="G218" s="455">
        <f>G219+G225+G234</f>
        <v>13475.699999999999</v>
      </c>
      <c r="H218" s="455">
        <f>H219+H225+H234</f>
        <v>13431.699999999999</v>
      </c>
      <c r="I218" s="201"/>
    </row>
    <row r="219" spans="1:9" ht="15.75" x14ac:dyDescent="0.25">
      <c r="A219" s="456" t="s">
        <v>245</v>
      </c>
      <c r="B219" s="453">
        <v>902</v>
      </c>
      <c r="C219" s="457" t="s">
        <v>244</v>
      </c>
      <c r="D219" s="457" t="s">
        <v>118</v>
      </c>
      <c r="E219" s="457"/>
      <c r="F219" s="457"/>
      <c r="G219" s="455">
        <f t="shared" ref="G219:H223" si="14">G220</f>
        <v>9815.2999999999993</v>
      </c>
      <c r="H219" s="455">
        <f t="shared" si="14"/>
        <v>9815.2999999999993</v>
      </c>
      <c r="I219" s="201"/>
    </row>
    <row r="220" spans="1:9" ht="15.75" x14ac:dyDescent="0.25">
      <c r="A220" s="456" t="s">
        <v>141</v>
      </c>
      <c r="B220" s="453">
        <v>902</v>
      </c>
      <c r="C220" s="457" t="s">
        <v>244</v>
      </c>
      <c r="D220" s="457" t="s">
        <v>118</v>
      </c>
      <c r="E220" s="457" t="s">
        <v>866</v>
      </c>
      <c r="F220" s="457"/>
      <c r="G220" s="455">
        <f t="shared" si="14"/>
        <v>9815.2999999999993</v>
      </c>
      <c r="H220" s="455">
        <f t="shared" si="14"/>
        <v>9815.2999999999993</v>
      </c>
      <c r="I220" s="201"/>
    </row>
    <row r="221" spans="1:9" ht="31.5" x14ac:dyDescent="0.25">
      <c r="A221" s="456" t="s">
        <v>870</v>
      </c>
      <c r="B221" s="453">
        <v>902</v>
      </c>
      <c r="C221" s="457" t="s">
        <v>244</v>
      </c>
      <c r="D221" s="457" t="s">
        <v>118</v>
      </c>
      <c r="E221" s="457" t="s">
        <v>865</v>
      </c>
      <c r="F221" s="457"/>
      <c r="G221" s="455">
        <f t="shared" si="14"/>
        <v>9815.2999999999993</v>
      </c>
      <c r="H221" s="455">
        <f t="shared" si="14"/>
        <v>9815.2999999999993</v>
      </c>
      <c r="I221" s="201"/>
    </row>
    <row r="222" spans="1:9" ht="15.75" x14ac:dyDescent="0.25">
      <c r="A222" s="458" t="s">
        <v>246</v>
      </c>
      <c r="B222" s="452">
        <v>902</v>
      </c>
      <c r="C222" s="454" t="s">
        <v>244</v>
      </c>
      <c r="D222" s="454" t="s">
        <v>118</v>
      </c>
      <c r="E222" s="454" t="s">
        <v>881</v>
      </c>
      <c r="F222" s="454"/>
      <c r="G222" s="459">
        <f t="shared" si="14"/>
        <v>9815.2999999999993</v>
      </c>
      <c r="H222" s="459">
        <f t="shared" si="14"/>
        <v>9815.2999999999993</v>
      </c>
      <c r="I222" s="201"/>
    </row>
    <row r="223" spans="1:9" ht="22.7" customHeight="1" x14ac:dyDescent="0.25">
      <c r="A223" s="458" t="s">
        <v>248</v>
      </c>
      <c r="B223" s="452">
        <v>902</v>
      </c>
      <c r="C223" s="454" t="s">
        <v>244</v>
      </c>
      <c r="D223" s="454" t="s">
        <v>118</v>
      </c>
      <c r="E223" s="454" t="s">
        <v>881</v>
      </c>
      <c r="F223" s="454" t="s">
        <v>249</v>
      </c>
      <c r="G223" s="459">
        <f t="shared" si="14"/>
        <v>9815.2999999999993</v>
      </c>
      <c r="H223" s="459">
        <f t="shared" si="14"/>
        <v>9815.2999999999993</v>
      </c>
      <c r="I223" s="201"/>
    </row>
    <row r="224" spans="1:9" ht="31.5" x14ac:dyDescent="0.25">
      <c r="A224" s="458" t="s">
        <v>348</v>
      </c>
      <c r="B224" s="452">
        <v>902</v>
      </c>
      <c r="C224" s="454" t="s">
        <v>244</v>
      </c>
      <c r="D224" s="454" t="s">
        <v>118</v>
      </c>
      <c r="E224" s="454" t="s">
        <v>881</v>
      </c>
      <c r="F224" s="454" t="s">
        <v>349</v>
      </c>
      <c r="G224" s="459">
        <v>9815.2999999999993</v>
      </c>
      <c r="H224" s="459">
        <f t="shared" si="11"/>
        <v>9815.2999999999993</v>
      </c>
      <c r="I224" s="201"/>
    </row>
    <row r="225" spans="1:9" ht="15.75" x14ac:dyDescent="0.25">
      <c r="A225" s="456" t="s">
        <v>252</v>
      </c>
      <c r="B225" s="453">
        <v>902</v>
      </c>
      <c r="C225" s="457" t="s">
        <v>244</v>
      </c>
      <c r="D225" s="457" t="s">
        <v>215</v>
      </c>
      <c r="E225" s="454"/>
      <c r="F225" s="454"/>
      <c r="G225" s="455">
        <f>G226</f>
        <v>10</v>
      </c>
      <c r="H225" s="455">
        <f>H226</f>
        <v>10</v>
      </c>
      <c r="I225" s="201"/>
    </row>
    <row r="226" spans="1:9" ht="63" x14ac:dyDescent="0.25">
      <c r="A226" s="456" t="s">
        <v>1349</v>
      </c>
      <c r="B226" s="453">
        <v>902</v>
      </c>
      <c r="C226" s="457" t="s">
        <v>244</v>
      </c>
      <c r="D226" s="457" t="s">
        <v>215</v>
      </c>
      <c r="E226" s="457" t="s">
        <v>254</v>
      </c>
      <c r="F226" s="457"/>
      <c r="G226" s="455">
        <f>G227</f>
        <v>10</v>
      </c>
      <c r="H226" s="455">
        <f>H227</f>
        <v>10</v>
      </c>
      <c r="I226" s="201"/>
    </row>
    <row r="227" spans="1:9" ht="47.25" x14ac:dyDescent="0.25">
      <c r="A227" s="456" t="s">
        <v>884</v>
      </c>
      <c r="B227" s="453">
        <v>902</v>
      </c>
      <c r="C227" s="457" t="s">
        <v>244</v>
      </c>
      <c r="D227" s="457" t="s">
        <v>215</v>
      </c>
      <c r="E227" s="457" t="s">
        <v>882</v>
      </c>
      <c r="F227" s="457"/>
      <c r="G227" s="455">
        <f>G228+G231</f>
        <v>10</v>
      </c>
      <c r="H227" s="455">
        <f>H228+H231</f>
        <v>10</v>
      </c>
      <c r="I227" s="201"/>
    </row>
    <row r="228" spans="1:9" ht="31.5" x14ac:dyDescent="0.25">
      <c r="A228" s="458" t="s">
        <v>883</v>
      </c>
      <c r="B228" s="452">
        <v>902</v>
      </c>
      <c r="C228" s="454" t="s">
        <v>244</v>
      </c>
      <c r="D228" s="454" t="s">
        <v>215</v>
      </c>
      <c r="E228" s="454" t="s">
        <v>1189</v>
      </c>
      <c r="F228" s="454"/>
      <c r="G228" s="459">
        <f>G229</f>
        <v>10</v>
      </c>
      <c r="H228" s="459">
        <f>H229</f>
        <v>10</v>
      </c>
      <c r="I228" s="201"/>
    </row>
    <row r="229" spans="1:9" ht="19.5" customHeight="1" x14ac:dyDescent="0.25">
      <c r="A229" s="458" t="s">
        <v>248</v>
      </c>
      <c r="B229" s="452">
        <v>902</v>
      </c>
      <c r="C229" s="454" t="s">
        <v>244</v>
      </c>
      <c r="D229" s="454" t="s">
        <v>215</v>
      </c>
      <c r="E229" s="454" t="s">
        <v>1189</v>
      </c>
      <c r="F229" s="454" t="s">
        <v>249</v>
      </c>
      <c r="G229" s="459">
        <f>G230</f>
        <v>10</v>
      </c>
      <c r="H229" s="459">
        <f>H230</f>
        <v>10</v>
      </c>
      <c r="I229" s="201"/>
    </row>
    <row r="230" spans="1:9" ht="31.5" x14ac:dyDescent="0.25">
      <c r="A230" s="458" t="s">
        <v>250</v>
      </c>
      <c r="B230" s="452">
        <v>902</v>
      </c>
      <c r="C230" s="454" t="s">
        <v>244</v>
      </c>
      <c r="D230" s="454" t="s">
        <v>215</v>
      </c>
      <c r="E230" s="454" t="s">
        <v>1189</v>
      </c>
      <c r="F230" s="454" t="s">
        <v>251</v>
      </c>
      <c r="G230" s="459">
        <f>10</f>
        <v>10</v>
      </c>
      <c r="H230" s="459">
        <f t="shared" si="11"/>
        <v>10</v>
      </c>
      <c r="I230" s="201"/>
    </row>
    <row r="231" spans="1:9" ht="63" hidden="1" x14ac:dyDescent="0.25">
      <c r="A231" s="458" t="s">
        <v>1188</v>
      </c>
      <c r="B231" s="452">
        <v>902</v>
      </c>
      <c r="C231" s="454" t="s">
        <v>244</v>
      </c>
      <c r="D231" s="454" t="s">
        <v>215</v>
      </c>
      <c r="E231" s="454" t="s">
        <v>1176</v>
      </c>
      <c r="F231" s="454"/>
      <c r="G231" s="459">
        <f>G232</f>
        <v>0</v>
      </c>
      <c r="H231" s="459">
        <f>H232</f>
        <v>0</v>
      </c>
      <c r="I231" s="201"/>
    </row>
    <row r="232" spans="1:9" ht="20.25" hidden="1" customHeight="1" x14ac:dyDescent="0.25">
      <c r="A232" s="458" t="s">
        <v>248</v>
      </c>
      <c r="B232" s="452">
        <v>902</v>
      </c>
      <c r="C232" s="454" t="s">
        <v>244</v>
      </c>
      <c r="D232" s="454" t="s">
        <v>215</v>
      </c>
      <c r="E232" s="454" t="s">
        <v>1176</v>
      </c>
      <c r="F232" s="454" t="s">
        <v>249</v>
      </c>
      <c r="G232" s="459">
        <f>G233</f>
        <v>0</v>
      </c>
      <c r="H232" s="459">
        <f>H233</f>
        <v>0</v>
      </c>
      <c r="I232" s="201"/>
    </row>
    <row r="233" spans="1:9" ht="31.5" hidden="1" x14ac:dyDescent="0.25">
      <c r="A233" s="458" t="s">
        <v>250</v>
      </c>
      <c r="B233" s="452">
        <v>902</v>
      </c>
      <c r="C233" s="454" t="s">
        <v>244</v>
      </c>
      <c r="D233" s="454" t="s">
        <v>215</v>
      </c>
      <c r="E233" s="454" t="s">
        <v>1176</v>
      </c>
      <c r="F233" s="454" t="s">
        <v>251</v>
      </c>
      <c r="G233" s="459">
        <v>0</v>
      </c>
      <c r="H233" s="459">
        <v>0</v>
      </c>
      <c r="I233" s="201"/>
    </row>
    <row r="234" spans="1:9" ht="15.75" x14ac:dyDescent="0.25">
      <c r="A234" s="456" t="s">
        <v>258</v>
      </c>
      <c r="B234" s="453">
        <v>902</v>
      </c>
      <c r="C234" s="457" t="s">
        <v>244</v>
      </c>
      <c r="D234" s="457" t="s">
        <v>120</v>
      </c>
      <c r="E234" s="457"/>
      <c r="F234" s="457"/>
      <c r="G234" s="455">
        <f t="shared" ref="G234:H236" si="15">G235</f>
        <v>3650.4</v>
      </c>
      <c r="H234" s="455">
        <f t="shared" si="15"/>
        <v>3606.4</v>
      </c>
      <c r="I234" s="201"/>
    </row>
    <row r="235" spans="1:9" ht="31.5" x14ac:dyDescent="0.25">
      <c r="A235" s="456" t="s">
        <v>917</v>
      </c>
      <c r="B235" s="453">
        <v>902</v>
      </c>
      <c r="C235" s="457" t="s">
        <v>244</v>
      </c>
      <c r="D235" s="457" t="s">
        <v>120</v>
      </c>
      <c r="E235" s="457" t="s">
        <v>858</v>
      </c>
      <c r="F235" s="457"/>
      <c r="G235" s="455">
        <f t="shared" si="15"/>
        <v>3650.4</v>
      </c>
      <c r="H235" s="455">
        <f t="shared" si="15"/>
        <v>3606.4</v>
      </c>
      <c r="I235" s="201"/>
    </row>
    <row r="236" spans="1:9" ht="31.5" x14ac:dyDescent="0.25">
      <c r="A236" s="456" t="s">
        <v>885</v>
      </c>
      <c r="B236" s="453">
        <v>902</v>
      </c>
      <c r="C236" s="457" t="s">
        <v>244</v>
      </c>
      <c r="D236" s="457" t="s">
        <v>120</v>
      </c>
      <c r="E236" s="457" t="s">
        <v>863</v>
      </c>
      <c r="F236" s="457"/>
      <c r="G236" s="455">
        <f t="shared" si="15"/>
        <v>3650.4</v>
      </c>
      <c r="H236" s="455">
        <f t="shared" si="15"/>
        <v>3606.4</v>
      </c>
      <c r="I236" s="201"/>
    </row>
    <row r="237" spans="1:9" ht="47.25" x14ac:dyDescent="0.25">
      <c r="A237" s="31" t="s">
        <v>259</v>
      </c>
      <c r="B237" s="452">
        <v>902</v>
      </c>
      <c r="C237" s="454" t="s">
        <v>244</v>
      </c>
      <c r="D237" s="454" t="s">
        <v>120</v>
      </c>
      <c r="E237" s="454" t="s">
        <v>925</v>
      </c>
      <c r="F237" s="454"/>
      <c r="G237" s="459">
        <f>G238+G240</f>
        <v>3650.4</v>
      </c>
      <c r="H237" s="459">
        <f>H238+H240</f>
        <v>3606.4</v>
      </c>
      <c r="I237" s="201"/>
    </row>
    <row r="238" spans="1:9" ht="78.75" x14ac:dyDescent="0.25">
      <c r="A238" s="458" t="s">
        <v>127</v>
      </c>
      <c r="B238" s="452">
        <v>902</v>
      </c>
      <c r="C238" s="454" t="s">
        <v>244</v>
      </c>
      <c r="D238" s="454" t="s">
        <v>120</v>
      </c>
      <c r="E238" s="454" t="s">
        <v>925</v>
      </c>
      <c r="F238" s="454" t="s">
        <v>128</v>
      </c>
      <c r="G238" s="459">
        <f>G239</f>
        <v>3249.8</v>
      </c>
      <c r="H238" s="459">
        <f>H239</f>
        <v>3205.8</v>
      </c>
      <c r="I238" s="201"/>
    </row>
    <row r="239" spans="1:9" ht="31.5" x14ac:dyDescent="0.25">
      <c r="A239" s="458" t="s">
        <v>129</v>
      </c>
      <c r="B239" s="452">
        <v>902</v>
      </c>
      <c r="C239" s="454" t="s">
        <v>244</v>
      </c>
      <c r="D239" s="454" t="s">
        <v>120</v>
      </c>
      <c r="E239" s="454" t="s">
        <v>925</v>
      </c>
      <c r="F239" s="454" t="s">
        <v>130</v>
      </c>
      <c r="G239" s="459">
        <v>3249.8</v>
      </c>
      <c r="H239" s="459">
        <v>3205.8</v>
      </c>
      <c r="I239" s="201"/>
    </row>
    <row r="240" spans="1:9" ht="31.5" x14ac:dyDescent="0.25">
      <c r="A240" s="458" t="s">
        <v>131</v>
      </c>
      <c r="B240" s="452">
        <v>902</v>
      </c>
      <c r="C240" s="454" t="s">
        <v>244</v>
      </c>
      <c r="D240" s="454" t="s">
        <v>120</v>
      </c>
      <c r="E240" s="454" t="s">
        <v>925</v>
      </c>
      <c r="F240" s="454" t="s">
        <v>132</v>
      </c>
      <c r="G240" s="459">
        <f>G241</f>
        <v>400.6</v>
      </c>
      <c r="H240" s="459">
        <f>H241</f>
        <v>400.6</v>
      </c>
      <c r="I240" s="201"/>
    </row>
    <row r="241" spans="1:12" ht="31.5" x14ac:dyDescent="0.25">
      <c r="A241" s="458" t="s">
        <v>133</v>
      </c>
      <c r="B241" s="452">
        <v>902</v>
      </c>
      <c r="C241" s="454" t="s">
        <v>244</v>
      </c>
      <c r="D241" s="454" t="s">
        <v>120</v>
      </c>
      <c r="E241" s="454" t="s">
        <v>925</v>
      </c>
      <c r="F241" s="454" t="s">
        <v>134</v>
      </c>
      <c r="G241" s="459">
        <v>400.6</v>
      </c>
      <c r="H241" s="459">
        <f t="shared" si="11"/>
        <v>400.6</v>
      </c>
      <c r="I241" s="201"/>
    </row>
    <row r="242" spans="1:12" ht="47.25" x14ac:dyDescent="0.25">
      <c r="A242" s="453" t="s">
        <v>261</v>
      </c>
      <c r="B242" s="453">
        <v>903</v>
      </c>
      <c r="C242" s="454"/>
      <c r="D242" s="454"/>
      <c r="E242" s="454"/>
      <c r="F242" s="454"/>
      <c r="G242" s="455">
        <f>G293+G357+G445+G243+G273+G468</f>
        <v>104757.7</v>
      </c>
      <c r="H242" s="455">
        <f>H293+H357+H445+H243+H273+H468</f>
        <v>106518</v>
      </c>
      <c r="I242" s="201"/>
    </row>
    <row r="243" spans="1:12" ht="15.75" x14ac:dyDescent="0.25">
      <c r="A243" s="456" t="s">
        <v>117</v>
      </c>
      <c r="B243" s="453">
        <v>903</v>
      </c>
      <c r="C243" s="457" t="s">
        <v>118</v>
      </c>
      <c r="D243" s="454"/>
      <c r="E243" s="454"/>
      <c r="F243" s="454"/>
      <c r="G243" s="455">
        <f>G244</f>
        <v>225</v>
      </c>
      <c r="H243" s="455">
        <f>H244</f>
        <v>625</v>
      </c>
      <c r="I243" s="201"/>
    </row>
    <row r="244" spans="1:12" ht="15.75" x14ac:dyDescent="0.25">
      <c r="A244" s="456" t="s">
        <v>139</v>
      </c>
      <c r="B244" s="453">
        <v>903</v>
      </c>
      <c r="C244" s="457" t="s">
        <v>118</v>
      </c>
      <c r="D244" s="457" t="s">
        <v>140</v>
      </c>
      <c r="E244" s="454"/>
      <c r="F244" s="454"/>
      <c r="G244" s="455">
        <f>G245+G251+G268</f>
        <v>225</v>
      </c>
      <c r="H244" s="455">
        <f>H245+H251+H268</f>
        <v>625</v>
      </c>
      <c r="I244" s="201"/>
    </row>
    <row r="245" spans="1:12" ht="47.25" x14ac:dyDescent="0.25">
      <c r="A245" s="456" t="s">
        <v>1369</v>
      </c>
      <c r="B245" s="453">
        <v>903</v>
      </c>
      <c r="C245" s="8" t="s">
        <v>118</v>
      </c>
      <c r="D245" s="8" t="s">
        <v>140</v>
      </c>
      <c r="E245" s="193" t="s">
        <v>344</v>
      </c>
      <c r="F245" s="8"/>
      <c r="G245" s="455">
        <f t="shared" ref="G245:H249" si="16">G246</f>
        <v>200</v>
      </c>
      <c r="H245" s="455">
        <f t="shared" si="16"/>
        <v>500</v>
      </c>
      <c r="I245" s="201"/>
      <c r="L245" s="227"/>
    </row>
    <row r="246" spans="1:12" ht="78.75" x14ac:dyDescent="0.25">
      <c r="A246" s="462" t="s">
        <v>1351</v>
      </c>
      <c r="B246" s="453">
        <v>903</v>
      </c>
      <c r="C246" s="7" t="s">
        <v>118</v>
      </c>
      <c r="D246" s="7" t="s">
        <v>140</v>
      </c>
      <c r="E246" s="7" t="s">
        <v>359</v>
      </c>
      <c r="F246" s="7"/>
      <c r="G246" s="455">
        <f t="shared" si="16"/>
        <v>200</v>
      </c>
      <c r="H246" s="455">
        <f t="shared" si="16"/>
        <v>500</v>
      </c>
      <c r="I246" s="201"/>
    </row>
    <row r="247" spans="1:12" ht="63" x14ac:dyDescent="0.25">
      <c r="A247" s="245" t="s">
        <v>1045</v>
      </c>
      <c r="B247" s="453">
        <v>903</v>
      </c>
      <c r="C247" s="7" t="s">
        <v>118</v>
      </c>
      <c r="D247" s="7" t="s">
        <v>140</v>
      </c>
      <c r="E247" s="7" t="s">
        <v>909</v>
      </c>
      <c r="F247" s="7"/>
      <c r="G247" s="455">
        <f t="shared" si="16"/>
        <v>200</v>
      </c>
      <c r="H247" s="455">
        <f t="shared" si="16"/>
        <v>500</v>
      </c>
      <c r="I247" s="201"/>
    </row>
    <row r="248" spans="1:12" ht="31.5" x14ac:dyDescent="0.25">
      <c r="A248" s="98" t="s">
        <v>1046</v>
      </c>
      <c r="B248" s="452">
        <v>903</v>
      </c>
      <c r="C248" s="461" t="s">
        <v>118</v>
      </c>
      <c r="D248" s="461" t="s">
        <v>140</v>
      </c>
      <c r="E248" s="461" t="s">
        <v>1199</v>
      </c>
      <c r="F248" s="461"/>
      <c r="G248" s="459">
        <f t="shared" si="16"/>
        <v>200</v>
      </c>
      <c r="H248" s="459">
        <f t="shared" si="16"/>
        <v>500</v>
      </c>
      <c r="I248" s="201"/>
    </row>
    <row r="249" spans="1:12" ht="31.5" x14ac:dyDescent="0.25">
      <c r="A249" s="29" t="s">
        <v>131</v>
      </c>
      <c r="B249" s="452">
        <v>903</v>
      </c>
      <c r="C249" s="461" t="s">
        <v>118</v>
      </c>
      <c r="D249" s="461" t="s">
        <v>140</v>
      </c>
      <c r="E249" s="461" t="s">
        <v>1199</v>
      </c>
      <c r="F249" s="461" t="s">
        <v>132</v>
      </c>
      <c r="G249" s="459">
        <f t="shared" si="16"/>
        <v>200</v>
      </c>
      <c r="H249" s="459">
        <f t="shared" si="16"/>
        <v>500</v>
      </c>
      <c r="I249" s="201"/>
    </row>
    <row r="250" spans="1:12" ht="31.5" x14ac:dyDescent="0.25">
      <c r="A250" s="29" t="s">
        <v>133</v>
      </c>
      <c r="B250" s="452">
        <v>903</v>
      </c>
      <c r="C250" s="461" t="s">
        <v>118</v>
      </c>
      <c r="D250" s="461" t="s">
        <v>140</v>
      </c>
      <c r="E250" s="461" t="s">
        <v>1199</v>
      </c>
      <c r="F250" s="461" t="s">
        <v>134</v>
      </c>
      <c r="G250" s="459">
        <v>200</v>
      </c>
      <c r="H250" s="459">
        <v>500</v>
      </c>
      <c r="I250" s="201"/>
    </row>
    <row r="251" spans="1:12" ht="47.25" x14ac:dyDescent="0.25">
      <c r="A251" s="456" t="s">
        <v>1352</v>
      </c>
      <c r="B251" s="453">
        <v>903</v>
      </c>
      <c r="C251" s="457" t="s">
        <v>118</v>
      </c>
      <c r="D251" s="457" t="s">
        <v>140</v>
      </c>
      <c r="E251" s="457" t="s">
        <v>335</v>
      </c>
      <c r="F251" s="457"/>
      <c r="G251" s="455">
        <f>G252</f>
        <v>20</v>
      </c>
      <c r="H251" s="455">
        <f>H252</f>
        <v>120</v>
      </c>
      <c r="I251" s="201"/>
    </row>
    <row r="252" spans="1:12" ht="31.5" x14ac:dyDescent="0.25">
      <c r="A252" s="456" t="s">
        <v>1050</v>
      </c>
      <c r="B252" s="453">
        <v>903</v>
      </c>
      <c r="C252" s="457" t="s">
        <v>118</v>
      </c>
      <c r="D252" s="457" t="s">
        <v>140</v>
      </c>
      <c r="E252" s="457" t="s">
        <v>1051</v>
      </c>
      <c r="F252" s="457"/>
      <c r="G252" s="455">
        <f>G253+G262+G256+G259+G265</f>
        <v>20</v>
      </c>
      <c r="H252" s="455">
        <f>H253+H262+H256+H259+H265</f>
        <v>120</v>
      </c>
      <c r="I252" s="201"/>
    </row>
    <row r="253" spans="1:12" ht="31.5" x14ac:dyDescent="0.25">
      <c r="A253" s="97" t="s">
        <v>336</v>
      </c>
      <c r="B253" s="452">
        <v>903</v>
      </c>
      <c r="C253" s="454" t="s">
        <v>118</v>
      </c>
      <c r="D253" s="454" t="s">
        <v>140</v>
      </c>
      <c r="E253" s="454" t="s">
        <v>1052</v>
      </c>
      <c r="F253" s="454"/>
      <c r="G253" s="459">
        <f>'[1]Пр.5 ведом.21'!G238</f>
        <v>0</v>
      </c>
      <c r="H253" s="459">
        <f>H254</f>
        <v>100</v>
      </c>
      <c r="I253" s="201"/>
    </row>
    <row r="254" spans="1:12" ht="31.5" x14ac:dyDescent="0.25">
      <c r="A254" s="458" t="s">
        <v>131</v>
      </c>
      <c r="B254" s="452">
        <v>903</v>
      </c>
      <c r="C254" s="454" t="s">
        <v>118</v>
      </c>
      <c r="D254" s="454" t="s">
        <v>140</v>
      </c>
      <c r="E254" s="454" t="s">
        <v>1052</v>
      </c>
      <c r="F254" s="454" t="s">
        <v>132</v>
      </c>
      <c r="G254" s="459">
        <f>'[1]Пр.5 ведом.21'!G239</f>
        <v>0</v>
      </c>
      <c r="H254" s="459">
        <f>H255</f>
        <v>100</v>
      </c>
      <c r="I254" s="201"/>
    </row>
    <row r="255" spans="1:12" ht="31.5" x14ac:dyDescent="0.25">
      <c r="A255" s="458" t="s">
        <v>133</v>
      </c>
      <c r="B255" s="452">
        <v>903</v>
      </c>
      <c r="C255" s="454" t="s">
        <v>118</v>
      </c>
      <c r="D255" s="454" t="s">
        <v>140</v>
      </c>
      <c r="E255" s="454" t="s">
        <v>1052</v>
      </c>
      <c r="F255" s="454" t="s">
        <v>134</v>
      </c>
      <c r="G255" s="459">
        <f>'[1]Пр.5 ведом.21'!G240</f>
        <v>0</v>
      </c>
      <c r="H255" s="459">
        <v>100</v>
      </c>
      <c r="I255" s="201"/>
    </row>
    <row r="256" spans="1:12" ht="31.5" hidden="1" x14ac:dyDescent="0.25">
      <c r="A256" s="97" t="s">
        <v>336</v>
      </c>
      <c r="B256" s="452">
        <v>906</v>
      </c>
      <c r="C256" s="454" t="s">
        <v>118</v>
      </c>
      <c r="D256" s="454" t="s">
        <v>140</v>
      </c>
      <c r="E256" s="454" t="s">
        <v>1052</v>
      </c>
      <c r="F256" s="454"/>
      <c r="G256" s="459">
        <f>G257</f>
        <v>0</v>
      </c>
      <c r="H256" s="459">
        <f>H257</f>
        <v>0</v>
      </c>
      <c r="I256" s="201"/>
    </row>
    <row r="257" spans="1:9" ht="31.5" hidden="1" x14ac:dyDescent="0.25">
      <c r="A257" s="458" t="s">
        <v>131</v>
      </c>
      <c r="B257" s="452">
        <v>906</v>
      </c>
      <c r="C257" s="454" t="s">
        <v>118</v>
      </c>
      <c r="D257" s="454" t="s">
        <v>140</v>
      </c>
      <c r="E257" s="454" t="s">
        <v>1052</v>
      </c>
      <c r="F257" s="454" t="s">
        <v>132</v>
      </c>
      <c r="G257" s="459">
        <f>G258</f>
        <v>0</v>
      </c>
      <c r="H257" s="459">
        <f>H258</f>
        <v>0</v>
      </c>
      <c r="I257" s="201"/>
    </row>
    <row r="258" spans="1:9" ht="31.5" hidden="1" x14ac:dyDescent="0.25">
      <c r="A258" s="458" t="s">
        <v>133</v>
      </c>
      <c r="B258" s="452">
        <v>906</v>
      </c>
      <c r="C258" s="454" t="s">
        <v>118</v>
      </c>
      <c r="D258" s="454" t="s">
        <v>140</v>
      </c>
      <c r="E258" s="454" t="s">
        <v>1052</v>
      </c>
      <c r="F258" s="454" t="s">
        <v>134</v>
      </c>
      <c r="G258" s="459">
        <v>0</v>
      </c>
      <c r="H258" s="459">
        <v>0</v>
      </c>
      <c r="I258" s="201"/>
    </row>
    <row r="259" spans="1:9" ht="15.75" hidden="1" x14ac:dyDescent="0.25">
      <c r="A259" s="458" t="s">
        <v>994</v>
      </c>
      <c r="B259" s="452">
        <v>903</v>
      </c>
      <c r="C259" s="454" t="s">
        <v>118</v>
      </c>
      <c r="D259" s="454" t="s">
        <v>140</v>
      </c>
      <c r="E259" s="454" t="s">
        <v>1055</v>
      </c>
      <c r="F259" s="454"/>
      <c r="G259" s="459">
        <f>'[1]Пр.5 ведом.21'!G247</f>
        <v>0</v>
      </c>
      <c r="H259" s="459">
        <f t="shared" ref="H259:H299" si="17">G259</f>
        <v>0</v>
      </c>
      <c r="I259" s="201"/>
    </row>
    <row r="260" spans="1:9" ht="31.5" hidden="1" x14ac:dyDescent="0.25">
      <c r="A260" s="458" t="s">
        <v>131</v>
      </c>
      <c r="B260" s="452">
        <v>903</v>
      </c>
      <c r="C260" s="454" t="s">
        <v>118</v>
      </c>
      <c r="D260" s="454" t="s">
        <v>140</v>
      </c>
      <c r="E260" s="454" t="s">
        <v>1055</v>
      </c>
      <c r="F260" s="454" t="s">
        <v>132</v>
      </c>
      <c r="G260" s="459">
        <f>'[1]Пр.5 ведом.21'!G248</f>
        <v>0</v>
      </c>
      <c r="H260" s="459">
        <f t="shared" si="17"/>
        <v>0</v>
      </c>
      <c r="I260" s="201"/>
    </row>
    <row r="261" spans="1:9" ht="31.5" hidden="1" x14ac:dyDescent="0.25">
      <c r="A261" s="458" t="s">
        <v>133</v>
      </c>
      <c r="B261" s="452">
        <v>903</v>
      </c>
      <c r="C261" s="454" t="s">
        <v>118</v>
      </c>
      <c r="D261" s="454" t="s">
        <v>140</v>
      </c>
      <c r="E261" s="454" t="s">
        <v>1055</v>
      </c>
      <c r="F261" s="454" t="s">
        <v>134</v>
      </c>
      <c r="G261" s="459">
        <f>'[1]Пр.5 ведом.21'!G249</f>
        <v>0</v>
      </c>
      <c r="H261" s="459">
        <f t="shared" si="17"/>
        <v>0</v>
      </c>
      <c r="I261" s="201"/>
    </row>
    <row r="262" spans="1:9" ht="31.5" x14ac:dyDescent="0.25">
      <c r="A262" s="458" t="s">
        <v>338</v>
      </c>
      <c r="B262" s="452">
        <v>903</v>
      </c>
      <c r="C262" s="454" t="s">
        <v>118</v>
      </c>
      <c r="D262" s="454" t="s">
        <v>140</v>
      </c>
      <c r="E262" s="454" t="s">
        <v>1053</v>
      </c>
      <c r="F262" s="454"/>
      <c r="G262" s="459">
        <f>G263</f>
        <v>20</v>
      </c>
      <c r="H262" s="459">
        <f>H263</f>
        <v>20</v>
      </c>
      <c r="I262" s="201"/>
    </row>
    <row r="263" spans="1:9" ht="31.5" x14ac:dyDescent="0.25">
      <c r="A263" s="458" t="s">
        <v>131</v>
      </c>
      <c r="B263" s="452">
        <v>903</v>
      </c>
      <c r="C263" s="454" t="s">
        <v>118</v>
      </c>
      <c r="D263" s="454" t="s">
        <v>140</v>
      </c>
      <c r="E263" s="454" t="s">
        <v>1053</v>
      </c>
      <c r="F263" s="454" t="s">
        <v>132</v>
      </c>
      <c r="G263" s="459">
        <f>G264</f>
        <v>20</v>
      </c>
      <c r="H263" s="459">
        <f>H264</f>
        <v>20</v>
      </c>
      <c r="I263" s="201"/>
    </row>
    <row r="264" spans="1:9" ht="31.5" x14ac:dyDescent="0.25">
      <c r="A264" s="458" t="s">
        <v>133</v>
      </c>
      <c r="B264" s="452">
        <v>903</v>
      </c>
      <c r="C264" s="454" t="s">
        <v>118</v>
      </c>
      <c r="D264" s="454" t="s">
        <v>140</v>
      </c>
      <c r="E264" s="454" t="s">
        <v>1053</v>
      </c>
      <c r="F264" s="454" t="s">
        <v>134</v>
      </c>
      <c r="G264" s="459">
        <v>20</v>
      </c>
      <c r="H264" s="459">
        <v>20</v>
      </c>
      <c r="I264" s="201"/>
    </row>
    <row r="265" spans="1:9" ht="31.5" hidden="1" x14ac:dyDescent="0.25">
      <c r="A265" s="31" t="s">
        <v>772</v>
      </c>
      <c r="B265" s="452">
        <v>903</v>
      </c>
      <c r="C265" s="454" t="s">
        <v>118</v>
      </c>
      <c r="D265" s="454" t="s">
        <v>140</v>
      </c>
      <c r="E265" s="454" t="s">
        <v>1056</v>
      </c>
      <c r="F265" s="454"/>
      <c r="G265" s="459">
        <f>G266</f>
        <v>0</v>
      </c>
      <c r="H265" s="459">
        <f>H266</f>
        <v>0</v>
      </c>
      <c r="I265" s="201"/>
    </row>
    <row r="266" spans="1:9" ht="31.5" hidden="1" x14ac:dyDescent="0.25">
      <c r="A266" s="458" t="s">
        <v>131</v>
      </c>
      <c r="B266" s="452">
        <v>903</v>
      </c>
      <c r="C266" s="454" t="s">
        <v>118</v>
      </c>
      <c r="D266" s="454" t="s">
        <v>140</v>
      </c>
      <c r="E266" s="454" t="s">
        <v>1056</v>
      </c>
      <c r="F266" s="454" t="s">
        <v>132</v>
      </c>
      <c r="G266" s="459">
        <f>G267</f>
        <v>0</v>
      </c>
      <c r="H266" s="459">
        <f>H267</f>
        <v>0</v>
      </c>
      <c r="I266" s="201"/>
    </row>
    <row r="267" spans="1:9" ht="31.5" hidden="1" x14ac:dyDescent="0.25">
      <c r="A267" s="458" t="s">
        <v>133</v>
      </c>
      <c r="B267" s="452">
        <v>903</v>
      </c>
      <c r="C267" s="454" t="s">
        <v>118</v>
      </c>
      <c r="D267" s="454" t="s">
        <v>140</v>
      </c>
      <c r="E267" s="454" t="s">
        <v>1056</v>
      </c>
      <c r="F267" s="454" t="s">
        <v>134</v>
      </c>
      <c r="G267" s="459">
        <v>0</v>
      </c>
      <c r="H267" s="459">
        <f t="shared" si="17"/>
        <v>0</v>
      </c>
      <c r="I267" s="201"/>
    </row>
    <row r="268" spans="1:9" ht="47.25" x14ac:dyDescent="0.25">
      <c r="A268" s="462" t="s">
        <v>1355</v>
      </c>
      <c r="B268" s="453">
        <v>903</v>
      </c>
      <c r="C268" s="457" t="s">
        <v>118</v>
      </c>
      <c r="D268" s="457" t="s">
        <v>140</v>
      </c>
      <c r="E268" s="457" t="s">
        <v>705</v>
      </c>
      <c r="F268" s="457"/>
      <c r="G268" s="455">
        <f>G270</f>
        <v>5</v>
      </c>
      <c r="H268" s="455">
        <f>H270</f>
        <v>5</v>
      </c>
      <c r="I268" s="201"/>
    </row>
    <row r="269" spans="1:9" ht="47.25" x14ac:dyDescent="0.25">
      <c r="A269" s="206" t="s">
        <v>846</v>
      </c>
      <c r="B269" s="453">
        <v>903</v>
      </c>
      <c r="C269" s="457" t="s">
        <v>118</v>
      </c>
      <c r="D269" s="457" t="s">
        <v>140</v>
      </c>
      <c r="E269" s="457" t="s">
        <v>852</v>
      </c>
      <c r="F269" s="457"/>
      <c r="G269" s="455">
        <f t="shared" ref="G269:H271" si="18">G270</f>
        <v>5</v>
      </c>
      <c r="H269" s="455">
        <f t="shared" si="18"/>
        <v>5</v>
      </c>
      <c r="I269" s="201"/>
    </row>
    <row r="270" spans="1:9" ht="31.5" x14ac:dyDescent="0.25">
      <c r="A270" s="98" t="s">
        <v>776</v>
      </c>
      <c r="B270" s="452">
        <v>903</v>
      </c>
      <c r="C270" s="454" t="s">
        <v>118</v>
      </c>
      <c r="D270" s="454" t="s">
        <v>140</v>
      </c>
      <c r="E270" s="454" t="s">
        <v>847</v>
      </c>
      <c r="F270" s="454"/>
      <c r="G270" s="459">
        <f t="shared" si="18"/>
        <v>5</v>
      </c>
      <c r="H270" s="459">
        <f t="shared" si="18"/>
        <v>5</v>
      </c>
      <c r="I270" s="201"/>
    </row>
    <row r="271" spans="1:9" ht="31.5" x14ac:dyDescent="0.25">
      <c r="A271" s="458" t="s">
        <v>131</v>
      </c>
      <c r="B271" s="452">
        <v>903</v>
      </c>
      <c r="C271" s="454" t="s">
        <v>118</v>
      </c>
      <c r="D271" s="454" t="s">
        <v>140</v>
      </c>
      <c r="E271" s="454" t="s">
        <v>847</v>
      </c>
      <c r="F271" s="454" t="s">
        <v>132</v>
      </c>
      <c r="G271" s="459">
        <f t="shared" si="18"/>
        <v>5</v>
      </c>
      <c r="H271" s="459">
        <f t="shared" si="18"/>
        <v>5</v>
      </c>
      <c r="I271" s="201"/>
    </row>
    <row r="272" spans="1:9" ht="31.5" x14ac:dyDescent="0.25">
      <c r="A272" s="458" t="s">
        <v>133</v>
      </c>
      <c r="B272" s="452">
        <v>903</v>
      </c>
      <c r="C272" s="454" t="s">
        <v>118</v>
      </c>
      <c r="D272" s="454" t="s">
        <v>140</v>
      </c>
      <c r="E272" s="454" t="s">
        <v>847</v>
      </c>
      <c r="F272" s="454" t="s">
        <v>134</v>
      </c>
      <c r="G272" s="459">
        <f>5</f>
        <v>5</v>
      </c>
      <c r="H272" s="459">
        <f t="shared" si="17"/>
        <v>5</v>
      </c>
      <c r="I272" s="201"/>
    </row>
    <row r="273" spans="1:9" ht="15.75" x14ac:dyDescent="0.25">
      <c r="A273" s="212" t="s">
        <v>232</v>
      </c>
      <c r="B273" s="453">
        <v>903</v>
      </c>
      <c r="C273" s="457" t="s">
        <v>150</v>
      </c>
      <c r="D273" s="454"/>
      <c r="E273" s="454"/>
      <c r="F273" s="460"/>
      <c r="G273" s="455">
        <f t="shared" ref="G273:H275" si="19">G274</f>
        <v>260</v>
      </c>
      <c r="H273" s="455">
        <f t="shared" si="19"/>
        <v>260</v>
      </c>
      <c r="I273" s="201"/>
    </row>
    <row r="274" spans="1:9" ht="31.5" x14ac:dyDescent="0.25">
      <c r="A274" s="456" t="s">
        <v>237</v>
      </c>
      <c r="B274" s="453">
        <v>903</v>
      </c>
      <c r="C274" s="457" t="s">
        <v>150</v>
      </c>
      <c r="D274" s="457" t="s">
        <v>238</v>
      </c>
      <c r="E274" s="454"/>
      <c r="F274" s="460"/>
      <c r="G274" s="455">
        <f t="shared" si="19"/>
        <v>260</v>
      </c>
      <c r="H274" s="455">
        <f t="shared" si="19"/>
        <v>260</v>
      </c>
      <c r="I274" s="201"/>
    </row>
    <row r="275" spans="1:9" ht="47.25" x14ac:dyDescent="0.25">
      <c r="A275" s="456" t="s">
        <v>1369</v>
      </c>
      <c r="B275" s="453">
        <v>903</v>
      </c>
      <c r="C275" s="457" t="s">
        <v>150</v>
      </c>
      <c r="D275" s="457" t="s">
        <v>238</v>
      </c>
      <c r="E275" s="457" t="s">
        <v>344</v>
      </c>
      <c r="F275" s="465"/>
      <c r="G275" s="455">
        <f t="shared" si="19"/>
        <v>260</v>
      </c>
      <c r="H275" s="455">
        <f t="shared" si="19"/>
        <v>260</v>
      </c>
      <c r="I275" s="201"/>
    </row>
    <row r="276" spans="1:9" ht="64.5" customHeight="1" x14ac:dyDescent="0.25">
      <c r="A276" s="456" t="s">
        <v>367</v>
      </c>
      <c r="B276" s="453">
        <v>903</v>
      </c>
      <c r="C276" s="457" t="s">
        <v>150</v>
      </c>
      <c r="D276" s="457" t="s">
        <v>238</v>
      </c>
      <c r="E276" s="457" t="s">
        <v>356</v>
      </c>
      <c r="F276" s="457"/>
      <c r="G276" s="455">
        <f>G277+G281+G285+G289</f>
        <v>260</v>
      </c>
      <c r="H276" s="455">
        <f>H277+H281+H285+H289</f>
        <v>260</v>
      </c>
      <c r="I276" s="201"/>
    </row>
    <row r="277" spans="1:9" ht="47.25" hidden="1" x14ac:dyDescent="0.25">
      <c r="A277" s="210" t="s">
        <v>1043</v>
      </c>
      <c r="B277" s="453">
        <v>903</v>
      </c>
      <c r="C277" s="457" t="s">
        <v>150</v>
      </c>
      <c r="D277" s="457" t="s">
        <v>238</v>
      </c>
      <c r="E277" s="457" t="s">
        <v>907</v>
      </c>
      <c r="F277" s="457"/>
      <c r="G277" s="455">
        <f>G278</f>
        <v>0</v>
      </c>
      <c r="H277" s="455">
        <f>H278</f>
        <v>0</v>
      </c>
      <c r="I277" s="201"/>
    </row>
    <row r="278" spans="1:9" ht="47.25" hidden="1" x14ac:dyDescent="0.25">
      <c r="A278" s="458" t="s">
        <v>375</v>
      </c>
      <c r="B278" s="452">
        <v>903</v>
      </c>
      <c r="C278" s="454" t="s">
        <v>150</v>
      </c>
      <c r="D278" s="454" t="s">
        <v>238</v>
      </c>
      <c r="E278" s="454" t="s">
        <v>1317</v>
      </c>
      <c r="F278" s="454"/>
      <c r="G278" s="459">
        <f>'[1]Пр.5 ведом.21'!G263</f>
        <v>0</v>
      </c>
      <c r="H278" s="459">
        <f t="shared" si="17"/>
        <v>0</v>
      </c>
      <c r="I278" s="201"/>
    </row>
    <row r="279" spans="1:9" ht="31.5" hidden="1" x14ac:dyDescent="0.25">
      <c r="A279" s="458" t="s">
        <v>248</v>
      </c>
      <c r="B279" s="452">
        <v>903</v>
      </c>
      <c r="C279" s="454" t="s">
        <v>150</v>
      </c>
      <c r="D279" s="454" t="s">
        <v>238</v>
      </c>
      <c r="E279" s="454" t="s">
        <v>1317</v>
      </c>
      <c r="F279" s="454" t="s">
        <v>249</v>
      </c>
      <c r="G279" s="459">
        <f>'[1]Пр.5 ведом.21'!G264</f>
        <v>0</v>
      </c>
      <c r="H279" s="459">
        <f t="shared" si="17"/>
        <v>0</v>
      </c>
      <c r="I279" s="201"/>
    </row>
    <row r="280" spans="1:9" ht="31.5" hidden="1" x14ac:dyDescent="0.25">
      <c r="A280" s="458" t="s">
        <v>250</v>
      </c>
      <c r="B280" s="452">
        <v>903</v>
      </c>
      <c r="C280" s="454" t="s">
        <v>150</v>
      </c>
      <c r="D280" s="454" t="s">
        <v>238</v>
      </c>
      <c r="E280" s="454" t="s">
        <v>1317</v>
      </c>
      <c r="F280" s="454" t="s">
        <v>251</v>
      </c>
      <c r="G280" s="459">
        <f>'[1]Пр.5 ведом.21'!G265</f>
        <v>0</v>
      </c>
      <c r="H280" s="459">
        <f t="shared" si="17"/>
        <v>0</v>
      </c>
      <c r="I280" s="201"/>
    </row>
    <row r="281" spans="1:9" ht="31.5" x14ac:dyDescent="0.25">
      <c r="A281" s="456" t="s">
        <v>1041</v>
      </c>
      <c r="B281" s="453">
        <v>903</v>
      </c>
      <c r="C281" s="457" t="s">
        <v>150</v>
      </c>
      <c r="D281" s="457" t="s">
        <v>238</v>
      </c>
      <c r="E281" s="457" t="s">
        <v>1200</v>
      </c>
      <c r="F281" s="457"/>
      <c r="G281" s="455">
        <f t="shared" ref="G281:H283" si="20">G282</f>
        <v>260</v>
      </c>
      <c r="H281" s="455">
        <f t="shared" si="20"/>
        <v>260</v>
      </c>
      <c r="I281" s="201"/>
    </row>
    <row r="282" spans="1:9" ht="110.25" x14ac:dyDescent="0.25">
      <c r="A282" s="458" t="s">
        <v>1509</v>
      </c>
      <c r="B282" s="452">
        <v>903</v>
      </c>
      <c r="C282" s="454" t="s">
        <v>150</v>
      </c>
      <c r="D282" s="454" t="s">
        <v>238</v>
      </c>
      <c r="E282" s="454" t="s">
        <v>1201</v>
      </c>
      <c r="F282" s="454"/>
      <c r="G282" s="459">
        <f t="shared" si="20"/>
        <v>260</v>
      </c>
      <c r="H282" s="459">
        <f t="shared" si="20"/>
        <v>260</v>
      </c>
      <c r="I282" s="201"/>
    </row>
    <row r="283" spans="1:9" ht="31.5" x14ac:dyDescent="0.25">
      <c r="A283" s="458" t="s">
        <v>272</v>
      </c>
      <c r="B283" s="452">
        <v>903</v>
      </c>
      <c r="C283" s="454" t="s">
        <v>150</v>
      </c>
      <c r="D283" s="454" t="s">
        <v>238</v>
      </c>
      <c r="E283" s="454" t="s">
        <v>1201</v>
      </c>
      <c r="F283" s="454" t="s">
        <v>273</v>
      </c>
      <c r="G283" s="459">
        <f t="shared" si="20"/>
        <v>260</v>
      </c>
      <c r="H283" s="459">
        <f t="shared" si="20"/>
        <v>260</v>
      </c>
      <c r="I283" s="201"/>
    </row>
    <row r="284" spans="1:9" ht="63" x14ac:dyDescent="0.25">
      <c r="A284" s="458" t="s">
        <v>1090</v>
      </c>
      <c r="B284" s="452">
        <v>903</v>
      </c>
      <c r="C284" s="454" t="s">
        <v>150</v>
      </c>
      <c r="D284" s="454" t="s">
        <v>238</v>
      </c>
      <c r="E284" s="454" t="s">
        <v>1201</v>
      </c>
      <c r="F284" s="454" t="s">
        <v>372</v>
      </c>
      <c r="G284" s="459">
        <f>60+200</f>
        <v>260</v>
      </c>
      <c r="H284" s="459">
        <f t="shared" si="17"/>
        <v>260</v>
      </c>
      <c r="I284" s="201"/>
    </row>
    <row r="285" spans="1:9" ht="31.5" hidden="1" x14ac:dyDescent="0.25">
      <c r="A285" s="456" t="s">
        <v>995</v>
      </c>
      <c r="B285" s="453">
        <v>903</v>
      </c>
      <c r="C285" s="457" t="s">
        <v>150</v>
      </c>
      <c r="D285" s="457" t="s">
        <v>238</v>
      </c>
      <c r="E285" s="457" t="s">
        <v>1310</v>
      </c>
      <c r="F285" s="457"/>
      <c r="G285" s="455">
        <f>G286</f>
        <v>0</v>
      </c>
      <c r="H285" s="455">
        <f>H286</f>
        <v>0</v>
      </c>
      <c r="I285" s="201"/>
    </row>
    <row r="286" spans="1:9" ht="31.5" hidden="1" x14ac:dyDescent="0.25">
      <c r="A286" s="247" t="s">
        <v>1044</v>
      </c>
      <c r="B286" s="452">
        <v>903</v>
      </c>
      <c r="C286" s="454" t="s">
        <v>150</v>
      </c>
      <c r="D286" s="454" t="s">
        <v>238</v>
      </c>
      <c r="E286" s="454" t="s">
        <v>1311</v>
      </c>
      <c r="F286" s="454"/>
      <c r="G286" s="459">
        <f>'[1]Пр.5 ведом.21'!G271</f>
        <v>0</v>
      </c>
      <c r="H286" s="459">
        <f t="shared" si="17"/>
        <v>0</v>
      </c>
      <c r="I286" s="201"/>
    </row>
    <row r="287" spans="1:9" ht="31.5" hidden="1" x14ac:dyDescent="0.25">
      <c r="A287" s="458" t="s">
        <v>131</v>
      </c>
      <c r="B287" s="452">
        <v>903</v>
      </c>
      <c r="C287" s="454" t="s">
        <v>150</v>
      </c>
      <c r="D287" s="454" t="s">
        <v>238</v>
      </c>
      <c r="E287" s="454" t="s">
        <v>1311</v>
      </c>
      <c r="F287" s="454" t="s">
        <v>132</v>
      </c>
      <c r="G287" s="459">
        <f>'[1]Пр.5 ведом.21'!G272</f>
        <v>0</v>
      </c>
      <c r="H287" s="459">
        <f t="shared" si="17"/>
        <v>0</v>
      </c>
      <c r="I287" s="201"/>
    </row>
    <row r="288" spans="1:9" ht="31.5" hidden="1" x14ac:dyDescent="0.25">
      <c r="A288" s="458" t="s">
        <v>133</v>
      </c>
      <c r="B288" s="452">
        <v>903</v>
      </c>
      <c r="C288" s="454" t="s">
        <v>150</v>
      </c>
      <c r="D288" s="454" t="s">
        <v>238</v>
      </c>
      <c r="E288" s="454" t="s">
        <v>1311</v>
      </c>
      <c r="F288" s="454" t="s">
        <v>134</v>
      </c>
      <c r="G288" s="459">
        <f>'[1]Пр.5 ведом.21'!G273</f>
        <v>0</v>
      </c>
      <c r="H288" s="459">
        <f t="shared" si="17"/>
        <v>0</v>
      </c>
      <c r="I288" s="201"/>
    </row>
    <row r="289" spans="1:9" ht="31.5" hidden="1" x14ac:dyDescent="0.25">
      <c r="A289" s="464" t="s">
        <v>1103</v>
      </c>
      <c r="B289" s="453">
        <v>903</v>
      </c>
      <c r="C289" s="457" t="s">
        <v>150</v>
      </c>
      <c r="D289" s="457" t="s">
        <v>238</v>
      </c>
      <c r="E289" s="457" t="s">
        <v>1202</v>
      </c>
      <c r="F289" s="457"/>
      <c r="G289" s="455">
        <f t="shared" ref="G289:H291" si="21">G290</f>
        <v>0</v>
      </c>
      <c r="H289" s="455">
        <f t="shared" si="21"/>
        <v>0</v>
      </c>
      <c r="I289" s="201"/>
    </row>
    <row r="290" spans="1:9" ht="31.5" hidden="1" x14ac:dyDescent="0.25">
      <c r="A290" s="226" t="s">
        <v>1104</v>
      </c>
      <c r="B290" s="452">
        <v>903</v>
      </c>
      <c r="C290" s="454" t="s">
        <v>150</v>
      </c>
      <c r="D290" s="454" t="s">
        <v>238</v>
      </c>
      <c r="E290" s="454" t="s">
        <v>1203</v>
      </c>
      <c r="F290" s="454"/>
      <c r="G290" s="459">
        <f t="shared" si="21"/>
        <v>0</v>
      </c>
      <c r="H290" s="459">
        <f t="shared" si="21"/>
        <v>0</v>
      </c>
      <c r="I290" s="201"/>
    </row>
    <row r="291" spans="1:9" ht="31.5" hidden="1" x14ac:dyDescent="0.25">
      <c r="A291" s="458" t="s">
        <v>131</v>
      </c>
      <c r="B291" s="452">
        <v>903</v>
      </c>
      <c r="C291" s="454" t="s">
        <v>150</v>
      </c>
      <c r="D291" s="454" t="s">
        <v>238</v>
      </c>
      <c r="E291" s="454" t="s">
        <v>1203</v>
      </c>
      <c r="F291" s="454" t="s">
        <v>132</v>
      </c>
      <c r="G291" s="459">
        <f t="shared" si="21"/>
        <v>0</v>
      </c>
      <c r="H291" s="459">
        <f t="shared" si="21"/>
        <v>0</v>
      </c>
      <c r="I291" s="201"/>
    </row>
    <row r="292" spans="1:9" ht="31.5" hidden="1" x14ac:dyDescent="0.25">
      <c r="A292" s="458" t="s">
        <v>133</v>
      </c>
      <c r="B292" s="452">
        <v>903</v>
      </c>
      <c r="C292" s="454" t="s">
        <v>150</v>
      </c>
      <c r="D292" s="454" t="s">
        <v>238</v>
      </c>
      <c r="E292" s="454" t="s">
        <v>1203</v>
      </c>
      <c r="F292" s="454" t="s">
        <v>134</v>
      </c>
      <c r="G292" s="459">
        <v>0</v>
      </c>
      <c r="H292" s="459">
        <v>0</v>
      </c>
      <c r="I292" s="201"/>
    </row>
    <row r="293" spans="1:9" ht="15.75" x14ac:dyDescent="0.25">
      <c r="A293" s="456" t="s">
        <v>263</v>
      </c>
      <c r="B293" s="453">
        <v>903</v>
      </c>
      <c r="C293" s="457" t="s">
        <v>264</v>
      </c>
      <c r="D293" s="454"/>
      <c r="E293" s="454"/>
      <c r="F293" s="454"/>
      <c r="G293" s="455">
        <f>G294+G337</f>
        <v>19986.610000000004</v>
      </c>
      <c r="H293" s="455">
        <f>H294+H337</f>
        <v>20065.210000000003</v>
      </c>
      <c r="I293" s="201"/>
    </row>
    <row r="294" spans="1:9" ht="15.75" x14ac:dyDescent="0.25">
      <c r="A294" s="456" t="s">
        <v>265</v>
      </c>
      <c r="B294" s="453">
        <v>903</v>
      </c>
      <c r="C294" s="457" t="s">
        <v>264</v>
      </c>
      <c r="D294" s="457" t="s">
        <v>215</v>
      </c>
      <c r="E294" s="457"/>
      <c r="F294" s="457"/>
      <c r="G294" s="455">
        <f>G295+G332+G327</f>
        <v>19226.610000000004</v>
      </c>
      <c r="H294" s="455">
        <f>H295+H332+H327</f>
        <v>19240.210000000003</v>
      </c>
      <c r="I294" s="201"/>
    </row>
    <row r="295" spans="1:9" ht="31.5" x14ac:dyDescent="0.25">
      <c r="A295" s="456" t="s">
        <v>1354</v>
      </c>
      <c r="B295" s="453">
        <v>903</v>
      </c>
      <c r="C295" s="457" t="s">
        <v>264</v>
      </c>
      <c r="D295" s="457" t="s">
        <v>215</v>
      </c>
      <c r="E295" s="457" t="s">
        <v>267</v>
      </c>
      <c r="F295" s="457"/>
      <c r="G295" s="455">
        <f>G296+G304+G313+G317</f>
        <v>18730.410000000003</v>
      </c>
      <c r="H295" s="455">
        <f>H296+H304+H313+H317</f>
        <v>18730.410000000003</v>
      </c>
      <c r="I295" s="201"/>
    </row>
    <row r="296" spans="1:9" ht="36" customHeight="1" x14ac:dyDescent="0.25">
      <c r="A296" s="456" t="s">
        <v>895</v>
      </c>
      <c r="B296" s="453">
        <v>903</v>
      </c>
      <c r="C296" s="457" t="s">
        <v>264</v>
      </c>
      <c r="D296" s="457" t="s">
        <v>215</v>
      </c>
      <c r="E296" s="457" t="s">
        <v>1204</v>
      </c>
      <c r="F296" s="457"/>
      <c r="G296" s="44">
        <f>G297</f>
        <v>15854.01</v>
      </c>
      <c r="H296" s="44">
        <f>H297</f>
        <v>15854.01</v>
      </c>
      <c r="I296" s="201"/>
    </row>
    <row r="297" spans="1:9" ht="15.75" x14ac:dyDescent="0.25">
      <c r="A297" s="458" t="s">
        <v>800</v>
      </c>
      <c r="B297" s="452">
        <v>903</v>
      </c>
      <c r="C297" s="454" t="s">
        <v>264</v>
      </c>
      <c r="D297" s="454" t="s">
        <v>215</v>
      </c>
      <c r="E297" s="454" t="s">
        <v>1205</v>
      </c>
      <c r="F297" s="454"/>
      <c r="G297" s="459">
        <f>G298+G300+G303</f>
        <v>15854.01</v>
      </c>
      <c r="H297" s="459">
        <f>H298+H300+H303</f>
        <v>15854.01</v>
      </c>
      <c r="I297" s="201"/>
    </row>
    <row r="298" spans="1:9" ht="78.75" x14ac:dyDescent="0.25">
      <c r="A298" s="458" t="s">
        <v>127</v>
      </c>
      <c r="B298" s="452">
        <v>903</v>
      </c>
      <c r="C298" s="454" t="s">
        <v>264</v>
      </c>
      <c r="D298" s="454" t="s">
        <v>215</v>
      </c>
      <c r="E298" s="454" t="s">
        <v>1205</v>
      </c>
      <c r="F298" s="454" t="s">
        <v>128</v>
      </c>
      <c r="G298" s="459">
        <f>G299</f>
        <v>14172.31</v>
      </c>
      <c r="H298" s="459">
        <f>H299</f>
        <v>14172.31</v>
      </c>
      <c r="I298" s="201"/>
    </row>
    <row r="299" spans="1:9" ht="21.2" customHeight="1" x14ac:dyDescent="0.25">
      <c r="A299" s="46" t="s">
        <v>342</v>
      </c>
      <c r="B299" s="452">
        <v>903</v>
      </c>
      <c r="C299" s="454" t="s">
        <v>264</v>
      </c>
      <c r="D299" s="454" t="s">
        <v>215</v>
      </c>
      <c r="E299" s="454" t="s">
        <v>1205</v>
      </c>
      <c r="F299" s="454" t="s">
        <v>209</v>
      </c>
      <c r="G299" s="459">
        <v>14172.31</v>
      </c>
      <c r="H299" s="459">
        <f t="shared" si="17"/>
        <v>14172.31</v>
      </c>
      <c r="I299" s="201"/>
    </row>
    <row r="300" spans="1:9" ht="31.5" x14ac:dyDescent="0.25">
      <c r="A300" s="458" t="s">
        <v>131</v>
      </c>
      <c r="B300" s="452">
        <v>903</v>
      </c>
      <c r="C300" s="454" t="s">
        <v>264</v>
      </c>
      <c r="D300" s="454" t="s">
        <v>215</v>
      </c>
      <c r="E300" s="454" t="s">
        <v>1205</v>
      </c>
      <c r="F300" s="454" t="s">
        <v>132</v>
      </c>
      <c r="G300" s="459">
        <f>G301</f>
        <v>1603.7</v>
      </c>
      <c r="H300" s="459">
        <f>H301</f>
        <v>1603.7</v>
      </c>
      <c r="I300" s="201"/>
    </row>
    <row r="301" spans="1:9" ht="31.5" x14ac:dyDescent="0.25">
      <c r="A301" s="458" t="s">
        <v>133</v>
      </c>
      <c r="B301" s="452">
        <v>903</v>
      </c>
      <c r="C301" s="454" t="s">
        <v>264</v>
      </c>
      <c r="D301" s="454" t="s">
        <v>215</v>
      </c>
      <c r="E301" s="454" t="s">
        <v>1205</v>
      </c>
      <c r="F301" s="454" t="s">
        <v>134</v>
      </c>
      <c r="G301" s="459">
        <v>1603.7</v>
      </c>
      <c r="H301" s="459">
        <f t="shared" ref="H301:H365" si="22">G301</f>
        <v>1603.7</v>
      </c>
      <c r="I301" s="201"/>
    </row>
    <row r="302" spans="1:9" ht="15.75" x14ac:dyDescent="0.25">
      <c r="A302" s="458" t="s">
        <v>135</v>
      </c>
      <c r="B302" s="452">
        <v>903</v>
      </c>
      <c r="C302" s="454" t="s">
        <v>264</v>
      </c>
      <c r="D302" s="454" t="s">
        <v>215</v>
      </c>
      <c r="E302" s="454" t="s">
        <v>1205</v>
      </c>
      <c r="F302" s="454" t="s">
        <v>145</v>
      </c>
      <c r="G302" s="459">
        <f>G303</f>
        <v>78</v>
      </c>
      <c r="H302" s="459">
        <f>H303</f>
        <v>78</v>
      </c>
      <c r="I302" s="201"/>
    </row>
    <row r="303" spans="1:9" ht="15.75" x14ac:dyDescent="0.25">
      <c r="A303" s="458" t="s">
        <v>704</v>
      </c>
      <c r="B303" s="452">
        <v>903</v>
      </c>
      <c r="C303" s="454" t="s">
        <v>264</v>
      </c>
      <c r="D303" s="454" t="s">
        <v>215</v>
      </c>
      <c r="E303" s="454" t="s">
        <v>1205</v>
      </c>
      <c r="F303" s="454" t="s">
        <v>138</v>
      </c>
      <c r="G303" s="459">
        <f>78</f>
        <v>78</v>
      </c>
      <c r="H303" s="459">
        <f t="shared" si="22"/>
        <v>78</v>
      </c>
      <c r="I303" s="201"/>
    </row>
    <row r="304" spans="1:9" ht="31.5" x14ac:dyDescent="0.25">
      <c r="A304" s="211" t="s">
        <v>1303</v>
      </c>
      <c r="B304" s="453">
        <v>903</v>
      </c>
      <c r="C304" s="457" t="s">
        <v>264</v>
      </c>
      <c r="D304" s="457" t="s">
        <v>215</v>
      </c>
      <c r="E304" s="457" t="s">
        <v>1206</v>
      </c>
      <c r="F304" s="457"/>
      <c r="G304" s="44">
        <f>G305+G308</f>
        <v>1295</v>
      </c>
      <c r="H304" s="44">
        <f>H305+H308</f>
        <v>1295</v>
      </c>
      <c r="I304" s="201"/>
    </row>
    <row r="305" spans="1:9" ht="39.200000000000003" customHeight="1" x14ac:dyDescent="0.25">
      <c r="A305" s="194" t="s">
        <v>799</v>
      </c>
      <c r="B305" s="452">
        <v>903</v>
      </c>
      <c r="C305" s="454" t="s">
        <v>264</v>
      </c>
      <c r="D305" s="454" t="s">
        <v>215</v>
      </c>
      <c r="E305" s="454" t="s">
        <v>1207</v>
      </c>
      <c r="F305" s="454"/>
      <c r="G305" s="459">
        <f t="shared" ref="G305:H306" si="23">G306</f>
        <v>45</v>
      </c>
      <c r="H305" s="459">
        <f t="shared" si="23"/>
        <v>45</v>
      </c>
      <c r="I305" s="201"/>
    </row>
    <row r="306" spans="1:9" ht="20.25" customHeight="1" x14ac:dyDescent="0.25">
      <c r="A306" s="458" t="s">
        <v>248</v>
      </c>
      <c r="B306" s="452">
        <v>903</v>
      </c>
      <c r="C306" s="454" t="s">
        <v>264</v>
      </c>
      <c r="D306" s="454" t="s">
        <v>215</v>
      </c>
      <c r="E306" s="454" t="s">
        <v>1207</v>
      </c>
      <c r="F306" s="454" t="s">
        <v>249</v>
      </c>
      <c r="G306" s="459">
        <f t="shared" si="23"/>
        <v>45</v>
      </c>
      <c r="H306" s="459">
        <f t="shared" si="23"/>
        <v>45</v>
      </c>
      <c r="I306" s="201"/>
    </row>
    <row r="307" spans="1:9" ht="15.75" x14ac:dyDescent="0.25">
      <c r="A307" s="458" t="s">
        <v>820</v>
      </c>
      <c r="B307" s="452">
        <v>903</v>
      </c>
      <c r="C307" s="454" t="s">
        <v>264</v>
      </c>
      <c r="D307" s="454" t="s">
        <v>215</v>
      </c>
      <c r="E307" s="454" t="s">
        <v>1207</v>
      </c>
      <c r="F307" s="454" t="s">
        <v>819</v>
      </c>
      <c r="G307" s="459">
        <f>45</f>
        <v>45</v>
      </c>
      <c r="H307" s="459">
        <f t="shared" si="22"/>
        <v>45</v>
      </c>
      <c r="I307" s="201"/>
    </row>
    <row r="308" spans="1:9" ht="31.5" x14ac:dyDescent="0.25">
      <c r="A308" s="31" t="s">
        <v>816</v>
      </c>
      <c r="B308" s="452">
        <v>903</v>
      </c>
      <c r="C308" s="454" t="s">
        <v>264</v>
      </c>
      <c r="D308" s="454" t="s">
        <v>215</v>
      </c>
      <c r="E308" s="454" t="s">
        <v>1208</v>
      </c>
      <c r="F308" s="454"/>
      <c r="G308" s="459">
        <f t="shared" ref="G308:H309" si="24">G309</f>
        <v>1250</v>
      </c>
      <c r="H308" s="459">
        <f t="shared" si="24"/>
        <v>1250</v>
      </c>
      <c r="I308" s="201"/>
    </row>
    <row r="309" spans="1:9" ht="78.75" x14ac:dyDescent="0.25">
      <c r="A309" s="458" t="s">
        <v>127</v>
      </c>
      <c r="B309" s="452">
        <v>903</v>
      </c>
      <c r="C309" s="454" t="s">
        <v>264</v>
      </c>
      <c r="D309" s="454" t="s">
        <v>215</v>
      </c>
      <c r="E309" s="454" t="s">
        <v>1208</v>
      </c>
      <c r="F309" s="454" t="s">
        <v>128</v>
      </c>
      <c r="G309" s="459">
        <f t="shared" si="24"/>
        <v>1250</v>
      </c>
      <c r="H309" s="459">
        <f t="shared" si="24"/>
        <v>1250</v>
      </c>
      <c r="I309" s="201"/>
    </row>
    <row r="310" spans="1:9" ht="24" customHeight="1" x14ac:dyDescent="0.25">
      <c r="A310" s="46" t="s">
        <v>342</v>
      </c>
      <c r="B310" s="452">
        <v>903</v>
      </c>
      <c r="C310" s="454" t="s">
        <v>264</v>
      </c>
      <c r="D310" s="454" t="s">
        <v>215</v>
      </c>
      <c r="E310" s="454" t="s">
        <v>1208</v>
      </c>
      <c r="F310" s="454" t="s">
        <v>209</v>
      </c>
      <c r="G310" s="459">
        <f>250+1000</f>
        <v>1250</v>
      </c>
      <c r="H310" s="459">
        <f t="shared" si="22"/>
        <v>1250</v>
      </c>
      <c r="I310" s="201"/>
    </row>
    <row r="311" spans="1:9" ht="31.5" hidden="1" x14ac:dyDescent="0.25">
      <c r="A311" s="458" t="s">
        <v>131</v>
      </c>
      <c r="B311" s="452">
        <v>903</v>
      </c>
      <c r="C311" s="454" t="s">
        <v>264</v>
      </c>
      <c r="D311" s="454" t="s">
        <v>215</v>
      </c>
      <c r="E311" s="454" t="s">
        <v>887</v>
      </c>
      <c r="F311" s="454" t="s">
        <v>132</v>
      </c>
      <c r="G311" s="459">
        <f>'[1]Пр.5 ведом.21'!G299</f>
        <v>0</v>
      </c>
      <c r="H311" s="459">
        <f t="shared" si="22"/>
        <v>0</v>
      </c>
      <c r="I311" s="201"/>
    </row>
    <row r="312" spans="1:9" ht="31.5" hidden="1" x14ac:dyDescent="0.25">
      <c r="A312" s="458" t="s">
        <v>133</v>
      </c>
      <c r="B312" s="452">
        <v>903</v>
      </c>
      <c r="C312" s="454" t="s">
        <v>264</v>
      </c>
      <c r="D312" s="454" t="s">
        <v>215</v>
      </c>
      <c r="E312" s="454" t="s">
        <v>887</v>
      </c>
      <c r="F312" s="454" t="s">
        <v>134</v>
      </c>
      <c r="G312" s="459">
        <f>'[1]Пр.5 ведом.21'!G300</f>
        <v>0</v>
      </c>
      <c r="H312" s="459">
        <f t="shared" si="22"/>
        <v>0</v>
      </c>
      <c r="I312" s="201"/>
    </row>
    <row r="313" spans="1:9" ht="31.5" x14ac:dyDescent="0.25">
      <c r="A313" s="456" t="s">
        <v>947</v>
      </c>
      <c r="B313" s="453">
        <v>903</v>
      </c>
      <c r="C313" s="457" t="s">
        <v>264</v>
      </c>
      <c r="D313" s="457" t="s">
        <v>215</v>
      </c>
      <c r="E313" s="457" t="s">
        <v>1209</v>
      </c>
      <c r="F313" s="457"/>
      <c r="G313" s="44">
        <f t="shared" ref="G313:H315" si="25">G314</f>
        <v>506</v>
      </c>
      <c r="H313" s="44">
        <f t="shared" si="25"/>
        <v>506</v>
      </c>
      <c r="I313" s="201"/>
    </row>
    <row r="314" spans="1:9" ht="47.25" x14ac:dyDescent="0.25">
      <c r="A314" s="458" t="s">
        <v>839</v>
      </c>
      <c r="B314" s="452">
        <v>903</v>
      </c>
      <c r="C314" s="454" t="s">
        <v>264</v>
      </c>
      <c r="D314" s="454" t="s">
        <v>215</v>
      </c>
      <c r="E314" s="454" t="s">
        <v>1210</v>
      </c>
      <c r="F314" s="454"/>
      <c r="G314" s="459">
        <f t="shared" si="25"/>
        <v>506</v>
      </c>
      <c r="H314" s="459">
        <f t="shared" si="25"/>
        <v>506</v>
      </c>
      <c r="I314" s="201"/>
    </row>
    <row r="315" spans="1:9" ht="78.75" x14ac:dyDescent="0.25">
      <c r="A315" s="458" t="s">
        <v>127</v>
      </c>
      <c r="B315" s="452">
        <v>903</v>
      </c>
      <c r="C315" s="454" t="s">
        <v>264</v>
      </c>
      <c r="D315" s="454" t="s">
        <v>215</v>
      </c>
      <c r="E315" s="454" t="s">
        <v>1210</v>
      </c>
      <c r="F315" s="454" t="s">
        <v>128</v>
      </c>
      <c r="G315" s="459">
        <f t="shared" si="25"/>
        <v>506</v>
      </c>
      <c r="H315" s="459">
        <f t="shared" si="25"/>
        <v>506</v>
      </c>
      <c r="I315" s="201"/>
    </row>
    <row r="316" spans="1:9" ht="31.5" x14ac:dyDescent="0.25">
      <c r="A316" s="458" t="s">
        <v>342</v>
      </c>
      <c r="B316" s="452">
        <v>903</v>
      </c>
      <c r="C316" s="454" t="s">
        <v>264</v>
      </c>
      <c r="D316" s="454" t="s">
        <v>215</v>
      </c>
      <c r="E316" s="454" t="s">
        <v>1210</v>
      </c>
      <c r="F316" s="454" t="s">
        <v>209</v>
      </c>
      <c r="G316" s="459">
        <v>506</v>
      </c>
      <c r="H316" s="459">
        <f t="shared" si="22"/>
        <v>506</v>
      </c>
      <c r="I316" s="201"/>
    </row>
    <row r="317" spans="1:9" ht="47.25" x14ac:dyDescent="0.25">
      <c r="A317" s="456" t="s">
        <v>900</v>
      </c>
      <c r="B317" s="453">
        <v>903</v>
      </c>
      <c r="C317" s="457" t="s">
        <v>264</v>
      </c>
      <c r="D317" s="457" t="s">
        <v>215</v>
      </c>
      <c r="E317" s="457" t="s">
        <v>1211</v>
      </c>
      <c r="F317" s="457"/>
      <c r="G317" s="44">
        <f>G321+G324+G318</f>
        <v>1075.4000000000001</v>
      </c>
      <c r="H317" s="44">
        <f>H321+H324+H318</f>
        <v>1075.4000000000001</v>
      </c>
      <c r="I317" s="201"/>
    </row>
    <row r="318" spans="1:9" ht="94.5" x14ac:dyDescent="0.25">
      <c r="A318" s="31" t="s">
        <v>293</v>
      </c>
      <c r="B318" s="452">
        <v>903</v>
      </c>
      <c r="C318" s="454" t="s">
        <v>264</v>
      </c>
      <c r="D318" s="454" t="s">
        <v>215</v>
      </c>
      <c r="E318" s="454" t="s">
        <v>1406</v>
      </c>
      <c r="F318" s="454"/>
      <c r="G318" s="459">
        <f>G319</f>
        <v>671</v>
      </c>
      <c r="H318" s="459">
        <f>H319</f>
        <v>671</v>
      </c>
      <c r="I318" s="201"/>
    </row>
    <row r="319" spans="1:9" ht="78.75" x14ac:dyDescent="0.25">
      <c r="A319" s="458" t="s">
        <v>127</v>
      </c>
      <c r="B319" s="452">
        <v>903</v>
      </c>
      <c r="C319" s="454" t="s">
        <v>264</v>
      </c>
      <c r="D319" s="454" t="s">
        <v>215</v>
      </c>
      <c r="E319" s="454" t="s">
        <v>1406</v>
      </c>
      <c r="F319" s="454" t="s">
        <v>128</v>
      </c>
      <c r="G319" s="459">
        <f>G320</f>
        <v>671</v>
      </c>
      <c r="H319" s="459">
        <f>H320</f>
        <v>671</v>
      </c>
      <c r="I319" s="201"/>
    </row>
    <row r="320" spans="1:9" ht="31.5" x14ac:dyDescent="0.25">
      <c r="A320" s="46" t="s">
        <v>342</v>
      </c>
      <c r="B320" s="452">
        <v>903</v>
      </c>
      <c r="C320" s="454" t="s">
        <v>264</v>
      </c>
      <c r="D320" s="454" t="s">
        <v>215</v>
      </c>
      <c r="E320" s="454" t="s">
        <v>1406</v>
      </c>
      <c r="F320" s="454" t="s">
        <v>209</v>
      </c>
      <c r="G320" s="459">
        <v>671</v>
      </c>
      <c r="H320" s="459">
        <f>G320</f>
        <v>671</v>
      </c>
      <c r="I320" s="201"/>
    </row>
    <row r="321" spans="1:9" ht="63" x14ac:dyDescent="0.25">
      <c r="A321" s="31" t="s">
        <v>289</v>
      </c>
      <c r="B321" s="452">
        <v>903</v>
      </c>
      <c r="C321" s="454" t="s">
        <v>264</v>
      </c>
      <c r="D321" s="454" t="s">
        <v>215</v>
      </c>
      <c r="E321" s="454" t="s">
        <v>1212</v>
      </c>
      <c r="F321" s="454"/>
      <c r="G321" s="459">
        <f>G322</f>
        <v>106</v>
      </c>
      <c r="H321" s="459">
        <f>H322</f>
        <v>106</v>
      </c>
      <c r="I321" s="201"/>
    </row>
    <row r="322" spans="1:9" ht="78.75" x14ac:dyDescent="0.25">
      <c r="A322" s="458" t="s">
        <v>127</v>
      </c>
      <c r="B322" s="452">
        <v>903</v>
      </c>
      <c r="C322" s="454" t="s">
        <v>264</v>
      </c>
      <c r="D322" s="454" t="s">
        <v>215</v>
      </c>
      <c r="E322" s="454" t="s">
        <v>1212</v>
      </c>
      <c r="F322" s="454" t="s">
        <v>128</v>
      </c>
      <c r="G322" s="459">
        <f>G323</f>
        <v>106</v>
      </c>
      <c r="H322" s="459">
        <f>H323</f>
        <v>106</v>
      </c>
      <c r="I322" s="201"/>
    </row>
    <row r="323" spans="1:9" ht="31.5" x14ac:dyDescent="0.25">
      <c r="A323" s="46" t="s">
        <v>342</v>
      </c>
      <c r="B323" s="452">
        <v>903</v>
      </c>
      <c r="C323" s="454" t="s">
        <v>264</v>
      </c>
      <c r="D323" s="454" t="s">
        <v>215</v>
      </c>
      <c r="E323" s="454" t="s">
        <v>1212</v>
      </c>
      <c r="F323" s="454" t="s">
        <v>209</v>
      </c>
      <c r="G323" s="459">
        <v>106</v>
      </c>
      <c r="H323" s="459">
        <f t="shared" si="22"/>
        <v>106</v>
      </c>
      <c r="I323" s="201"/>
    </row>
    <row r="324" spans="1:9" ht="63" x14ac:dyDescent="0.25">
      <c r="A324" s="31" t="s">
        <v>291</v>
      </c>
      <c r="B324" s="452">
        <v>903</v>
      </c>
      <c r="C324" s="454" t="s">
        <v>264</v>
      </c>
      <c r="D324" s="454" t="s">
        <v>215</v>
      </c>
      <c r="E324" s="454" t="s">
        <v>1213</v>
      </c>
      <c r="F324" s="454"/>
      <c r="G324" s="459">
        <f>G325</f>
        <v>298.39999999999998</v>
      </c>
      <c r="H324" s="459">
        <f t="shared" si="22"/>
        <v>298.39999999999998</v>
      </c>
      <c r="I324" s="201"/>
    </row>
    <row r="325" spans="1:9" ht="78.75" x14ac:dyDescent="0.25">
      <c r="A325" s="458" t="s">
        <v>127</v>
      </c>
      <c r="B325" s="452">
        <v>903</v>
      </c>
      <c r="C325" s="454" t="s">
        <v>264</v>
      </c>
      <c r="D325" s="454" t="s">
        <v>215</v>
      </c>
      <c r="E325" s="454" t="s">
        <v>1213</v>
      </c>
      <c r="F325" s="454" t="s">
        <v>128</v>
      </c>
      <c r="G325" s="459">
        <f>G326</f>
        <v>298.39999999999998</v>
      </c>
      <c r="H325" s="459">
        <f>H326</f>
        <v>298.39999999999998</v>
      </c>
      <c r="I325" s="201"/>
    </row>
    <row r="326" spans="1:9" ht="31.5" x14ac:dyDescent="0.25">
      <c r="A326" s="46" t="s">
        <v>342</v>
      </c>
      <c r="B326" s="452">
        <v>903</v>
      </c>
      <c r="C326" s="454" t="s">
        <v>264</v>
      </c>
      <c r="D326" s="454" t="s">
        <v>215</v>
      </c>
      <c r="E326" s="454" t="s">
        <v>1213</v>
      </c>
      <c r="F326" s="454" t="s">
        <v>209</v>
      </c>
      <c r="G326" s="459">
        <f>298.4</f>
        <v>298.39999999999998</v>
      </c>
      <c r="H326" s="459">
        <f t="shared" si="22"/>
        <v>298.39999999999998</v>
      </c>
      <c r="I326" s="201"/>
    </row>
    <row r="327" spans="1:9" ht="47.25" x14ac:dyDescent="0.25">
      <c r="A327" s="34" t="s">
        <v>1221</v>
      </c>
      <c r="B327" s="453">
        <v>903</v>
      </c>
      <c r="C327" s="457" t="s">
        <v>264</v>
      </c>
      <c r="D327" s="457" t="s">
        <v>215</v>
      </c>
      <c r="E327" s="457" t="s">
        <v>324</v>
      </c>
      <c r="F327" s="457"/>
      <c r="G327" s="455">
        <f>G329</f>
        <v>6</v>
      </c>
      <c r="H327" s="455">
        <f>H329</f>
        <v>0</v>
      </c>
      <c r="I327" s="201"/>
    </row>
    <row r="328" spans="1:9" ht="63" x14ac:dyDescent="0.25">
      <c r="A328" s="34" t="s">
        <v>1025</v>
      </c>
      <c r="B328" s="453">
        <v>903</v>
      </c>
      <c r="C328" s="457" t="s">
        <v>264</v>
      </c>
      <c r="D328" s="457" t="s">
        <v>215</v>
      </c>
      <c r="E328" s="457" t="s">
        <v>934</v>
      </c>
      <c r="F328" s="457"/>
      <c r="G328" s="455">
        <f>G331</f>
        <v>6</v>
      </c>
      <c r="H328" s="455">
        <f>H331</f>
        <v>0</v>
      </c>
      <c r="I328" s="201"/>
    </row>
    <row r="329" spans="1:9" ht="47.25" x14ac:dyDescent="0.25">
      <c r="A329" s="31" t="s">
        <v>1081</v>
      </c>
      <c r="B329" s="452">
        <v>903</v>
      </c>
      <c r="C329" s="454" t="s">
        <v>264</v>
      </c>
      <c r="D329" s="454" t="s">
        <v>215</v>
      </c>
      <c r="E329" s="454" t="s">
        <v>1026</v>
      </c>
      <c r="F329" s="454"/>
      <c r="G329" s="459">
        <f>G330</f>
        <v>6</v>
      </c>
      <c r="H329" s="459">
        <f>H330</f>
        <v>0</v>
      </c>
      <c r="I329" s="201"/>
    </row>
    <row r="330" spans="1:9" ht="31.5" x14ac:dyDescent="0.25">
      <c r="A330" s="458" t="s">
        <v>131</v>
      </c>
      <c r="B330" s="452">
        <v>903</v>
      </c>
      <c r="C330" s="454" t="s">
        <v>264</v>
      </c>
      <c r="D330" s="454" t="s">
        <v>215</v>
      </c>
      <c r="E330" s="454" t="s">
        <v>1026</v>
      </c>
      <c r="F330" s="454" t="s">
        <v>132</v>
      </c>
      <c r="G330" s="459">
        <f>G331</f>
        <v>6</v>
      </c>
      <c r="H330" s="459">
        <f>H331</f>
        <v>0</v>
      </c>
      <c r="I330" s="201"/>
    </row>
    <row r="331" spans="1:9" ht="31.5" x14ac:dyDescent="0.25">
      <c r="A331" s="458" t="s">
        <v>133</v>
      </c>
      <c r="B331" s="452">
        <v>903</v>
      </c>
      <c r="C331" s="454" t="s">
        <v>264</v>
      </c>
      <c r="D331" s="454" t="s">
        <v>215</v>
      </c>
      <c r="E331" s="454" t="s">
        <v>1026</v>
      </c>
      <c r="F331" s="454" t="s">
        <v>134</v>
      </c>
      <c r="G331" s="459">
        <v>6</v>
      </c>
      <c r="H331" s="459">
        <v>0</v>
      </c>
      <c r="I331" s="201"/>
    </row>
    <row r="332" spans="1:9" ht="47.25" x14ac:dyDescent="0.25">
      <c r="A332" s="462" t="s">
        <v>1355</v>
      </c>
      <c r="B332" s="453">
        <v>903</v>
      </c>
      <c r="C332" s="457" t="s">
        <v>264</v>
      </c>
      <c r="D332" s="457" t="s">
        <v>215</v>
      </c>
      <c r="E332" s="457" t="s">
        <v>705</v>
      </c>
      <c r="F332" s="457"/>
      <c r="G332" s="455">
        <f>G334</f>
        <v>490.2</v>
      </c>
      <c r="H332" s="455">
        <f>H334</f>
        <v>509.8</v>
      </c>
      <c r="I332" s="201"/>
    </row>
    <row r="333" spans="1:9" ht="47.25" x14ac:dyDescent="0.25">
      <c r="A333" s="462" t="s">
        <v>890</v>
      </c>
      <c r="B333" s="453">
        <v>903</v>
      </c>
      <c r="C333" s="457" t="s">
        <v>264</v>
      </c>
      <c r="D333" s="457" t="s">
        <v>215</v>
      </c>
      <c r="E333" s="457" t="s">
        <v>888</v>
      </c>
      <c r="F333" s="457"/>
      <c r="G333" s="455">
        <f t="shared" ref="G333:H335" si="26">G334</f>
        <v>490.2</v>
      </c>
      <c r="H333" s="455">
        <f t="shared" si="26"/>
        <v>509.8</v>
      </c>
      <c r="I333" s="201"/>
    </row>
    <row r="334" spans="1:9" ht="47.25" x14ac:dyDescent="0.25">
      <c r="A334" s="98" t="s">
        <v>1004</v>
      </c>
      <c r="B334" s="454" t="s">
        <v>627</v>
      </c>
      <c r="C334" s="454" t="s">
        <v>264</v>
      </c>
      <c r="D334" s="454" t="s">
        <v>215</v>
      </c>
      <c r="E334" s="454" t="s">
        <v>889</v>
      </c>
      <c r="F334" s="460"/>
      <c r="G334" s="459">
        <f t="shared" si="26"/>
        <v>490.2</v>
      </c>
      <c r="H334" s="459">
        <f t="shared" si="26"/>
        <v>509.8</v>
      </c>
      <c r="I334" s="201"/>
    </row>
    <row r="335" spans="1:9" ht="31.5" x14ac:dyDescent="0.25">
      <c r="A335" s="458" t="s">
        <v>131</v>
      </c>
      <c r="B335" s="452">
        <v>903</v>
      </c>
      <c r="C335" s="454" t="s">
        <v>264</v>
      </c>
      <c r="D335" s="454" t="s">
        <v>215</v>
      </c>
      <c r="E335" s="454" t="s">
        <v>889</v>
      </c>
      <c r="F335" s="460" t="s">
        <v>132</v>
      </c>
      <c r="G335" s="459">
        <f t="shared" si="26"/>
        <v>490.2</v>
      </c>
      <c r="H335" s="459">
        <f t="shared" si="26"/>
        <v>509.8</v>
      </c>
      <c r="I335" s="201"/>
    </row>
    <row r="336" spans="1:9" ht="31.5" x14ac:dyDescent="0.25">
      <c r="A336" s="458" t="s">
        <v>133</v>
      </c>
      <c r="B336" s="452">
        <v>903</v>
      </c>
      <c r="C336" s="454" t="s">
        <v>264</v>
      </c>
      <c r="D336" s="454" t="s">
        <v>215</v>
      </c>
      <c r="E336" s="454" t="s">
        <v>889</v>
      </c>
      <c r="F336" s="460" t="s">
        <v>134</v>
      </c>
      <c r="G336" s="459">
        <v>490.2</v>
      </c>
      <c r="H336" s="459">
        <v>509.8</v>
      </c>
      <c r="I336" s="201"/>
    </row>
    <row r="337" spans="1:9" ht="15.75" x14ac:dyDescent="0.25">
      <c r="A337" s="456" t="s">
        <v>466</v>
      </c>
      <c r="B337" s="453">
        <v>903</v>
      </c>
      <c r="C337" s="457" t="s">
        <v>264</v>
      </c>
      <c r="D337" s="457" t="s">
        <v>264</v>
      </c>
      <c r="E337" s="454"/>
      <c r="F337" s="454"/>
      <c r="G337" s="455">
        <f>G338</f>
        <v>760</v>
      </c>
      <c r="H337" s="455">
        <f>H338</f>
        <v>825</v>
      </c>
      <c r="I337" s="201"/>
    </row>
    <row r="338" spans="1:9" ht="47.25" x14ac:dyDescent="0.25">
      <c r="A338" s="456" t="s">
        <v>1369</v>
      </c>
      <c r="B338" s="453">
        <v>903</v>
      </c>
      <c r="C338" s="457" t="s">
        <v>264</v>
      </c>
      <c r="D338" s="457" t="s">
        <v>264</v>
      </c>
      <c r="E338" s="457" t="s">
        <v>344</v>
      </c>
      <c r="F338" s="457"/>
      <c r="G338" s="455">
        <f>G339</f>
        <v>760</v>
      </c>
      <c r="H338" s="455">
        <f>H339</f>
        <v>825</v>
      </c>
      <c r="I338" s="201"/>
    </row>
    <row r="339" spans="1:9" ht="31.5" x14ac:dyDescent="0.25">
      <c r="A339" s="456" t="s">
        <v>345</v>
      </c>
      <c r="B339" s="453">
        <v>903</v>
      </c>
      <c r="C339" s="457" t="s">
        <v>264</v>
      </c>
      <c r="D339" s="457" t="s">
        <v>264</v>
      </c>
      <c r="E339" s="457" t="s">
        <v>346</v>
      </c>
      <c r="F339" s="457"/>
      <c r="G339" s="455">
        <f>G340+G347+G353</f>
        <v>760</v>
      </c>
      <c r="H339" s="455">
        <f>H340+H347+H353</f>
        <v>825</v>
      </c>
      <c r="I339" s="201"/>
    </row>
    <row r="340" spans="1:9" ht="47.25" x14ac:dyDescent="0.25">
      <c r="A340" s="206" t="s">
        <v>1029</v>
      </c>
      <c r="B340" s="453">
        <v>903</v>
      </c>
      <c r="C340" s="457" t="s">
        <v>264</v>
      </c>
      <c r="D340" s="457" t="s">
        <v>264</v>
      </c>
      <c r="E340" s="457" t="s">
        <v>892</v>
      </c>
      <c r="F340" s="457"/>
      <c r="G340" s="455">
        <f>G341+G344</f>
        <v>280</v>
      </c>
      <c r="H340" s="455">
        <f>H341+H344</f>
        <v>280</v>
      </c>
      <c r="I340" s="201"/>
    </row>
    <row r="341" spans="1:9" ht="31.5" x14ac:dyDescent="0.25">
      <c r="A341" s="98" t="s">
        <v>1035</v>
      </c>
      <c r="B341" s="452">
        <v>903</v>
      </c>
      <c r="C341" s="454" t="s">
        <v>264</v>
      </c>
      <c r="D341" s="454" t="s">
        <v>264</v>
      </c>
      <c r="E341" s="454" t="s">
        <v>893</v>
      </c>
      <c r="F341" s="454"/>
      <c r="G341" s="459">
        <f>G342</f>
        <v>280</v>
      </c>
      <c r="H341" s="459">
        <f>H342</f>
        <v>280</v>
      </c>
      <c r="I341" s="201"/>
    </row>
    <row r="342" spans="1:9" ht="78.75" x14ac:dyDescent="0.25">
      <c r="A342" s="458" t="s">
        <v>127</v>
      </c>
      <c r="B342" s="452">
        <v>903</v>
      </c>
      <c r="C342" s="454" t="s">
        <v>264</v>
      </c>
      <c r="D342" s="454" t="s">
        <v>264</v>
      </c>
      <c r="E342" s="454" t="s">
        <v>893</v>
      </c>
      <c r="F342" s="454" t="s">
        <v>128</v>
      </c>
      <c r="G342" s="459">
        <f>G343</f>
        <v>280</v>
      </c>
      <c r="H342" s="459">
        <f>H343</f>
        <v>280</v>
      </c>
      <c r="I342" s="201"/>
    </row>
    <row r="343" spans="1:9" ht="31.5" x14ac:dyDescent="0.25">
      <c r="A343" s="458" t="s">
        <v>342</v>
      </c>
      <c r="B343" s="452">
        <v>903</v>
      </c>
      <c r="C343" s="454" t="s">
        <v>264</v>
      </c>
      <c r="D343" s="454" t="s">
        <v>264</v>
      </c>
      <c r="E343" s="454" t="s">
        <v>893</v>
      </c>
      <c r="F343" s="454" t="s">
        <v>209</v>
      </c>
      <c r="G343" s="459">
        <f>280</f>
        <v>280</v>
      </c>
      <c r="H343" s="459">
        <f t="shared" si="22"/>
        <v>280</v>
      </c>
      <c r="I343" s="201"/>
    </row>
    <row r="344" spans="1:9" ht="31.5" hidden="1" x14ac:dyDescent="0.25">
      <c r="A344" s="458" t="s">
        <v>1030</v>
      </c>
      <c r="B344" s="452">
        <v>903</v>
      </c>
      <c r="C344" s="454" t="s">
        <v>264</v>
      </c>
      <c r="D344" s="454" t="s">
        <v>264</v>
      </c>
      <c r="E344" s="454" t="s">
        <v>1047</v>
      </c>
      <c r="F344" s="454"/>
      <c r="G344" s="459">
        <f>'[1]Пр.5 ведом.21'!G332</f>
        <v>0</v>
      </c>
      <c r="H344" s="459">
        <f t="shared" si="22"/>
        <v>0</v>
      </c>
      <c r="I344" s="201"/>
    </row>
    <row r="345" spans="1:9" ht="31.5" hidden="1" x14ac:dyDescent="0.25">
      <c r="A345" s="458" t="s">
        <v>131</v>
      </c>
      <c r="B345" s="452">
        <v>903</v>
      </c>
      <c r="C345" s="454" t="s">
        <v>264</v>
      </c>
      <c r="D345" s="454" t="s">
        <v>264</v>
      </c>
      <c r="E345" s="454" t="s">
        <v>1047</v>
      </c>
      <c r="F345" s="454" t="s">
        <v>132</v>
      </c>
      <c r="G345" s="459">
        <f>'[1]Пр.5 ведом.21'!G333</f>
        <v>0</v>
      </c>
      <c r="H345" s="459">
        <f t="shared" si="22"/>
        <v>0</v>
      </c>
      <c r="I345" s="201"/>
    </row>
    <row r="346" spans="1:9" ht="31.5" hidden="1" x14ac:dyDescent="0.25">
      <c r="A346" s="458" t="s">
        <v>133</v>
      </c>
      <c r="B346" s="452">
        <v>903</v>
      </c>
      <c r="C346" s="454" t="s">
        <v>264</v>
      </c>
      <c r="D346" s="454" t="s">
        <v>264</v>
      </c>
      <c r="E346" s="454" t="s">
        <v>1047</v>
      </c>
      <c r="F346" s="454" t="s">
        <v>134</v>
      </c>
      <c r="G346" s="459">
        <f>'[1]Пр.5 ведом.21'!G334</f>
        <v>0</v>
      </c>
      <c r="H346" s="459">
        <f t="shared" si="22"/>
        <v>0</v>
      </c>
      <c r="I346" s="201"/>
    </row>
    <row r="347" spans="1:9" ht="63" x14ac:dyDescent="0.25">
      <c r="A347" s="456" t="s">
        <v>1031</v>
      </c>
      <c r="B347" s="453">
        <v>903</v>
      </c>
      <c r="C347" s="457" t="s">
        <v>264</v>
      </c>
      <c r="D347" s="457" t="s">
        <v>264</v>
      </c>
      <c r="E347" s="457" t="s">
        <v>894</v>
      </c>
      <c r="F347" s="457"/>
      <c r="G347" s="455">
        <f>G348</f>
        <v>455</v>
      </c>
      <c r="H347" s="455">
        <f>H348</f>
        <v>520</v>
      </c>
      <c r="I347" s="201"/>
    </row>
    <row r="348" spans="1:9" ht="15.75" x14ac:dyDescent="0.25">
      <c r="A348" s="458" t="s">
        <v>1032</v>
      </c>
      <c r="B348" s="452">
        <v>903</v>
      </c>
      <c r="C348" s="454" t="s">
        <v>264</v>
      </c>
      <c r="D348" s="454" t="s">
        <v>264</v>
      </c>
      <c r="E348" s="454" t="s">
        <v>901</v>
      </c>
      <c r="F348" s="454"/>
      <c r="G348" s="459">
        <f>G349+G351</f>
        <v>455</v>
      </c>
      <c r="H348" s="459">
        <f>H349+H351</f>
        <v>520</v>
      </c>
      <c r="I348" s="201"/>
    </row>
    <row r="349" spans="1:9" ht="78.75" x14ac:dyDescent="0.25">
      <c r="A349" s="458" t="s">
        <v>127</v>
      </c>
      <c r="B349" s="452">
        <v>903</v>
      </c>
      <c r="C349" s="454" t="s">
        <v>264</v>
      </c>
      <c r="D349" s="454" t="s">
        <v>264</v>
      </c>
      <c r="E349" s="454" t="s">
        <v>901</v>
      </c>
      <c r="F349" s="454" t="s">
        <v>128</v>
      </c>
      <c r="G349" s="459">
        <f>G350</f>
        <v>40</v>
      </c>
      <c r="H349" s="459">
        <f>H350</f>
        <v>40</v>
      </c>
      <c r="I349" s="201"/>
    </row>
    <row r="350" spans="1:9" ht="31.5" x14ac:dyDescent="0.25">
      <c r="A350" s="458" t="s">
        <v>342</v>
      </c>
      <c r="B350" s="452">
        <v>903</v>
      </c>
      <c r="C350" s="454" t="s">
        <v>264</v>
      </c>
      <c r="D350" s="454" t="s">
        <v>264</v>
      </c>
      <c r="E350" s="454" t="s">
        <v>901</v>
      </c>
      <c r="F350" s="454" t="s">
        <v>209</v>
      </c>
      <c r="G350" s="459">
        <f>40</f>
        <v>40</v>
      </c>
      <c r="H350" s="459">
        <f t="shared" si="22"/>
        <v>40</v>
      </c>
      <c r="I350" s="201"/>
    </row>
    <row r="351" spans="1:9" ht="31.5" x14ac:dyDescent="0.25">
      <c r="A351" s="458" t="s">
        <v>131</v>
      </c>
      <c r="B351" s="452">
        <v>903</v>
      </c>
      <c r="C351" s="454" t="s">
        <v>264</v>
      </c>
      <c r="D351" s="454" t="s">
        <v>264</v>
      </c>
      <c r="E351" s="454" t="s">
        <v>901</v>
      </c>
      <c r="F351" s="454" t="s">
        <v>132</v>
      </c>
      <c r="G351" s="459">
        <f>G352</f>
        <v>415</v>
      </c>
      <c r="H351" s="459">
        <f>H352</f>
        <v>480</v>
      </c>
      <c r="I351" s="201"/>
    </row>
    <row r="352" spans="1:9" ht="31.5" x14ac:dyDescent="0.25">
      <c r="A352" s="458" t="s">
        <v>133</v>
      </c>
      <c r="B352" s="452">
        <v>903</v>
      </c>
      <c r="C352" s="454" t="s">
        <v>264</v>
      </c>
      <c r="D352" s="454" t="s">
        <v>264</v>
      </c>
      <c r="E352" s="454" t="s">
        <v>901</v>
      </c>
      <c r="F352" s="454" t="s">
        <v>134</v>
      </c>
      <c r="G352" s="459">
        <f>415</f>
        <v>415</v>
      </c>
      <c r="H352" s="459">
        <v>480</v>
      </c>
      <c r="I352" s="201"/>
    </row>
    <row r="353" spans="1:13" ht="31.5" x14ac:dyDescent="0.25">
      <c r="A353" s="456" t="s">
        <v>1037</v>
      </c>
      <c r="B353" s="453">
        <v>903</v>
      </c>
      <c r="C353" s="457" t="s">
        <v>264</v>
      </c>
      <c r="D353" s="457" t="s">
        <v>264</v>
      </c>
      <c r="E353" s="457" t="s">
        <v>1033</v>
      </c>
      <c r="F353" s="457"/>
      <c r="G353" s="455">
        <f t="shared" ref="G353:H355" si="27">G354</f>
        <v>25</v>
      </c>
      <c r="H353" s="455">
        <f t="shared" si="27"/>
        <v>25</v>
      </c>
      <c r="I353" s="201"/>
    </row>
    <row r="354" spans="1:13" ht="47.25" x14ac:dyDescent="0.25">
      <c r="A354" s="226" t="s">
        <v>1034</v>
      </c>
      <c r="B354" s="452">
        <v>903</v>
      </c>
      <c r="C354" s="454" t="s">
        <v>264</v>
      </c>
      <c r="D354" s="454" t="s">
        <v>264</v>
      </c>
      <c r="E354" s="454" t="s">
        <v>1048</v>
      </c>
      <c r="F354" s="454"/>
      <c r="G354" s="459">
        <f t="shared" si="27"/>
        <v>25</v>
      </c>
      <c r="H354" s="459">
        <f t="shared" si="27"/>
        <v>25</v>
      </c>
      <c r="I354" s="201"/>
    </row>
    <row r="355" spans="1:13" ht="31.5" x14ac:dyDescent="0.25">
      <c r="A355" s="458" t="s">
        <v>248</v>
      </c>
      <c r="B355" s="452">
        <v>903</v>
      </c>
      <c r="C355" s="454" t="s">
        <v>264</v>
      </c>
      <c r="D355" s="454" t="s">
        <v>264</v>
      </c>
      <c r="E355" s="454" t="s">
        <v>1048</v>
      </c>
      <c r="F355" s="454" t="s">
        <v>249</v>
      </c>
      <c r="G355" s="459">
        <f t="shared" si="27"/>
        <v>25</v>
      </c>
      <c r="H355" s="459">
        <f t="shared" si="27"/>
        <v>25</v>
      </c>
      <c r="I355" s="201"/>
    </row>
    <row r="356" spans="1:13" ht="31.5" x14ac:dyDescent="0.25">
      <c r="A356" s="458" t="s">
        <v>1197</v>
      </c>
      <c r="B356" s="452">
        <v>903</v>
      </c>
      <c r="C356" s="454" t="s">
        <v>264</v>
      </c>
      <c r="D356" s="454" t="s">
        <v>264</v>
      </c>
      <c r="E356" s="454" t="s">
        <v>1048</v>
      </c>
      <c r="F356" s="454" t="s">
        <v>1196</v>
      </c>
      <c r="G356" s="459">
        <f>25</f>
        <v>25</v>
      </c>
      <c r="H356" s="459">
        <f t="shared" si="22"/>
        <v>25</v>
      </c>
      <c r="I356" s="201"/>
    </row>
    <row r="357" spans="1:13" ht="15.75" x14ac:dyDescent="0.25">
      <c r="A357" s="456" t="s">
        <v>298</v>
      </c>
      <c r="B357" s="453">
        <v>903</v>
      </c>
      <c r="C357" s="457" t="s">
        <v>299</v>
      </c>
      <c r="D357" s="457"/>
      <c r="E357" s="457"/>
      <c r="F357" s="457"/>
      <c r="G357" s="455">
        <f>G358+G411</f>
        <v>76411.28</v>
      </c>
      <c r="H357" s="455">
        <f>H358+H411</f>
        <v>77665.48</v>
      </c>
      <c r="I357" s="201"/>
    </row>
    <row r="358" spans="1:13" ht="15.75" x14ac:dyDescent="0.25">
      <c r="A358" s="456" t="s">
        <v>300</v>
      </c>
      <c r="B358" s="453">
        <v>903</v>
      </c>
      <c r="C358" s="457" t="s">
        <v>299</v>
      </c>
      <c r="D358" s="457" t="s">
        <v>118</v>
      </c>
      <c r="E358" s="457"/>
      <c r="F358" s="457"/>
      <c r="G358" s="455">
        <f>G359+G406+G401</f>
        <v>57844.87999999999</v>
      </c>
      <c r="H358" s="455">
        <f>H359+H406+H401</f>
        <v>59070.079999999994</v>
      </c>
      <c r="I358" s="201"/>
    </row>
    <row r="359" spans="1:13" ht="39.200000000000003" customHeight="1" x14ac:dyDescent="0.25">
      <c r="A359" s="456" t="s">
        <v>1370</v>
      </c>
      <c r="B359" s="453">
        <v>903</v>
      </c>
      <c r="C359" s="457" t="s">
        <v>299</v>
      </c>
      <c r="D359" s="457" t="s">
        <v>118</v>
      </c>
      <c r="E359" s="457" t="s">
        <v>267</v>
      </c>
      <c r="F359" s="457"/>
      <c r="G359" s="455">
        <f>G360+G368+G374+G378+G385+G393+G389+G397</f>
        <v>56956.179999999993</v>
      </c>
      <c r="H359" s="455">
        <f>H360+H368+H374+H378+H385+H393+H389+H397</f>
        <v>58156.179999999993</v>
      </c>
      <c r="I359" s="201"/>
    </row>
    <row r="360" spans="1:13" ht="33.75" customHeight="1" x14ac:dyDescent="0.25">
      <c r="A360" s="456" t="s">
        <v>895</v>
      </c>
      <c r="B360" s="453">
        <v>903</v>
      </c>
      <c r="C360" s="457" t="s">
        <v>299</v>
      </c>
      <c r="D360" s="457" t="s">
        <v>118</v>
      </c>
      <c r="E360" s="457" t="s">
        <v>1204</v>
      </c>
      <c r="F360" s="457"/>
      <c r="G360" s="455">
        <f>G361</f>
        <v>51840.479999999996</v>
      </c>
      <c r="H360" s="455">
        <f>H361</f>
        <v>51840.479999999996</v>
      </c>
      <c r="I360" s="201"/>
    </row>
    <row r="361" spans="1:13" ht="15.75" x14ac:dyDescent="0.25">
      <c r="A361" s="458" t="s">
        <v>800</v>
      </c>
      <c r="B361" s="452">
        <v>903</v>
      </c>
      <c r="C361" s="454" t="s">
        <v>299</v>
      </c>
      <c r="D361" s="454" t="s">
        <v>118</v>
      </c>
      <c r="E361" s="454" t="s">
        <v>1205</v>
      </c>
      <c r="F361" s="454"/>
      <c r="G361" s="459">
        <f>G362+G364+G366</f>
        <v>51840.479999999996</v>
      </c>
      <c r="H361" s="459">
        <f>H362+H364+H366</f>
        <v>51840.479999999996</v>
      </c>
      <c r="I361" s="201"/>
      <c r="M361" s="449">
        <v>51840.58</v>
      </c>
    </row>
    <row r="362" spans="1:13" ht="78.75" x14ac:dyDescent="0.25">
      <c r="A362" s="458" t="s">
        <v>127</v>
      </c>
      <c r="B362" s="452">
        <v>903</v>
      </c>
      <c r="C362" s="454" t="s">
        <v>299</v>
      </c>
      <c r="D362" s="454" t="s">
        <v>118</v>
      </c>
      <c r="E362" s="454" t="s">
        <v>1205</v>
      </c>
      <c r="F362" s="454" t="s">
        <v>128</v>
      </c>
      <c r="G362" s="459">
        <f>G363</f>
        <v>43271.28</v>
      </c>
      <c r="H362" s="459">
        <f>H363</f>
        <v>43271.28</v>
      </c>
      <c r="I362" s="201"/>
    </row>
    <row r="363" spans="1:13" ht="15.75" x14ac:dyDescent="0.25">
      <c r="A363" s="458" t="s">
        <v>208</v>
      </c>
      <c r="B363" s="452">
        <v>903</v>
      </c>
      <c r="C363" s="454" t="s">
        <v>299</v>
      </c>
      <c r="D363" s="454" t="s">
        <v>118</v>
      </c>
      <c r="E363" s="454" t="s">
        <v>1205</v>
      </c>
      <c r="F363" s="454" t="s">
        <v>209</v>
      </c>
      <c r="G363" s="459">
        <v>43271.28</v>
      </c>
      <c r="H363" s="459">
        <f t="shared" si="22"/>
        <v>43271.28</v>
      </c>
      <c r="I363" s="201"/>
    </row>
    <row r="364" spans="1:13" ht="31.5" x14ac:dyDescent="0.25">
      <c r="A364" s="458" t="s">
        <v>131</v>
      </c>
      <c r="B364" s="452">
        <v>903</v>
      </c>
      <c r="C364" s="454" t="s">
        <v>299</v>
      </c>
      <c r="D364" s="454" t="s">
        <v>118</v>
      </c>
      <c r="E364" s="454" t="s">
        <v>1205</v>
      </c>
      <c r="F364" s="454" t="s">
        <v>132</v>
      </c>
      <c r="G364" s="459">
        <f>G365</f>
        <v>8506.2000000000007</v>
      </c>
      <c r="H364" s="459">
        <f>H365</f>
        <v>8506.2000000000007</v>
      </c>
      <c r="I364" s="201"/>
    </row>
    <row r="365" spans="1:13" ht="29.85" customHeight="1" x14ac:dyDescent="0.25">
      <c r="A365" s="458" t="s">
        <v>133</v>
      </c>
      <c r="B365" s="452">
        <v>903</v>
      </c>
      <c r="C365" s="454" t="s">
        <v>299</v>
      </c>
      <c r="D365" s="454" t="s">
        <v>118</v>
      </c>
      <c r="E365" s="454" t="s">
        <v>1205</v>
      </c>
      <c r="F365" s="454" t="s">
        <v>134</v>
      </c>
      <c r="G365" s="459">
        <v>8506.2000000000007</v>
      </c>
      <c r="H365" s="459">
        <f t="shared" si="22"/>
        <v>8506.2000000000007</v>
      </c>
      <c r="I365" s="201"/>
    </row>
    <row r="366" spans="1:13" ht="15.75" x14ac:dyDescent="0.25">
      <c r="A366" s="458" t="s">
        <v>135</v>
      </c>
      <c r="B366" s="452">
        <v>903</v>
      </c>
      <c r="C366" s="454" t="s">
        <v>299</v>
      </c>
      <c r="D366" s="454" t="s">
        <v>118</v>
      </c>
      <c r="E366" s="454" t="s">
        <v>1205</v>
      </c>
      <c r="F366" s="454" t="s">
        <v>145</v>
      </c>
      <c r="G366" s="459">
        <f>G367</f>
        <v>63</v>
      </c>
      <c r="H366" s="459">
        <f>H367</f>
        <v>63</v>
      </c>
      <c r="I366" s="201"/>
    </row>
    <row r="367" spans="1:13" ht="15.75" x14ac:dyDescent="0.25">
      <c r="A367" s="458" t="s">
        <v>568</v>
      </c>
      <c r="B367" s="452">
        <v>903</v>
      </c>
      <c r="C367" s="454" t="s">
        <v>299</v>
      </c>
      <c r="D367" s="454" t="s">
        <v>118</v>
      </c>
      <c r="E367" s="454" t="s">
        <v>1205</v>
      </c>
      <c r="F367" s="454" t="s">
        <v>138</v>
      </c>
      <c r="G367" s="459">
        <v>63</v>
      </c>
      <c r="H367" s="459">
        <f t="shared" ref="H367:H377" si="28">G367</f>
        <v>63</v>
      </c>
      <c r="I367" s="201"/>
    </row>
    <row r="368" spans="1:13" ht="31.5" x14ac:dyDescent="0.25">
      <c r="A368" s="212" t="s">
        <v>1304</v>
      </c>
      <c r="B368" s="453">
        <v>903</v>
      </c>
      <c r="C368" s="457" t="s">
        <v>299</v>
      </c>
      <c r="D368" s="457" t="s">
        <v>118</v>
      </c>
      <c r="E368" s="457" t="s">
        <v>1206</v>
      </c>
      <c r="F368" s="457"/>
      <c r="G368" s="455">
        <f>G369</f>
        <v>1380</v>
      </c>
      <c r="H368" s="455">
        <f>H369</f>
        <v>1380</v>
      </c>
      <c r="I368" s="201"/>
    </row>
    <row r="369" spans="1:9" ht="31.5" x14ac:dyDescent="0.25">
      <c r="A369" s="31" t="s">
        <v>816</v>
      </c>
      <c r="B369" s="452">
        <v>903</v>
      </c>
      <c r="C369" s="454" t="s">
        <v>299</v>
      </c>
      <c r="D369" s="454" t="s">
        <v>118</v>
      </c>
      <c r="E369" s="454" t="s">
        <v>1208</v>
      </c>
      <c r="F369" s="454"/>
      <c r="G369" s="459">
        <f>G370+G372</f>
        <v>1380</v>
      </c>
      <c r="H369" s="459">
        <f>H370+H372</f>
        <v>1380</v>
      </c>
      <c r="I369" s="201"/>
    </row>
    <row r="370" spans="1:9" ht="78.75" x14ac:dyDescent="0.25">
      <c r="A370" s="458" t="s">
        <v>127</v>
      </c>
      <c r="B370" s="452">
        <v>903</v>
      </c>
      <c r="C370" s="454" t="s">
        <v>299</v>
      </c>
      <c r="D370" s="454" t="s">
        <v>118</v>
      </c>
      <c r="E370" s="454" t="s">
        <v>896</v>
      </c>
      <c r="F370" s="454" t="s">
        <v>128</v>
      </c>
      <c r="G370" s="459">
        <f>G371</f>
        <v>0</v>
      </c>
      <c r="H370" s="459">
        <f>H371</f>
        <v>0</v>
      </c>
      <c r="I370" s="201"/>
    </row>
    <row r="371" spans="1:9" ht="15.75" x14ac:dyDescent="0.25">
      <c r="A371" s="458" t="s">
        <v>208</v>
      </c>
      <c r="B371" s="452">
        <v>903</v>
      </c>
      <c r="C371" s="454" t="s">
        <v>299</v>
      </c>
      <c r="D371" s="454" t="s">
        <v>118</v>
      </c>
      <c r="E371" s="454" t="s">
        <v>896</v>
      </c>
      <c r="F371" s="454" t="s">
        <v>209</v>
      </c>
      <c r="G371" s="459">
        <v>0</v>
      </c>
      <c r="H371" s="459">
        <v>0</v>
      </c>
      <c r="I371" s="201"/>
    </row>
    <row r="372" spans="1:9" ht="31.5" x14ac:dyDescent="0.25">
      <c r="A372" s="458" t="s">
        <v>131</v>
      </c>
      <c r="B372" s="452">
        <v>903</v>
      </c>
      <c r="C372" s="454" t="s">
        <v>299</v>
      </c>
      <c r="D372" s="454" t="s">
        <v>118</v>
      </c>
      <c r="E372" s="454" t="s">
        <v>1208</v>
      </c>
      <c r="F372" s="454" t="s">
        <v>132</v>
      </c>
      <c r="G372" s="459">
        <f>G373</f>
        <v>1380</v>
      </c>
      <c r="H372" s="459">
        <f>H373</f>
        <v>1380</v>
      </c>
      <c r="I372" s="201"/>
    </row>
    <row r="373" spans="1:9" ht="31.9" customHeight="1" x14ac:dyDescent="0.25">
      <c r="A373" s="458" t="s">
        <v>133</v>
      </c>
      <c r="B373" s="452">
        <v>903</v>
      </c>
      <c r="C373" s="454" t="s">
        <v>299</v>
      </c>
      <c r="D373" s="454" t="s">
        <v>118</v>
      </c>
      <c r="E373" s="454" t="s">
        <v>1208</v>
      </c>
      <c r="F373" s="454" t="s">
        <v>134</v>
      </c>
      <c r="G373" s="459">
        <f>380+1000</f>
        <v>1380</v>
      </c>
      <c r="H373" s="459">
        <f t="shared" si="28"/>
        <v>1380</v>
      </c>
      <c r="I373" s="201"/>
    </row>
    <row r="374" spans="1:9" ht="31.5" x14ac:dyDescent="0.25">
      <c r="A374" s="456" t="s">
        <v>947</v>
      </c>
      <c r="B374" s="453">
        <v>903</v>
      </c>
      <c r="C374" s="457" t="s">
        <v>299</v>
      </c>
      <c r="D374" s="457" t="s">
        <v>118</v>
      </c>
      <c r="E374" s="457" t="s">
        <v>1209</v>
      </c>
      <c r="F374" s="457"/>
      <c r="G374" s="44">
        <f t="shared" ref="G374:H376" si="29">G375</f>
        <v>875</v>
      </c>
      <c r="H374" s="44">
        <f t="shared" si="29"/>
        <v>875</v>
      </c>
      <c r="I374" s="201"/>
    </row>
    <row r="375" spans="1:9" ht="47.25" x14ac:dyDescent="0.25">
      <c r="A375" s="458" t="s">
        <v>839</v>
      </c>
      <c r="B375" s="452">
        <v>903</v>
      </c>
      <c r="C375" s="454" t="s">
        <v>299</v>
      </c>
      <c r="D375" s="454" t="s">
        <v>118</v>
      </c>
      <c r="E375" s="454" t="s">
        <v>1210</v>
      </c>
      <c r="F375" s="454"/>
      <c r="G375" s="459">
        <f t="shared" si="29"/>
        <v>875</v>
      </c>
      <c r="H375" s="459">
        <f t="shared" si="29"/>
        <v>875</v>
      </c>
      <c r="I375" s="201"/>
    </row>
    <row r="376" spans="1:9" ht="78.75" x14ac:dyDescent="0.25">
      <c r="A376" s="458" t="s">
        <v>127</v>
      </c>
      <c r="B376" s="452">
        <v>903</v>
      </c>
      <c r="C376" s="454" t="s">
        <v>299</v>
      </c>
      <c r="D376" s="454" t="s">
        <v>118</v>
      </c>
      <c r="E376" s="454" t="s">
        <v>1210</v>
      </c>
      <c r="F376" s="454" t="s">
        <v>128</v>
      </c>
      <c r="G376" s="459">
        <f t="shared" si="29"/>
        <v>875</v>
      </c>
      <c r="H376" s="459">
        <f t="shared" si="29"/>
        <v>875</v>
      </c>
      <c r="I376" s="201"/>
    </row>
    <row r="377" spans="1:9" ht="31.5" x14ac:dyDescent="0.25">
      <c r="A377" s="458" t="s">
        <v>129</v>
      </c>
      <c r="B377" s="452">
        <v>903</v>
      </c>
      <c r="C377" s="454" t="s">
        <v>299</v>
      </c>
      <c r="D377" s="454" t="s">
        <v>118</v>
      </c>
      <c r="E377" s="454" t="s">
        <v>1210</v>
      </c>
      <c r="F377" s="454" t="s">
        <v>209</v>
      </c>
      <c r="G377" s="459">
        <v>875</v>
      </c>
      <c r="H377" s="459">
        <f t="shared" si="28"/>
        <v>875</v>
      </c>
      <c r="I377" s="201"/>
    </row>
    <row r="378" spans="1:9" ht="47.25" x14ac:dyDescent="0.25">
      <c r="A378" s="213" t="s">
        <v>900</v>
      </c>
      <c r="B378" s="453">
        <v>903</v>
      </c>
      <c r="C378" s="457" t="s">
        <v>299</v>
      </c>
      <c r="D378" s="457" t="s">
        <v>118</v>
      </c>
      <c r="E378" s="457" t="s">
        <v>1211</v>
      </c>
      <c r="F378" s="457"/>
      <c r="G378" s="455">
        <f>G379+G382</f>
        <v>2442</v>
      </c>
      <c r="H378" s="455">
        <f>H379+H382</f>
        <v>2442</v>
      </c>
      <c r="I378" s="201"/>
    </row>
    <row r="379" spans="1:9" ht="94.5" x14ac:dyDescent="0.25">
      <c r="A379" s="31" t="s">
        <v>293</v>
      </c>
      <c r="B379" s="452">
        <v>903</v>
      </c>
      <c r="C379" s="454" t="s">
        <v>299</v>
      </c>
      <c r="D379" s="454" t="s">
        <v>118</v>
      </c>
      <c r="E379" s="454" t="s">
        <v>1406</v>
      </c>
      <c r="F379" s="454"/>
      <c r="G379" s="459">
        <f t="shared" ref="G379:H380" si="30">G380</f>
        <v>2100.6</v>
      </c>
      <c r="H379" s="459">
        <f t="shared" si="30"/>
        <v>2100.6</v>
      </c>
      <c r="I379" s="201"/>
    </row>
    <row r="380" spans="1:9" ht="78.75" x14ac:dyDescent="0.25">
      <c r="A380" s="458" t="s">
        <v>127</v>
      </c>
      <c r="B380" s="452">
        <v>903</v>
      </c>
      <c r="C380" s="454" t="s">
        <v>299</v>
      </c>
      <c r="D380" s="454" t="s">
        <v>118</v>
      </c>
      <c r="E380" s="454" t="s">
        <v>1406</v>
      </c>
      <c r="F380" s="454" t="s">
        <v>128</v>
      </c>
      <c r="G380" s="459">
        <f t="shared" si="30"/>
        <v>2100.6</v>
      </c>
      <c r="H380" s="459">
        <f t="shared" si="30"/>
        <v>2100.6</v>
      </c>
      <c r="I380" s="201"/>
    </row>
    <row r="381" spans="1:9" ht="15.75" x14ac:dyDescent="0.25">
      <c r="A381" s="458" t="s">
        <v>208</v>
      </c>
      <c r="B381" s="452">
        <v>903</v>
      </c>
      <c r="C381" s="454" t="s">
        <v>299</v>
      </c>
      <c r="D381" s="454" t="s">
        <v>118</v>
      </c>
      <c r="E381" s="454" t="s">
        <v>1406</v>
      </c>
      <c r="F381" s="454" t="s">
        <v>209</v>
      </c>
      <c r="G381" s="459">
        <v>2100.6</v>
      </c>
      <c r="H381" s="459">
        <f>G381</f>
        <v>2100.6</v>
      </c>
      <c r="I381" s="201"/>
    </row>
    <row r="382" spans="1:9" ht="78.75" x14ac:dyDescent="0.25">
      <c r="A382" s="458" t="s">
        <v>331</v>
      </c>
      <c r="B382" s="452">
        <v>903</v>
      </c>
      <c r="C382" s="454" t="s">
        <v>299</v>
      </c>
      <c r="D382" s="454" t="s">
        <v>118</v>
      </c>
      <c r="E382" s="454" t="s">
        <v>1292</v>
      </c>
      <c r="F382" s="454"/>
      <c r="G382" s="459">
        <f>G383</f>
        <v>341.4</v>
      </c>
      <c r="H382" s="459">
        <f>H383</f>
        <v>341.4</v>
      </c>
      <c r="I382" s="201"/>
    </row>
    <row r="383" spans="1:9" ht="78.75" x14ac:dyDescent="0.25">
      <c r="A383" s="458" t="s">
        <v>127</v>
      </c>
      <c r="B383" s="452">
        <v>903</v>
      </c>
      <c r="C383" s="454" t="s">
        <v>299</v>
      </c>
      <c r="D383" s="454" t="s">
        <v>118</v>
      </c>
      <c r="E383" s="454" t="s">
        <v>1292</v>
      </c>
      <c r="F383" s="454" t="s">
        <v>128</v>
      </c>
      <c r="G383" s="459">
        <f>G384</f>
        <v>341.4</v>
      </c>
      <c r="H383" s="459">
        <f>H384</f>
        <v>341.4</v>
      </c>
      <c r="I383" s="201"/>
    </row>
    <row r="384" spans="1:9" ht="15.75" x14ac:dyDescent="0.25">
      <c r="A384" s="458" t="s">
        <v>208</v>
      </c>
      <c r="B384" s="452">
        <v>903</v>
      </c>
      <c r="C384" s="454" t="s">
        <v>299</v>
      </c>
      <c r="D384" s="454" t="s">
        <v>118</v>
      </c>
      <c r="E384" s="454" t="s">
        <v>1292</v>
      </c>
      <c r="F384" s="454" t="s">
        <v>209</v>
      </c>
      <c r="G384" s="459">
        <v>341.4</v>
      </c>
      <c r="H384" s="459">
        <f>G384</f>
        <v>341.4</v>
      </c>
      <c r="I384" s="201"/>
    </row>
    <row r="385" spans="1:9" ht="31.5" x14ac:dyDescent="0.25">
      <c r="A385" s="456" t="s">
        <v>902</v>
      </c>
      <c r="B385" s="453">
        <v>903</v>
      </c>
      <c r="C385" s="457" t="s">
        <v>299</v>
      </c>
      <c r="D385" s="457" t="s">
        <v>118</v>
      </c>
      <c r="E385" s="457" t="s">
        <v>1216</v>
      </c>
      <c r="F385" s="457"/>
      <c r="G385" s="455">
        <f t="shared" ref="G385:H387" si="31">G386</f>
        <v>50</v>
      </c>
      <c r="H385" s="455">
        <f t="shared" si="31"/>
        <v>50</v>
      </c>
      <c r="I385" s="201"/>
    </row>
    <row r="386" spans="1:9" ht="31.5" x14ac:dyDescent="0.25">
      <c r="A386" s="458" t="s">
        <v>821</v>
      </c>
      <c r="B386" s="452">
        <v>903</v>
      </c>
      <c r="C386" s="454" t="s">
        <v>299</v>
      </c>
      <c r="D386" s="454" t="s">
        <v>118</v>
      </c>
      <c r="E386" s="454" t="s">
        <v>1217</v>
      </c>
      <c r="F386" s="454"/>
      <c r="G386" s="459">
        <f t="shared" si="31"/>
        <v>50</v>
      </c>
      <c r="H386" s="459">
        <f t="shared" si="31"/>
        <v>50</v>
      </c>
      <c r="I386" s="201"/>
    </row>
    <row r="387" spans="1:9" ht="31.5" x14ac:dyDescent="0.25">
      <c r="A387" s="458" t="s">
        <v>131</v>
      </c>
      <c r="B387" s="452">
        <v>903</v>
      </c>
      <c r="C387" s="454" t="s">
        <v>299</v>
      </c>
      <c r="D387" s="454" t="s">
        <v>118</v>
      </c>
      <c r="E387" s="454" t="s">
        <v>1217</v>
      </c>
      <c r="F387" s="454" t="s">
        <v>132</v>
      </c>
      <c r="G387" s="459">
        <f t="shared" si="31"/>
        <v>50</v>
      </c>
      <c r="H387" s="459">
        <f t="shared" si="31"/>
        <v>50</v>
      </c>
      <c r="I387" s="201"/>
    </row>
    <row r="388" spans="1:9" ht="31.5" x14ac:dyDescent="0.25">
      <c r="A388" s="458" t="s">
        <v>133</v>
      </c>
      <c r="B388" s="452">
        <v>903</v>
      </c>
      <c r="C388" s="454" t="s">
        <v>299</v>
      </c>
      <c r="D388" s="454" t="s">
        <v>118</v>
      </c>
      <c r="E388" s="454" t="s">
        <v>1217</v>
      </c>
      <c r="F388" s="454" t="s">
        <v>134</v>
      </c>
      <c r="G388" s="459">
        <v>50</v>
      </c>
      <c r="H388" s="459">
        <v>50</v>
      </c>
      <c r="I388" s="201"/>
    </row>
    <row r="389" spans="1:9" ht="31.5" x14ac:dyDescent="0.25">
      <c r="A389" s="456" t="s">
        <v>1010</v>
      </c>
      <c r="B389" s="453">
        <v>903</v>
      </c>
      <c r="C389" s="457" t="s">
        <v>299</v>
      </c>
      <c r="D389" s="457" t="s">
        <v>118</v>
      </c>
      <c r="E389" s="457" t="s">
        <v>1218</v>
      </c>
      <c r="F389" s="457"/>
      <c r="G389" s="455">
        <f t="shared" ref="G389:H391" si="32">G390</f>
        <v>68.7</v>
      </c>
      <c r="H389" s="455">
        <f t="shared" si="32"/>
        <v>68.7</v>
      </c>
      <c r="I389" s="201"/>
    </row>
    <row r="390" spans="1:9" ht="31.5" x14ac:dyDescent="0.25">
      <c r="A390" s="458" t="s">
        <v>1489</v>
      </c>
      <c r="B390" s="452">
        <v>903</v>
      </c>
      <c r="C390" s="454" t="s">
        <v>299</v>
      </c>
      <c r="D390" s="454" t="s">
        <v>118</v>
      </c>
      <c r="E390" s="454" t="s">
        <v>1219</v>
      </c>
      <c r="F390" s="454"/>
      <c r="G390" s="459">
        <f t="shared" si="32"/>
        <v>68.7</v>
      </c>
      <c r="H390" s="459">
        <f t="shared" si="32"/>
        <v>68.7</v>
      </c>
      <c r="I390" s="201"/>
    </row>
    <row r="391" spans="1:9" ht="31.5" x14ac:dyDescent="0.25">
      <c r="A391" s="458" t="s">
        <v>131</v>
      </c>
      <c r="B391" s="452">
        <v>903</v>
      </c>
      <c r="C391" s="454" t="s">
        <v>299</v>
      </c>
      <c r="D391" s="454" t="s">
        <v>118</v>
      </c>
      <c r="E391" s="454" t="s">
        <v>1219</v>
      </c>
      <c r="F391" s="454" t="s">
        <v>132</v>
      </c>
      <c r="G391" s="459">
        <f t="shared" si="32"/>
        <v>68.7</v>
      </c>
      <c r="H391" s="459">
        <f t="shared" si="32"/>
        <v>68.7</v>
      </c>
      <c r="I391" s="201"/>
    </row>
    <row r="392" spans="1:9" ht="31.5" x14ac:dyDescent="0.25">
      <c r="A392" s="458" t="s">
        <v>133</v>
      </c>
      <c r="B392" s="452">
        <v>903</v>
      </c>
      <c r="C392" s="454" t="s">
        <v>299</v>
      </c>
      <c r="D392" s="454" t="s">
        <v>118</v>
      </c>
      <c r="E392" s="454" t="s">
        <v>1219</v>
      </c>
      <c r="F392" s="454" t="s">
        <v>134</v>
      </c>
      <c r="G392" s="459">
        <f>3.5+65.2</f>
        <v>68.7</v>
      </c>
      <c r="H392" s="459">
        <f t="shared" ref="H392" si="33">G392</f>
        <v>68.7</v>
      </c>
      <c r="I392" s="201"/>
    </row>
    <row r="393" spans="1:9" ht="31.5" x14ac:dyDescent="0.25">
      <c r="A393" s="206" t="s">
        <v>1180</v>
      </c>
      <c r="B393" s="453">
        <v>903</v>
      </c>
      <c r="C393" s="457" t="s">
        <v>299</v>
      </c>
      <c r="D393" s="457" t="s">
        <v>118</v>
      </c>
      <c r="E393" s="457" t="s">
        <v>1214</v>
      </c>
      <c r="F393" s="457"/>
      <c r="G393" s="455">
        <f t="shared" ref="G393:H395" si="34">G394</f>
        <v>300</v>
      </c>
      <c r="H393" s="455">
        <f t="shared" si="34"/>
        <v>1500</v>
      </c>
      <c r="I393" s="201"/>
    </row>
    <row r="394" spans="1:9" ht="15.75" x14ac:dyDescent="0.25">
      <c r="A394" s="98" t="s">
        <v>1187</v>
      </c>
      <c r="B394" s="452">
        <v>903</v>
      </c>
      <c r="C394" s="454" t="s">
        <v>299</v>
      </c>
      <c r="D394" s="454" t="s">
        <v>118</v>
      </c>
      <c r="E394" s="454" t="s">
        <v>1215</v>
      </c>
      <c r="F394" s="454"/>
      <c r="G394" s="459">
        <f t="shared" si="34"/>
        <v>300</v>
      </c>
      <c r="H394" s="459">
        <f t="shared" si="34"/>
        <v>1500</v>
      </c>
      <c r="I394" s="201"/>
    </row>
    <row r="395" spans="1:9" ht="31.5" x14ac:dyDescent="0.25">
      <c r="A395" s="458" t="s">
        <v>131</v>
      </c>
      <c r="B395" s="452">
        <v>903</v>
      </c>
      <c r="C395" s="454" t="s">
        <v>299</v>
      </c>
      <c r="D395" s="454" t="s">
        <v>118</v>
      </c>
      <c r="E395" s="454" t="s">
        <v>1215</v>
      </c>
      <c r="F395" s="454" t="s">
        <v>132</v>
      </c>
      <c r="G395" s="459">
        <f>G396</f>
        <v>300</v>
      </c>
      <c r="H395" s="459">
        <f t="shared" si="34"/>
        <v>1500</v>
      </c>
      <c r="I395" s="201"/>
    </row>
    <row r="396" spans="1:9" ht="31.5" x14ac:dyDescent="0.25">
      <c r="A396" s="458" t="s">
        <v>133</v>
      </c>
      <c r="B396" s="452">
        <v>903</v>
      </c>
      <c r="C396" s="454" t="s">
        <v>299</v>
      </c>
      <c r="D396" s="454" t="s">
        <v>118</v>
      </c>
      <c r="E396" s="454" t="s">
        <v>1215</v>
      </c>
      <c r="F396" s="454" t="s">
        <v>134</v>
      </c>
      <c r="G396" s="459">
        <v>300</v>
      </c>
      <c r="H396" s="459">
        <v>1500</v>
      </c>
      <c r="I396" s="201"/>
    </row>
    <row r="397" spans="1:9" ht="31.5" hidden="1" x14ac:dyDescent="0.25">
      <c r="A397" s="328" t="s">
        <v>1334</v>
      </c>
      <c r="B397" s="453">
        <v>903</v>
      </c>
      <c r="C397" s="457" t="s">
        <v>299</v>
      </c>
      <c r="D397" s="457" t="s">
        <v>118</v>
      </c>
      <c r="E397" s="457"/>
      <c r="F397" s="457"/>
      <c r="G397" s="455">
        <f t="shared" ref="G397:H399" si="35">G398</f>
        <v>0</v>
      </c>
      <c r="H397" s="455">
        <f t="shared" si="35"/>
        <v>0</v>
      </c>
      <c r="I397" s="201"/>
    </row>
    <row r="398" spans="1:9" ht="15.75" hidden="1" x14ac:dyDescent="0.25">
      <c r="A398" s="458"/>
      <c r="B398" s="452">
        <v>903</v>
      </c>
      <c r="C398" s="454" t="s">
        <v>299</v>
      </c>
      <c r="D398" s="454" t="s">
        <v>118</v>
      </c>
      <c r="E398" s="454"/>
      <c r="F398" s="454"/>
      <c r="G398" s="459">
        <f t="shared" si="35"/>
        <v>0</v>
      </c>
      <c r="H398" s="459">
        <f t="shared" si="35"/>
        <v>0</v>
      </c>
      <c r="I398" s="201"/>
    </row>
    <row r="399" spans="1:9" ht="31.5" hidden="1" x14ac:dyDescent="0.25">
      <c r="A399" s="458" t="s">
        <v>131</v>
      </c>
      <c r="B399" s="452">
        <v>903</v>
      </c>
      <c r="C399" s="454" t="s">
        <v>299</v>
      </c>
      <c r="D399" s="454" t="s">
        <v>118</v>
      </c>
      <c r="E399" s="454"/>
      <c r="F399" s="454" t="s">
        <v>132</v>
      </c>
      <c r="G399" s="459">
        <f t="shared" si="35"/>
        <v>0</v>
      </c>
      <c r="H399" s="459">
        <f t="shared" si="35"/>
        <v>0</v>
      </c>
      <c r="I399" s="201"/>
    </row>
    <row r="400" spans="1:9" ht="31.5" hidden="1" x14ac:dyDescent="0.25">
      <c r="A400" s="458" t="s">
        <v>133</v>
      </c>
      <c r="B400" s="452">
        <v>903</v>
      </c>
      <c r="C400" s="454" t="s">
        <v>299</v>
      </c>
      <c r="D400" s="454" t="s">
        <v>118</v>
      </c>
      <c r="E400" s="454"/>
      <c r="F400" s="454" t="s">
        <v>134</v>
      </c>
      <c r="G400" s="459">
        <v>0</v>
      </c>
      <c r="H400" s="459">
        <v>0</v>
      </c>
      <c r="I400" s="201"/>
    </row>
    <row r="401" spans="1:9" ht="63" x14ac:dyDescent="0.25">
      <c r="A401" s="34" t="s">
        <v>781</v>
      </c>
      <c r="B401" s="453">
        <v>903</v>
      </c>
      <c r="C401" s="457" t="s">
        <v>299</v>
      </c>
      <c r="D401" s="457" t="s">
        <v>118</v>
      </c>
      <c r="E401" s="457" t="s">
        <v>324</v>
      </c>
      <c r="F401" s="457"/>
      <c r="G401" s="455">
        <f>G403</f>
        <v>10</v>
      </c>
      <c r="H401" s="455">
        <f>H403</f>
        <v>0</v>
      </c>
      <c r="I401" s="201"/>
    </row>
    <row r="402" spans="1:9" ht="63" x14ac:dyDescent="0.25">
      <c r="A402" s="34" t="s">
        <v>1025</v>
      </c>
      <c r="B402" s="453">
        <v>903</v>
      </c>
      <c r="C402" s="457" t="s">
        <v>299</v>
      </c>
      <c r="D402" s="457" t="s">
        <v>118</v>
      </c>
      <c r="E402" s="457" t="s">
        <v>934</v>
      </c>
      <c r="F402" s="457"/>
      <c r="G402" s="455">
        <f>G405</f>
        <v>10</v>
      </c>
      <c r="H402" s="455">
        <f>H405</f>
        <v>0</v>
      </c>
      <c r="I402" s="201"/>
    </row>
    <row r="403" spans="1:9" ht="47.25" x14ac:dyDescent="0.25">
      <c r="A403" s="31" t="s">
        <v>1081</v>
      </c>
      <c r="B403" s="452">
        <v>903</v>
      </c>
      <c r="C403" s="454" t="s">
        <v>299</v>
      </c>
      <c r="D403" s="454" t="s">
        <v>118</v>
      </c>
      <c r="E403" s="454" t="s">
        <v>1026</v>
      </c>
      <c r="F403" s="454"/>
      <c r="G403" s="459">
        <f>G404</f>
        <v>10</v>
      </c>
      <c r="H403" s="459">
        <f>H404</f>
        <v>0</v>
      </c>
      <c r="I403" s="201"/>
    </row>
    <row r="404" spans="1:9" ht="31.5" x14ac:dyDescent="0.25">
      <c r="A404" s="458" t="s">
        <v>131</v>
      </c>
      <c r="B404" s="452">
        <v>903</v>
      </c>
      <c r="C404" s="454" t="s">
        <v>299</v>
      </c>
      <c r="D404" s="454" t="s">
        <v>118</v>
      </c>
      <c r="E404" s="454" t="s">
        <v>1026</v>
      </c>
      <c r="F404" s="454" t="s">
        <v>132</v>
      </c>
      <c r="G404" s="459">
        <f>G405</f>
        <v>10</v>
      </c>
      <c r="H404" s="459">
        <f>H405</f>
        <v>0</v>
      </c>
      <c r="I404" s="201"/>
    </row>
    <row r="405" spans="1:9" ht="31.5" x14ac:dyDescent="0.25">
      <c r="A405" s="458" t="s">
        <v>133</v>
      </c>
      <c r="B405" s="452">
        <v>903</v>
      </c>
      <c r="C405" s="454" t="s">
        <v>299</v>
      </c>
      <c r="D405" s="454" t="s">
        <v>118</v>
      </c>
      <c r="E405" s="454" t="s">
        <v>1026</v>
      </c>
      <c r="F405" s="454" t="s">
        <v>134</v>
      </c>
      <c r="G405" s="459">
        <v>10</v>
      </c>
      <c r="H405" s="459">
        <v>0</v>
      </c>
      <c r="I405" s="201"/>
    </row>
    <row r="406" spans="1:9" ht="47.25" x14ac:dyDescent="0.25">
      <c r="A406" s="462" t="s">
        <v>1353</v>
      </c>
      <c r="B406" s="453">
        <v>903</v>
      </c>
      <c r="C406" s="457" t="s">
        <v>299</v>
      </c>
      <c r="D406" s="457" t="s">
        <v>118</v>
      </c>
      <c r="E406" s="457" t="s">
        <v>705</v>
      </c>
      <c r="F406" s="465"/>
      <c r="G406" s="455">
        <f t="shared" ref="G406:H409" si="36">G407</f>
        <v>878.7</v>
      </c>
      <c r="H406" s="455">
        <f t="shared" si="36"/>
        <v>913.9</v>
      </c>
      <c r="I406" s="201"/>
    </row>
    <row r="407" spans="1:9" ht="47.25" x14ac:dyDescent="0.25">
      <c r="A407" s="462" t="s">
        <v>890</v>
      </c>
      <c r="B407" s="453">
        <v>903</v>
      </c>
      <c r="C407" s="457" t="s">
        <v>299</v>
      </c>
      <c r="D407" s="457" t="s">
        <v>118</v>
      </c>
      <c r="E407" s="457" t="s">
        <v>888</v>
      </c>
      <c r="F407" s="465"/>
      <c r="G407" s="455">
        <f t="shared" si="36"/>
        <v>878.7</v>
      </c>
      <c r="H407" s="455">
        <f t="shared" si="36"/>
        <v>913.9</v>
      </c>
      <c r="I407" s="201"/>
    </row>
    <row r="408" spans="1:9" ht="41.25" customHeight="1" x14ac:dyDescent="0.25">
      <c r="A408" s="98" t="s">
        <v>1022</v>
      </c>
      <c r="B408" s="452">
        <v>903</v>
      </c>
      <c r="C408" s="454" t="s">
        <v>299</v>
      </c>
      <c r="D408" s="454" t="s">
        <v>118</v>
      </c>
      <c r="E408" s="454" t="s">
        <v>889</v>
      </c>
      <c r="F408" s="460"/>
      <c r="G408" s="459">
        <f t="shared" si="36"/>
        <v>878.7</v>
      </c>
      <c r="H408" s="459">
        <f t="shared" si="36"/>
        <v>913.9</v>
      </c>
      <c r="I408" s="201"/>
    </row>
    <row r="409" spans="1:9" ht="31.5" x14ac:dyDescent="0.25">
      <c r="A409" s="458" t="s">
        <v>131</v>
      </c>
      <c r="B409" s="452">
        <v>903</v>
      </c>
      <c r="C409" s="454" t="s">
        <v>299</v>
      </c>
      <c r="D409" s="454" t="s">
        <v>118</v>
      </c>
      <c r="E409" s="454" t="s">
        <v>889</v>
      </c>
      <c r="F409" s="460" t="s">
        <v>132</v>
      </c>
      <c r="G409" s="459">
        <f t="shared" si="36"/>
        <v>878.7</v>
      </c>
      <c r="H409" s="459">
        <f t="shared" si="36"/>
        <v>913.9</v>
      </c>
      <c r="I409" s="201"/>
    </row>
    <row r="410" spans="1:9" ht="31.5" x14ac:dyDescent="0.25">
      <c r="A410" s="458" t="s">
        <v>133</v>
      </c>
      <c r="B410" s="452">
        <v>903</v>
      </c>
      <c r="C410" s="454" t="s">
        <v>299</v>
      </c>
      <c r="D410" s="454" t="s">
        <v>118</v>
      </c>
      <c r="E410" s="454" t="s">
        <v>889</v>
      </c>
      <c r="F410" s="460" t="s">
        <v>134</v>
      </c>
      <c r="G410" s="459">
        <v>878.7</v>
      </c>
      <c r="H410" s="459">
        <v>913.9</v>
      </c>
      <c r="I410" s="201"/>
    </row>
    <row r="411" spans="1:9" ht="31.5" x14ac:dyDescent="0.25">
      <c r="A411" s="456" t="s">
        <v>333</v>
      </c>
      <c r="B411" s="453">
        <v>903</v>
      </c>
      <c r="C411" s="457" t="s">
        <v>299</v>
      </c>
      <c r="D411" s="457" t="s">
        <v>150</v>
      </c>
      <c r="E411" s="457"/>
      <c r="F411" s="457"/>
      <c r="G411" s="455">
        <f>G412+G422+G434+G440</f>
        <v>18566.400000000001</v>
      </c>
      <c r="H411" s="455">
        <f>H412+H422+H434+H440</f>
        <v>18595.400000000001</v>
      </c>
      <c r="I411" s="201"/>
    </row>
    <row r="412" spans="1:9" ht="31.5" x14ac:dyDescent="0.25">
      <c r="A412" s="456" t="s">
        <v>917</v>
      </c>
      <c r="B412" s="453">
        <v>903</v>
      </c>
      <c r="C412" s="457" t="s">
        <v>299</v>
      </c>
      <c r="D412" s="457" t="s">
        <v>150</v>
      </c>
      <c r="E412" s="457" t="s">
        <v>858</v>
      </c>
      <c r="F412" s="457"/>
      <c r="G412" s="455">
        <f>G413</f>
        <v>7291.6</v>
      </c>
      <c r="H412" s="455">
        <f>H413</f>
        <v>7291.6</v>
      </c>
      <c r="I412" s="201"/>
    </row>
    <row r="413" spans="1:9" ht="15.75" x14ac:dyDescent="0.25">
      <c r="A413" s="456" t="s">
        <v>918</v>
      </c>
      <c r="B413" s="453">
        <v>903</v>
      </c>
      <c r="C413" s="457" t="s">
        <v>299</v>
      </c>
      <c r="D413" s="457" t="s">
        <v>150</v>
      </c>
      <c r="E413" s="457" t="s">
        <v>859</v>
      </c>
      <c r="F413" s="457"/>
      <c r="G413" s="455">
        <f>G414+G419</f>
        <v>7291.6</v>
      </c>
      <c r="H413" s="455">
        <f>H414+H419</f>
        <v>7291.6</v>
      </c>
      <c r="I413" s="201"/>
    </row>
    <row r="414" spans="1:9" ht="31.5" x14ac:dyDescent="0.25">
      <c r="A414" s="458" t="s">
        <v>897</v>
      </c>
      <c r="B414" s="452">
        <v>903</v>
      </c>
      <c r="C414" s="454" t="s">
        <v>299</v>
      </c>
      <c r="D414" s="454" t="s">
        <v>150</v>
      </c>
      <c r="E414" s="454" t="s">
        <v>860</v>
      </c>
      <c r="F414" s="454"/>
      <c r="G414" s="459">
        <f>G415</f>
        <v>7015.6</v>
      </c>
      <c r="H414" s="459">
        <f>H415</f>
        <v>7015.6</v>
      </c>
      <c r="I414" s="201"/>
    </row>
    <row r="415" spans="1:9" ht="78.75" x14ac:dyDescent="0.25">
      <c r="A415" s="458" t="s">
        <v>127</v>
      </c>
      <c r="B415" s="452">
        <v>903</v>
      </c>
      <c r="C415" s="454" t="s">
        <v>299</v>
      </c>
      <c r="D415" s="454" t="s">
        <v>150</v>
      </c>
      <c r="E415" s="454" t="s">
        <v>860</v>
      </c>
      <c r="F415" s="454" t="s">
        <v>128</v>
      </c>
      <c r="G415" s="459">
        <f>G416</f>
        <v>7015.6</v>
      </c>
      <c r="H415" s="459">
        <f>H416</f>
        <v>7015.6</v>
      </c>
      <c r="I415" s="201"/>
    </row>
    <row r="416" spans="1:9" ht="31.5" x14ac:dyDescent="0.25">
      <c r="A416" s="458" t="s">
        <v>129</v>
      </c>
      <c r="B416" s="452">
        <v>903</v>
      </c>
      <c r="C416" s="454" t="s">
        <v>299</v>
      </c>
      <c r="D416" s="454" t="s">
        <v>150</v>
      </c>
      <c r="E416" s="454" t="s">
        <v>860</v>
      </c>
      <c r="F416" s="454" t="s">
        <v>130</v>
      </c>
      <c r="G416" s="459">
        <v>7015.6</v>
      </c>
      <c r="H416" s="459">
        <f t="shared" ref="H416:H499" si="37">G416</f>
        <v>7015.6</v>
      </c>
      <c r="I416" s="201"/>
    </row>
    <row r="417" spans="1:9" ht="31.5" hidden="1" x14ac:dyDescent="0.25">
      <c r="A417" s="458" t="s">
        <v>131</v>
      </c>
      <c r="B417" s="452">
        <v>903</v>
      </c>
      <c r="C417" s="454" t="s">
        <v>299</v>
      </c>
      <c r="D417" s="454" t="s">
        <v>150</v>
      </c>
      <c r="E417" s="454" t="s">
        <v>860</v>
      </c>
      <c r="F417" s="454" t="s">
        <v>132</v>
      </c>
      <c r="G417" s="459">
        <f>'[1]Пр.5 ведом.21'!G408</f>
        <v>0</v>
      </c>
      <c r="H417" s="459">
        <f t="shared" si="37"/>
        <v>0</v>
      </c>
      <c r="I417" s="201"/>
    </row>
    <row r="418" spans="1:9" ht="31.5" hidden="1" x14ac:dyDescent="0.25">
      <c r="A418" s="458" t="s">
        <v>133</v>
      </c>
      <c r="B418" s="452">
        <v>903</v>
      </c>
      <c r="C418" s="454" t="s">
        <v>299</v>
      </c>
      <c r="D418" s="454" t="s">
        <v>150</v>
      </c>
      <c r="E418" s="454" t="s">
        <v>860</v>
      </c>
      <c r="F418" s="454" t="s">
        <v>134</v>
      </c>
      <c r="G418" s="459">
        <f>'[1]Пр.5 ведом.21'!G409</f>
        <v>0</v>
      </c>
      <c r="H418" s="459">
        <f t="shared" si="37"/>
        <v>0</v>
      </c>
      <c r="I418" s="201"/>
    </row>
    <row r="419" spans="1:9" ht="47.25" x14ac:dyDescent="0.25">
      <c r="A419" s="458" t="s">
        <v>839</v>
      </c>
      <c r="B419" s="452">
        <v>903</v>
      </c>
      <c r="C419" s="454" t="s">
        <v>299</v>
      </c>
      <c r="D419" s="454" t="s">
        <v>150</v>
      </c>
      <c r="E419" s="454" t="s">
        <v>862</v>
      </c>
      <c r="F419" s="454"/>
      <c r="G419" s="459">
        <f>G420</f>
        <v>276</v>
      </c>
      <c r="H419" s="459">
        <f>H420</f>
        <v>276</v>
      </c>
      <c r="I419" s="201"/>
    </row>
    <row r="420" spans="1:9" ht="78.75" x14ac:dyDescent="0.25">
      <c r="A420" s="458" t="s">
        <v>127</v>
      </c>
      <c r="B420" s="452">
        <v>903</v>
      </c>
      <c r="C420" s="454" t="s">
        <v>299</v>
      </c>
      <c r="D420" s="454" t="s">
        <v>150</v>
      </c>
      <c r="E420" s="454" t="s">
        <v>862</v>
      </c>
      <c r="F420" s="454" t="s">
        <v>128</v>
      </c>
      <c r="G420" s="459">
        <f>G421</f>
        <v>276</v>
      </c>
      <c r="H420" s="459">
        <f>H421</f>
        <v>276</v>
      </c>
      <c r="I420" s="201"/>
    </row>
    <row r="421" spans="1:9" ht="31.5" x14ac:dyDescent="0.25">
      <c r="A421" s="458" t="s">
        <v>129</v>
      </c>
      <c r="B421" s="452">
        <v>903</v>
      </c>
      <c r="C421" s="454" t="s">
        <v>299</v>
      </c>
      <c r="D421" s="454" t="s">
        <v>150</v>
      </c>
      <c r="E421" s="454" t="s">
        <v>862</v>
      </c>
      <c r="F421" s="454" t="s">
        <v>130</v>
      </c>
      <c r="G421" s="459">
        <v>276</v>
      </c>
      <c r="H421" s="459">
        <f t="shared" si="37"/>
        <v>276</v>
      </c>
      <c r="I421" s="201"/>
    </row>
    <row r="422" spans="1:9" ht="15.75" x14ac:dyDescent="0.25">
      <c r="A422" s="456" t="s">
        <v>926</v>
      </c>
      <c r="B422" s="453">
        <v>903</v>
      </c>
      <c r="C422" s="457" t="s">
        <v>299</v>
      </c>
      <c r="D422" s="457" t="s">
        <v>150</v>
      </c>
      <c r="E422" s="457" t="s">
        <v>866</v>
      </c>
      <c r="F422" s="457"/>
      <c r="G422" s="455">
        <f>G423</f>
        <v>11014.8</v>
      </c>
      <c r="H422" s="455">
        <f>H423</f>
        <v>11014.8</v>
      </c>
      <c r="I422" s="201"/>
    </row>
    <row r="423" spans="1:9" ht="31.5" x14ac:dyDescent="0.25">
      <c r="A423" s="456" t="s">
        <v>929</v>
      </c>
      <c r="B423" s="453">
        <v>903</v>
      </c>
      <c r="C423" s="457" t="s">
        <v>299</v>
      </c>
      <c r="D423" s="457" t="s">
        <v>150</v>
      </c>
      <c r="E423" s="457" t="s">
        <v>914</v>
      </c>
      <c r="F423" s="457"/>
      <c r="G423" s="455">
        <f>G424+G431</f>
        <v>11014.8</v>
      </c>
      <c r="H423" s="455">
        <f>H424+H431</f>
        <v>11014.8</v>
      </c>
      <c r="I423" s="201"/>
    </row>
    <row r="424" spans="1:9" ht="31.5" x14ac:dyDescent="0.25">
      <c r="A424" s="458" t="s">
        <v>903</v>
      </c>
      <c r="B424" s="452">
        <v>903</v>
      </c>
      <c r="C424" s="454" t="s">
        <v>299</v>
      </c>
      <c r="D424" s="454" t="s">
        <v>150</v>
      </c>
      <c r="E424" s="454" t="s">
        <v>915</v>
      </c>
      <c r="F424" s="454"/>
      <c r="G424" s="459">
        <f>G425+G427+G429</f>
        <v>10804.8</v>
      </c>
      <c r="H424" s="459">
        <f>H425+H427+H429</f>
        <v>10804.8</v>
      </c>
      <c r="I424" s="201"/>
    </row>
    <row r="425" spans="1:9" ht="78.75" x14ac:dyDescent="0.25">
      <c r="A425" s="458" t="s">
        <v>127</v>
      </c>
      <c r="B425" s="452">
        <v>903</v>
      </c>
      <c r="C425" s="454" t="s">
        <v>299</v>
      </c>
      <c r="D425" s="454" t="s">
        <v>150</v>
      </c>
      <c r="E425" s="454" t="s">
        <v>915</v>
      </c>
      <c r="F425" s="454" t="s">
        <v>128</v>
      </c>
      <c r="G425" s="459">
        <f>G426</f>
        <v>8853.7999999999993</v>
      </c>
      <c r="H425" s="459">
        <f>H426</f>
        <v>8853.7999999999993</v>
      </c>
      <c r="I425" s="201"/>
    </row>
    <row r="426" spans="1:9" ht="24.75" customHeight="1" x14ac:dyDescent="0.25">
      <c r="A426" s="458" t="s">
        <v>342</v>
      </c>
      <c r="B426" s="452">
        <v>903</v>
      </c>
      <c r="C426" s="454" t="s">
        <v>299</v>
      </c>
      <c r="D426" s="454" t="s">
        <v>150</v>
      </c>
      <c r="E426" s="454" t="s">
        <v>915</v>
      </c>
      <c r="F426" s="454" t="s">
        <v>209</v>
      </c>
      <c r="G426" s="459">
        <v>8853.7999999999993</v>
      </c>
      <c r="H426" s="459">
        <f t="shared" si="37"/>
        <v>8853.7999999999993</v>
      </c>
      <c r="I426" s="201"/>
    </row>
    <row r="427" spans="1:9" ht="31.5" x14ac:dyDescent="0.25">
      <c r="A427" s="458" t="s">
        <v>131</v>
      </c>
      <c r="B427" s="452">
        <v>903</v>
      </c>
      <c r="C427" s="454" t="s">
        <v>299</v>
      </c>
      <c r="D427" s="454" t="s">
        <v>150</v>
      </c>
      <c r="E427" s="454" t="s">
        <v>915</v>
      </c>
      <c r="F427" s="454" t="s">
        <v>132</v>
      </c>
      <c r="G427" s="459">
        <f>G428</f>
        <v>1937</v>
      </c>
      <c r="H427" s="459">
        <f>H428</f>
        <v>1937</v>
      </c>
      <c r="I427" s="201"/>
    </row>
    <row r="428" spans="1:9" ht="31.5" x14ac:dyDescent="0.25">
      <c r="A428" s="458" t="s">
        <v>133</v>
      </c>
      <c r="B428" s="452">
        <v>903</v>
      </c>
      <c r="C428" s="454" t="s">
        <v>299</v>
      </c>
      <c r="D428" s="454" t="s">
        <v>150</v>
      </c>
      <c r="E428" s="454" t="s">
        <v>915</v>
      </c>
      <c r="F428" s="454" t="s">
        <v>134</v>
      </c>
      <c r="G428" s="459">
        <f>1937</f>
        <v>1937</v>
      </c>
      <c r="H428" s="459">
        <f t="shared" si="37"/>
        <v>1937</v>
      </c>
      <c r="I428" s="201"/>
    </row>
    <row r="429" spans="1:9" ht="15.75" x14ac:dyDescent="0.25">
      <c r="A429" s="458" t="s">
        <v>135</v>
      </c>
      <c r="B429" s="452">
        <v>903</v>
      </c>
      <c r="C429" s="454" t="s">
        <v>299</v>
      </c>
      <c r="D429" s="454" t="s">
        <v>150</v>
      </c>
      <c r="E429" s="454" t="s">
        <v>915</v>
      </c>
      <c r="F429" s="454" t="s">
        <v>145</v>
      </c>
      <c r="G429" s="459">
        <f>G430</f>
        <v>14</v>
      </c>
      <c r="H429" s="459">
        <f>H430</f>
        <v>14</v>
      </c>
      <c r="I429" s="201"/>
    </row>
    <row r="430" spans="1:9" ht="15.75" x14ac:dyDescent="0.25">
      <c r="A430" s="458" t="s">
        <v>568</v>
      </c>
      <c r="B430" s="452">
        <v>903</v>
      </c>
      <c r="C430" s="454" t="s">
        <v>299</v>
      </c>
      <c r="D430" s="454" t="s">
        <v>150</v>
      </c>
      <c r="E430" s="454" t="s">
        <v>915</v>
      </c>
      <c r="F430" s="454" t="s">
        <v>138</v>
      </c>
      <c r="G430" s="459">
        <f>14</f>
        <v>14</v>
      </c>
      <c r="H430" s="459">
        <f t="shared" si="37"/>
        <v>14</v>
      </c>
      <c r="I430" s="201"/>
    </row>
    <row r="431" spans="1:9" ht="47.25" x14ac:dyDescent="0.25">
      <c r="A431" s="458" t="s">
        <v>839</v>
      </c>
      <c r="B431" s="452">
        <v>903</v>
      </c>
      <c r="C431" s="454" t="s">
        <v>299</v>
      </c>
      <c r="D431" s="454" t="s">
        <v>150</v>
      </c>
      <c r="E431" s="454" t="s">
        <v>916</v>
      </c>
      <c r="F431" s="454"/>
      <c r="G431" s="459">
        <f>G432</f>
        <v>210</v>
      </c>
      <c r="H431" s="459">
        <f>H432</f>
        <v>210</v>
      </c>
      <c r="I431" s="201"/>
    </row>
    <row r="432" spans="1:9" ht="78.75" x14ac:dyDescent="0.25">
      <c r="A432" s="458" t="s">
        <v>127</v>
      </c>
      <c r="B432" s="452">
        <v>903</v>
      </c>
      <c r="C432" s="454" t="s">
        <v>299</v>
      </c>
      <c r="D432" s="454" t="s">
        <v>150</v>
      </c>
      <c r="E432" s="454" t="s">
        <v>916</v>
      </c>
      <c r="F432" s="454" t="s">
        <v>128</v>
      </c>
      <c r="G432" s="459">
        <f>G433</f>
        <v>210</v>
      </c>
      <c r="H432" s="459">
        <f>H433</f>
        <v>210</v>
      </c>
      <c r="I432" s="201"/>
    </row>
    <row r="433" spans="1:9" ht="25.5" customHeight="1" x14ac:dyDescent="0.25">
      <c r="A433" s="458" t="s">
        <v>342</v>
      </c>
      <c r="B433" s="452">
        <v>903</v>
      </c>
      <c r="C433" s="454" t="s">
        <v>299</v>
      </c>
      <c r="D433" s="454" t="s">
        <v>150</v>
      </c>
      <c r="E433" s="454" t="s">
        <v>916</v>
      </c>
      <c r="F433" s="454" t="s">
        <v>209</v>
      </c>
      <c r="G433" s="459">
        <f>210</f>
        <v>210</v>
      </c>
      <c r="H433" s="459">
        <f t="shared" si="37"/>
        <v>210</v>
      </c>
      <c r="I433" s="201"/>
    </row>
    <row r="434" spans="1:9" ht="47.25" x14ac:dyDescent="0.25">
      <c r="A434" s="456" t="s">
        <v>1369</v>
      </c>
      <c r="B434" s="453">
        <v>903</v>
      </c>
      <c r="C434" s="457" t="s">
        <v>299</v>
      </c>
      <c r="D434" s="457" t="s">
        <v>150</v>
      </c>
      <c r="E434" s="457" t="s">
        <v>344</v>
      </c>
      <c r="F434" s="457"/>
      <c r="G434" s="455">
        <f>G435</f>
        <v>260</v>
      </c>
      <c r="H434" s="455">
        <f>H435</f>
        <v>285</v>
      </c>
      <c r="I434" s="201"/>
    </row>
    <row r="435" spans="1:9" ht="33.950000000000003" customHeight="1" x14ac:dyDescent="0.25">
      <c r="A435" s="456" t="s">
        <v>1356</v>
      </c>
      <c r="B435" s="453">
        <v>903</v>
      </c>
      <c r="C435" s="457" t="s">
        <v>299</v>
      </c>
      <c r="D435" s="457" t="s">
        <v>150</v>
      </c>
      <c r="E435" s="457" t="s">
        <v>362</v>
      </c>
      <c r="F435" s="457"/>
      <c r="G435" s="455">
        <f t="shared" ref="G435:H436" si="38">G436</f>
        <v>260</v>
      </c>
      <c r="H435" s="455">
        <f t="shared" si="38"/>
        <v>285</v>
      </c>
      <c r="I435" s="201"/>
    </row>
    <row r="436" spans="1:9" ht="31.5" x14ac:dyDescent="0.25">
      <c r="A436" s="456" t="s">
        <v>997</v>
      </c>
      <c r="B436" s="453">
        <v>903</v>
      </c>
      <c r="C436" s="457" t="s">
        <v>299</v>
      </c>
      <c r="D436" s="457" t="s">
        <v>150</v>
      </c>
      <c r="E436" s="457" t="s">
        <v>1222</v>
      </c>
      <c r="F436" s="457"/>
      <c r="G436" s="455">
        <f t="shared" si="38"/>
        <v>260</v>
      </c>
      <c r="H436" s="455">
        <f t="shared" si="38"/>
        <v>285</v>
      </c>
      <c r="I436" s="201"/>
    </row>
    <row r="437" spans="1:9" ht="31.5" x14ac:dyDescent="0.25">
      <c r="A437" s="458" t="s">
        <v>996</v>
      </c>
      <c r="B437" s="452">
        <v>903</v>
      </c>
      <c r="C437" s="454" t="s">
        <v>299</v>
      </c>
      <c r="D437" s="454" t="s">
        <v>150</v>
      </c>
      <c r="E437" s="454" t="s">
        <v>1223</v>
      </c>
      <c r="F437" s="454"/>
      <c r="G437" s="459">
        <f>G438</f>
        <v>260</v>
      </c>
      <c r="H437" s="459">
        <f>H438</f>
        <v>285</v>
      </c>
      <c r="I437" s="201"/>
    </row>
    <row r="438" spans="1:9" ht="31.5" x14ac:dyDescent="0.25">
      <c r="A438" s="458" t="s">
        <v>131</v>
      </c>
      <c r="B438" s="452">
        <v>903</v>
      </c>
      <c r="C438" s="454" t="s">
        <v>299</v>
      </c>
      <c r="D438" s="454" t="s">
        <v>150</v>
      </c>
      <c r="E438" s="454" t="s">
        <v>1223</v>
      </c>
      <c r="F438" s="454" t="s">
        <v>132</v>
      </c>
      <c r="G438" s="459">
        <f>G439</f>
        <v>260</v>
      </c>
      <c r="H438" s="459">
        <f>H439</f>
        <v>285</v>
      </c>
      <c r="I438" s="201"/>
    </row>
    <row r="439" spans="1:9" ht="37.35" customHeight="1" x14ac:dyDescent="0.25">
      <c r="A439" s="458" t="s">
        <v>133</v>
      </c>
      <c r="B439" s="452">
        <v>903</v>
      </c>
      <c r="C439" s="454" t="s">
        <v>299</v>
      </c>
      <c r="D439" s="454" t="s">
        <v>150</v>
      </c>
      <c r="E439" s="454" t="s">
        <v>1223</v>
      </c>
      <c r="F439" s="454" t="s">
        <v>134</v>
      </c>
      <c r="G439" s="459">
        <f>260</f>
        <v>260</v>
      </c>
      <c r="H439" s="459">
        <v>285</v>
      </c>
      <c r="I439" s="201"/>
    </row>
    <row r="440" spans="1:9" ht="51" customHeight="1" x14ac:dyDescent="0.25">
      <c r="A440" s="34" t="s">
        <v>1439</v>
      </c>
      <c r="B440" s="453">
        <v>903</v>
      </c>
      <c r="C440" s="457" t="s">
        <v>299</v>
      </c>
      <c r="D440" s="457" t="s">
        <v>150</v>
      </c>
      <c r="E440" s="457" t="s">
        <v>324</v>
      </c>
      <c r="F440" s="457"/>
      <c r="G440" s="455">
        <f>G442</f>
        <v>0</v>
      </c>
      <c r="H440" s="455">
        <f>H441</f>
        <v>4</v>
      </c>
      <c r="I440" s="201"/>
    </row>
    <row r="441" spans="1:9" ht="59.1" customHeight="1" x14ac:dyDescent="0.25">
      <c r="A441" s="34" t="s">
        <v>1025</v>
      </c>
      <c r="B441" s="453">
        <v>903</v>
      </c>
      <c r="C441" s="457" t="s">
        <v>299</v>
      </c>
      <c r="D441" s="457" t="s">
        <v>150</v>
      </c>
      <c r="E441" s="457" t="s">
        <v>934</v>
      </c>
      <c r="F441" s="457"/>
      <c r="G441" s="455">
        <f>G444</f>
        <v>0</v>
      </c>
      <c r="H441" s="455">
        <f>H442</f>
        <v>4</v>
      </c>
      <c r="I441" s="201"/>
    </row>
    <row r="442" spans="1:9" ht="53.1" customHeight="1" x14ac:dyDescent="0.25">
      <c r="A442" s="31" t="s">
        <v>1081</v>
      </c>
      <c r="B442" s="452">
        <v>903</v>
      </c>
      <c r="C442" s="454" t="s">
        <v>299</v>
      </c>
      <c r="D442" s="454" t="s">
        <v>150</v>
      </c>
      <c r="E442" s="454" t="s">
        <v>1026</v>
      </c>
      <c r="F442" s="454"/>
      <c r="G442" s="459">
        <f>G443</f>
        <v>0</v>
      </c>
      <c r="H442" s="459">
        <f>H443</f>
        <v>4</v>
      </c>
      <c r="I442" s="201"/>
    </row>
    <row r="443" spans="1:9" ht="37.35" customHeight="1" x14ac:dyDescent="0.25">
      <c r="A443" s="458" t="s">
        <v>131</v>
      </c>
      <c r="B443" s="452">
        <v>903</v>
      </c>
      <c r="C443" s="454" t="s">
        <v>299</v>
      </c>
      <c r="D443" s="454" t="s">
        <v>150</v>
      </c>
      <c r="E443" s="454" t="s">
        <v>1026</v>
      </c>
      <c r="F443" s="454" t="s">
        <v>132</v>
      </c>
      <c r="G443" s="459">
        <f>G444</f>
        <v>0</v>
      </c>
      <c r="H443" s="459">
        <f>H444</f>
        <v>4</v>
      </c>
      <c r="I443" s="201"/>
    </row>
    <row r="444" spans="1:9" ht="37.35" customHeight="1" x14ac:dyDescent="0.25">
      <c r="A444" s="458" t="s">
        <v>133</v>
      </c>
      <c r="B444" s="452">
        <v>903</v>
      </c>
      <c r="C444" s="454" t="s">
        <v>299</v>
      </c>
      <c r="D444" s="454" t="s">
        <v>150</v>
      </c>
      <c r="E444" s="454" t="s">
        <v>1026</v>
      </c>
      <c r="F444" s="454" t="s">
        <v>134</v>
      </c>
      <c r="G444" s="459">
        <v>0</v>
      </c>
      <c r="H444" s="459">
        <v>4</v>
      </c>
      <c r="I444" s="201"/>
    </row>
    <row r="445" spans="1:9" ht="15.75" x14ac:dyDescent="0.25">
      <c r="A445" s="456" t="s">
        <v>243</v>
      </c>
      <c r="B445" s="453">
        <v>903</v>
      </c>
      <c r="C445" s="457" t="s">
        <v>244</v>
      </c>
      <c r="D445" s="457"/>
      <c r="E445" s="457"/>
      <c r="F445" s="457"/>
      <c r="G445" s="455">
        <f>G446</f>
        <v>2001.6100000000001</v>
      </c>
      <c r="H445" s="455">
        <f>H446</f>
        <v>2026.1100000000001</v>
      </c>
      <c r="I445" s="201"/>
    </row>
    <row r="446" spans="1:9" ht="15.75" x14ac:dyDescent="0.25">
      <c r="A446" s="456" t="s">
        <v>252</v>
      </c>
      <c r="B446" s="453">
        <v>903</v>
      </c>
      <c r="C446" s="457" t="s">
        <v>244</v>
      </c>
      <c r="D446" s="457" t="s">
        <v>215</v>
      </c>
      <c r="E446" s="457"/>
      <c r="F446" s="457"/>
      <c r="G446" s="455">
        <f>G447</f>
        <v>2001.6100000000001</v>
      </c>
      <c r="H446" s="455">
        <f>H447</f>
        <v>2026.1100000000001</v>
      </c>
      <c r="I446" s="201"/>
    </row>
    <row r="447" spans="1:9" ht="47.25" x14ac:dyDescent="0.25">
      <c r="A447" s="456" t="s">
        <v>1369</v>
      </c>
      <c r="B447" s="453">
        <v>903</v>
      </c>
      <c r="C447" s="457" t="s">
        <v>244</v>
      </c>
      <c r="D447" s="457" t="s">
        <v>215</v>
      </c>
      <c r="E447" s="457" t="s">
        <v>344</v>
      </c>
      <c r="F447" s="457"/>
      <c r="G447" s="455">
        <f>G448+G453</f>
        <v>2001.6100000000001</v>
      </c>
      <c r="H447" s="455">
        <f>H448+H453</f>
        <v>2026.1100000000001</v>
      </c>
      <c r="I447" s="201"/>
    </row>
    <row r="448" spans="1:9" ht="31.5" x14ac:dyDescent="0.25">
      <c r="A448" s="456" t="s">
        <v>352</v>
      </c>
      <c r="B448" s="453">
        <v>903</v>
      </c>
      <c r="C448" s="457" t="s">
        <v>244</v>
      </c>
      <c r="D448" s="457" t="s">
        <v>215</v>
      </c>
      <c r="E448" s="457" t="s">
        <v>353</v>
      </c>
      <c r="F448" s="457"/>
      <c r="G448" s="455">
        <f t="shared" ref="G448:H451" si="39">G449</f>
        <v>294.61</v>
      </c>
      <c r="H448" s="455">
        <f t="shared" si="39"/>
        <v>289.11</v>
      </c>
      <c r="I448" s="201"/>
    </row>
    <row r="449" spans="1:13" ht="31.5" x14ac:dyDescent="0.25">
      <c r="A449" s="456" t="s">
        <v>905</v>
      </c>
      <c r="B449" s="453">
        <v>903</v>
      </c>
      <c r="C449" s="457" t="s">
        <v>244</v>
      </c>
      <c r="D449" s="457" t="s">
        <v>215</v>
      </c>
      <c r="E449" s="457" t="s">
        <v>904</v>
      </c>
      <c r="F449" s="457"/>
      <c r="G449" s="455">
        <f t="shared" si="39"/>
        <v>294.61</v>
      </c>
      <c r="H449" s="455">
        <f t="shared" si="39"/>
        <v>289.11</v>
      </c>
      <c r="I449" s="201"/>
    </row>
    <row r="450" spans="1:13" ht="31.5" x14ac:dyDescent="0.25">
      <c r="A450" s="458" t="s">
        <v>824</v>
      </c>
      <c r="B450" s="452">
        <v>903</v>
      </c>
      <c r="C450" s="454" t="s">
        <v>244</v>
      </c>
      <c r="D450" s="454" t="s">
        <v>215</v>
      </c>
      <c r="E450" s="454" t="s">
        <v>906</v>
      </c>
      <c r="F450" s="454"/>
      <c r="G450" s="459">
        <f t="shared" si="39"/>
        <v>294.61</v>
      </c>
      <c r="H450" s="459">
        <f t="shared" si="39"/>
        <v>289.11</v>
      </c>
      <c r="I450" s="201"/>
    </row>
    <row r="451" spans="1:13" ht="21.2" customHeight="1" x14ac:dyDescent="0.25">
      <c r="A451" s="458" t="s">
        <v>248</v>
      </c>
      <c r="B451" s="452">
        <v>903</v>
      </c>
      <c r="C451" s="454" t="s">
        <v>244</v>
      </c>
      <c r="D451" s="454" t="s">
        <v>215</v>
      </c>
      <c r="E451" s="454" t="s">
        <v>906</v>
      </c>
      <c r="F451" s="454" t="s">
        <v>249</v>
      </c>
      <c r="G451" s="459">
        <f>G452</f>
        <v>294.61</v>
      </c>
      <c r="H451" s="459">
        <f t="shared" si="39"/>
        <v>289.11</v>
      </c>
      <c r="I451" s="201"/>
    </row>
    <row r="452" spans="1:13" ht="31.5" x14ac:dyDescent="0.25">
      <c r="A452" s="458" t="s">
        <v>250</v>
      </c>
      <c r="B452" s="452">
        <v>903</v>
      </c>
      <c r="C452" s="454" t="s">
        <v>244</v>
      </c>
      <c r="D452" s="454" t="s">
        <v>215</v>
      </c>
      <c r="E452" s="454" t="s">
        <v>906</v>
      </c>
      <c r="F452" s="454" t="s">
        <v>251</v>
      </c>
      <c r="G452" s="459">
        <f>267.8+26.81</f>
        <v>294.61</v>
      </c>
      <c r="H452" s="459">
        <f>262.8+26.31</f>
        <v>289.11</v>
      </c>
      <c r="I452" s="201"/>
      <c r="L452" s="449">
        <v>26.81</v>
      </c>
      <c r="M452" s="449">
        <v>26.31</v>
      </c>
    </row>
    <row r="453" spans="1:13" ht="31.5" x14ac:dyDescent="0.25">
      <c r="A453" s="456" t="s">
        <v>355</v>
      </c>
      <c r="B453" s="453">
        <v>903</v>
      </c>
      <c r="C453" s="453">
        <v>10</v>
      </c>
      <c r="D453" s="457" t="s">
        <v>215</v>
      </c>
      <c r="E453" s="457" t="s">
        <v>362</v>
      </c>
      <c r="F453" s="457"/>
      <c r="G453" s="455">
        <f>G455+G458+G464</f>
        <v>1707</v>
      </c>
      <c r="H453" s="455">
        <f>H455+H458+H464</f>
        <v>1737</v>
      </c>
      <c r="I453" s="201"/>
    </row>
    <row r="454" spans="1:13" ht="31.5" x14ac:dyDescent="0.25">
      <c r="A454" s="456" t="s">
        <v>1038</v>
      </c>
      <c r="B454" s="453">
        <v>903</v>
      </c>
      <c r="C454" s="453">
        <v>10</v>
      </c>
      <c r="D454" s="457" t="s">
        <v>215</v>
      </c>
      <c r="E454" s="457" t="s">
        <v>913</v>
      </c>
      <c r="F454" s="457"/>
      <c r="G454" s="455">
        <f t="shared" ref="G454:H456" si="40">G455</f>
        <v>630</v>
      </c>
      <c r="H454" s="455">
        <f t="shared" si="40"/>
        <v>630</v>
      </c>
      <c r="I454" s="201"/>
    </row>
    <row r="455" spans="1:13" ht="47.25" x14ac:dyDescent="0.25">
      <c r="A455" s="98" t="s">
        <v>1039</v>
      </c>
      <c r="B455" s="452">
        <v>903</v>
      </c>
      <c r="C455" s="454" t="s">
        <v>244</v>
      </c>
      <c r="D455" s="454" t="s">
        <v>215</v>
      </c>
      <c r="E455" s="454" t="s">
        <v>1225</v>
      </c>
      <c r="F455" s="454"/>
      <c r="G455" s="459">
        <f t="shared" si="40"/>
        <v>630</v>
      </c>
      <c r="H455" s="459">
        <f t="shared" si="40"/>
        <v>630</v>
      </c>
      <c r="I455" s="201"/>
    </row>
    <row r="456" spans="1:13" ht="22.7" customHeight="1" x14ac:dyDescent="0.25">
      <c r="A456" s="458" t="s">
        <v>248</v>
      </c>
      <c r="B456" s="452">
        <v>903</v>
      </c>
      <c r="C456" s="454" t="s">
        <v>244</v>
      </c>
      <c r="D456" s="454" t="s">
        <v>215</v>
      </c>
      <c r="E456" s="454" t="s">
        <v>1225</v>
      </c>
      <c r="F456" s="454" t="s">
        <v>249</v>
      </c>
      <c r="G456" s="459">
        <f t="shared" si="40"/>
        <v>630</v>
      </c>
      <c r="H456" s="459">
        <f t="shared" si="40"/>
        <v>630</v>
      </c>
      <c r="I456" s="201"/>
    </row>
    <row r="457" spans="1:13" ht="31.5" x14ac:dyDescent="0.25">
      <c r="A457" s="458" t="s">
        <v>348</v>
      </c>
      <c r="B457" s="452">
        <v>903</v>
      </c>
      <c r="C457" s="454" t="s">
        <v>244</v>
      </c>
      <c r="D457" s="454" t="s">
        <v>215</v>
      </c>
      <c r="E457" s="454" t="s">
        <v>1225</v>
      </c>
      <c r="F457" s="454" t="s">
        <v>349</v>
      </c>
      <c r="G457" s="459">
        <v>630</v>
      </c>
      <c r="H457" s="459">
        <f t="shared" si="37"/>
        <v>630</v>
      </c>
      <c r="I457" s="201"/>
    </row>
    <row r="458" spans="1:13" ht="31.5" x14ac:dyDescent="0.25">
      <c r="A458" s="456" t="s">
        <v>1229</v>
      </c>
      <c r="B458" s="453">
        <v>903</v>
      </c>
      <c r="C458" s="453">
        <v>10</v>
      </c>
      <c r="D458" s="457" t="s">
        <v>215</v>
      </c>
      <c r="E458" s="457" t="s">
        <v>1227</v>
      </c>
      <c r="F458" s="457"/>
      <c r="G458" s="455">
        <f>G459+G462</f>
        <v>657</v>
      </c>
      <c r="H458" s="455">
        <f>H459+H462</f>
        <v>657</v>
      </c>
      <c r="I458" s="201"/>
    </row>
    <row r="459" spans="1:13" ht="31.5" x14ac:dyDescent="0.25">
      <c r="A459" s="458" t="s">
        <v>1226</v>
      </c>
      <c r="B459" s="452">
        <v>903</v>
      </c>
      <c r="C459" s="454" t="s">
        <v>244</v>
      </c>
      <c r="D459" s="454" t="s">
        <v>215</v>
      </c>
      <c r="E459" s="454" t="s">
        <v>1228</v>
      </c>
      <c r="F459" s="454"/>
      <c r="G459" s="459">
        <f>G460</f>
        <v>400</v>
      </c>
      <c r="H459" s="459">
        <f>H460</f>
        <v>400</v>
      </c>
      <c r="I459" s="201"/>
    </row>
    <row r="460" spans="1:13" ht="31.5" x14ac:dyDescent="0.25">
      <c r="A460" s="458" t="s">
        <v>131</v>
      </c>
      <c r="B460" s="452">
        <v>903</v>
      </c>
      <c r="C460" s="454" t="s">
        <v>244</v>
      </c>
      <c r="D460" s="454" t="s">
        <v>215</v>
      </c>
      <c r="E460" s="454" t="s">
        <v>1228</v>
      </c>
      <c r="F460" s="454" t="s">
        <v>132</v>
      </c>
      <c r="G460" s="459">
        <f>G461</f>
        <v>400</v>
      </c>
      <c r="H460" s="459">
        <f>H461</f>
        <v>400</v>
      </c>
      <c r="I460" s="201"/>
    </row>
    <row r="461" spans="1:13" ht="31.5" x14ac:dyDescent="0.25">
      <c r="A461" s="458" t="s">
        <v>133</v>
      </c>
      <c r="B461" s="452">
        <v>903</v>
      </c>
      <c r="C461" s="454" t="s">
        <v>244</v>
      </c>
      <c r="D461" s="454" t="s">
        <v>215</v>
      </c>
      <c r="E461" s="454" t="s">
        <v>1228</v>
      </c>
      <c r="F461" s="454" t="s">
        <v>134</v>
      </c>
      <c r="G461" s="459">
        <v>400</v>
      </c>
      <c r="H461" s="459">
        <f t="shared" si="37"/>
        <v>400</v>
      </c>
      <c r="I461" s="201"/>
    </row>
    <row r="462" spans="1:13" ht="31.5" x14ac:dyDescent="0.25">
      <c r="A462" s="458" t="s">
        <v>248</v>
      </c>
      <c r="B462" s="452">
        <v>903</v>
      </c>
      <c r="C462" s="454" t="s">
        <v>244</v>
      </c>
      <c r="D462" s="454" t="s">
        <v>215</v>
      </c>
      <c r="E462" s="454" t="s">
        <v>1228</v>
      </c>
      <c r="F462" s="454" t="s">
        <v>249</v>
      </c>
      <c r="G462" s="459">
        <f>G463</f>
        <v>257</v>
      </c>
      <c r="H462" s="459">
        <f>H463</f>
        <v>257</v>
      </c>
      <c r="I462" s="201"/>
    </row>
    <row r="463" spans="1:13" ht="31.5" x14ac:dyDescent="0.25">
      <c r="A463" s="458" t="s">
        <v>348</v>
      </c>
      <c r="B463" s="452">
        <v>903</v>
      </c>
      <c r="C463" s="454" t="s">
        <v>244</v>
      </c>
      <c r="D463" s="454" t="s">
        <v>215</v>
      </c>
      <c r="E463" s="454" t="s">
        <v>1228</v>
      </c>
      <c r="F463" s="454" t="s">
        <v>349</v>
      </c>
      <c r="G463" s="459">
        <v>257</v>
      </c>
      <c r="H463" s="459">
        <f t="shared" si="37"/>
        <v>257</v>
      </c>
      <c r="I463" s="201"/>
    </row>
    <row r="464" spans="1:13" ht="31.5" x14ac:dyDescent="0.25">
      <c r="A464" s="456" t="s">
        <v>997</v>
      </c>
      <c r="B464" s="453">
        <v>903</v>
      </c>
      <c r="C464" s="453">
        <v>10</v>
      </c>
      <c r="D464" s="457" t="s">
        <v>215</v>
      </c>
      <c r="E464" s="457" t="s">
        <v>1222</v>
      </c>
      <c r="F464" s="457"/>
      <c r="G464" s="455">
        <f>G465</f>
        <v>420</v>
      </c>
      <c r="H464" s="455">
        <f t="shared" ref="H464:H466" si="41">H465</f>
        <v>450</v>
      </c>
      <c r="I464" s="201"/>
    </row>
    <row r="465" spans="1:9" ht="15.75" x14ac:dyDescent="0.25">
      <c r="A465" s="458" t="s">
        <v>1036</v>
      </c>
      <c r="B465" s="452">
        <v>903</v>
      </c>
      <c r="C465" s="454" t="s">
        <v>244</v>
      </c>
      <c r="D465" s="454" t="s">
        <v>215</v>
      </c>
      <c r="E465" s="454" t="s">
        <v>1224</v>
      </c>
      <c r="F465" s="454"/>
      <c r="G465" s="459">
        <f>G466</f>
        <v>420</v>
      </c>
      <c r="H465" s="459">
        <f t="shared" si="41"/>
        <v>450</v>
      </c>
      <c r="I465" s="201"/>
    </row>
    <row r="466" spans="1:9" ht="17.45" customHeight="1" x14ac:dyDescent="0.25">
      <c r="A466" s="458" t="s">
        <v>248</v>
      </c>
      <c r="B466" s="452">
        <v>903</v>
      </c>
      <c r="C466" s="454" t="s">
        <v>244</v>
      </c>
      <c r="D466" s="454" t="s">
        <v>215</v>
      </c>
      <c r="E466" s="454" t="s">
        <v>1224</v>
      </c>
      <c r="F466" s="454" t="s">
        <v>249</v>
      </c>
      <c r="G466" s="459">
        <f>G467</f>
        <v>420</v>
      </c>
      <c r="H466" s="459">
        <f t="shared" si="41"/>
        <v>450</v>
      </c>
      <c r="I466" s="201"/>
    </row>
    <row r="467" spans="1:9" ht="31.5" x14ac:dyDescent="0.25">
      <c r="A467" s="458" t="s">
        <v>348</v>
      </c>
      <c r="B467" s="452">
        <v>903</v>
      </c>
      <c r="C467" s="454" t="s">
        <v>244</v>
      </c>
      <c r="D467" s="454" t="s">
        <v>215</v>
      </c>
      <c r="E467" s="454" t="s">
        <v>1224</v>
      </c>
      <c r="F467" s="454" t="s">
        <v>349</v>
      </c>
      <c r="G467" s="459">
        <v>420</v>
      </c>
      <c r="H467" s="459">
        <v>450</v>
      </c>
      <c r="I467" s="201"/>
    </row>
    <row r="468" spans="1:9" ht="15.75" x14ac:dyDescent="0.25">
      <c r="A468" s="456" t="s">
        <v>582</v>
      </c>
      <c r="B468" s="453">
        <v>903</v>
      </c>
      <c r="C468" s="457" t="s">
        <v>238</v>
      </c>
      <c r="D468" s="454"/>
      <c r="E468" s="454"/>
      <c r="F468" s="454"/>
      <c r="G468" s="455">
        <f>G469</f>
        <v>5873.2</v>
      </c>
      <c r="H468" s="455">
        <f>H469</f>
        <v>5876.2</v>
      </c>
      <c r="I468" s="201"/>
    </row>
    <row r="469" spans="1:9" ht="15.75" x14ac:dyDescent="0.25">
      <c r="A469" s="456" t="s">
        <v>583</v>
      </c>
      <c r="B469" s="453">
        <v>903</v>
      </c>
      <c r="C469" s="457" t="s">
        <v>238</v>
      </c>
      <c r="D469" s="457" t="s">
        <v>213</v>
      </c>
      <c r="E469" s="457"/>
      <c r="F469" s="457"/>
      <c r="G469" s="455">
        <f>G470+G483</f>
        <v>5873.2</v>
      </c>
      <c r="H469" s="455">
        <f>H470+H483</f>
        <v>5876.2</v>
      </c>
      <c r="I469" s="201"/>
    </row>
    <row r="470" spans="1:9" ht="31.5" x14ac:dyDescent="0.25">
      <c r="A470" s="456" t="s">
        <v>1354</v>
      </c>
      <c r="B470" s="453">
        <v>903</v>
      </c>
      <c r="C470" s="457" t="s">
        <v>238</v>
      </c>
      <c r="D470" s="457" t="s">
        <v>213</v>
      </c>
      <c r="E470" s="457" t="s">
        <v>267</v>
      </c>
      <c r="F470" s="457"/>
      <c r="G470" s="455">
        <f>G471+G479</f>
        <v>5798.3</v>
      </c>
      <c r="H470" s="455">
        <f>H471+H479</f>
        <v>5798.3</v>
      </c>
      <c r="I470" s="201"/>
    </row>
    <row r="471" spans="1:9" ht="31.5" x14ac:dyDescent="0.25">
      <c r="A471" s="456" t="s">
        <v>1301</v>
      </c>
      <c r="B471" s="453">
        <v>903</v>
      </c>
      <c r="C471" s="457" t="s">
        <v>238</v>
      </c>
      <c r="D471" s="457" t="s">
        <v>213</v>
      </c>
      <c r="E471" s="457" t="s">
        <v>1204</v>
      </c>
      <c r="F471" s="457"/>
      <c r="G471" s="455">
        <f>G472</f>
        <v>5522.3</v>
      </c>
      <c r="H471" s="455">
        <f>H472</f>
        <v>5522.3</v>
      </c>
      <c r="I471" s="201"/>
    </row>
    <row r="472" spans="1:9" ht="15.75" x14ac:dyDescent="0.25">
      <c r="A472" s="458" t="s">
        <v>801</v>
      </c>
      <c r="B472" s="452">
        <v>903</v>
      </c>
      <c r="C472" s="454" t="s">
        <v>238</v>
      </c>
      <c r="D472" s="454" t="s">
        <v>213</v>
      </c>
      <c r="E472" s="454" t="s">
        <v>1205</v>
      </c>
      <c r="F472" s="454"/>
      <c r="G472" s="459">
        <f>G473+G475+G477</f>
        <v>5522.3</v>
      </c>
      <c r="H472" s="459">
        <f>H473+H475+H477</f>
        <v>5522.3</v>
      </c>
      <c r="I472" s="201"/>
    </row>
    <row r="473" spans="1:9" ht="78.75" x14ac:dyDescent="0.25">
      <c r="A473" s="458" t="s">
        <v>127</v>
      </c>
      <c r="B473" s="452">
        <v>903</v>
      </c>
      <c r="C473" s="454" t="s">
        <v>238</v>
      </c>
      <c r="D473" s="454" t="s">
        <v>213</v>
      </c>
      <c r="E473" s="454" t="s">
        <v>1205</v>
      </c>
      <c r="F473" s="454" t="s">
        <v>128</v>
      </c>
      <c r="G473" s="459">
        <f>G474</f>
        <v>4897.2</v>
      </c>
      <c r="H473" s="459">
        <f>H474</f>
        <v>4897.2</v>
      </c>
      <c r="I473" s="201"/>
    </row>
    <row r="474" spans="1:9" ht="15.75" x14ac:dyDescent="0.25">
      <c r="A474" s="458" t="s">
        <v>208</v>
      </c>
      <c r="B474" s="452">
        <v>903</v>
      </c>
      <c r="C474" s="454" t="s">
        <v>238</v>
      </c>
      <c r="D474" s="454" t="s">
        <v>213</v>
      </c>
      <c r="E474" s="454" t="s">
        <v>1205</v>
      </c>
      <c r="F474" s="454" t="s">
        <v>209</v>
      </c>
      <c r="G474" s="27">
        <v>4897.2</v>
      </c>
      <c r="H474" s="27">
        <f>G474</f>
        <v>4897.2</v>
      </c>
      <c r="I474" s="201"/>
    </row>
    <row r="475" spans="1:9" ht="31.5" x14ac:dyDescent="0.25">
      <c r="A475" s="458" t="s">
        <v>131</v>
      </c>
      <c r="B475" s="452">
        <v>903</v>
      </c>
      <c r="C475" s="454" t="s">
        <v>238</v>
      </c>
      <c r="D475" s="454" t="s">
        <v>213</v>
      </c>
      <c r="E475" s="454" t="s">
        <v>1205</v>
      </c>
      <c r="F475" s="454" t="s">
        <v>132</v>
      </c>
      <c r="G475" s="459">
        <f>G476</f>
        <v>595.1</v>
      </c>
      <c r="H475" s="459">
        <f>H476</f>
        <v>595.1</v>
      </c>
      <c r="I475" s="201"/>
    </row>
    <row r="476" spans="1:9" ht="33.4" customHeight="1" x14ac:dyDescent="0.25">
      <c r="A476" s="458" t="s">
        <v>133</v>
      </c>
      <c r="B476" s="452">
        <v>903</v>
      </c>
      <c r="C476" s="454" t="s">
        <v>238</v>
      </c>
      <c r="D476" s="454" t="s">
        <v>213</v>
      </c>
      <c r="E476" s="454" t="s">
        <v>1205</v>
      </c>
      <c r="F476" s="454" t="s">
        <v>134</v>
      </c>
      <c r="G476" s="27">
        <v>595.1</v>
      </c>
      <c r="H476" s="27">
        <f>G476</f>
        <v>595.1</v>
      </c>
      <c r="I476" s="201"/>
    </row>
    <row r="477" spans="1:9" ht="15.75" x14ac:dyDescent="0.25">
      <c r="A477" s="458" t="s">
        <v>135</v>
      </c>
      <c r="B477" s="452">
        <v>903</v>
      </c>
      <c r="C477" s="454" t="s">
        <v>238</v>
      </c>
      <c r="D477" s="454" t="s">
        <v>213</v>
      </c>
      <c r="E477" s="454" t="s">
        <v>1205</v>
      </c>
      <c r="F477" s="454" t="s">
        <v>145</v>
      </c>
      <c r="G477" s="459">
        <f>G478</f>
        <v>30</v>
      </c>
      <c r="H477" s="459">
        <f>H478</f>
        <v>30</v>
      </c>
      <c r="I477" s="201"/>
    </row>
    <row r="478" spans="1:9" ht="15.75" x14ac:dyDescent="0.25">
      <c r="A478" s="458" t="s">
        <v>568</v>
      </c>
      <c r="B478" s="452">
        <v>903</v>
      </c>
      <c r="C478" s="454" t="s">
        <v>238</v>
      </c>
      <c r="D478" s="454" t="s">
        <v>213</v>
      </c>
      <c r="E478" s="454" t="s">
        <v>1205</v>
      </c>
      <c r="F478" s="454" t="s">
        <v>138</v>
      </c>
      <c r="G478" s="459">
        <v>30</v>
      </c>
      <c r="H478" s="459">
        <f>G478</f>
        <v>30</v>
      </c>
      <c r="I478" s="201"/>
    </row>
    <row r="479" spans="1:9" ht="31.5" x14ac:dyDescent="0.25">
      <c r="A479" s="456" t="s">
        <v>947</v>
      </c>
      <c r="B479" s="453">
        <v>903</v>
      </c>
      <c r="C479" s="457" t="s">
        <v>238</v>
      </c>
      <c r="D479" s="457" t="s">
        <v>213</v>
      </c>
      <c r="E479" s="457" t="s">
        <v>1209</v>
      </c>
      <c r="F479" s="457"/>
      <c r="G479" s="455">
        <f t="shared" ref="G479:H481" si="42">G480</f>
        <v>276</v>
      </c>
      <c r="H479" s="455">
        <f t="shared" si="42"/>
        <v>276</v>
      </c>
      <c r="I479" s="201"/>
    </row>
    <row r="480" spans="1:9" ht="47.25" x14ac:dyDescent="0.25">
      <c r="A480" s="458" t="s">
        <v>839</v>
      </c>
      <c r="B480" s="452">
        <v>903</v>
      </c>
      <c r="C480" s="454" t="s">
        <v>238</v>
      </c>
      <c r="D480" s="454" t="s">
        <v>213</v>
      </c>
      <c r="E480" s="454" t="s">
        <v>1210</v>
      </c>
      <c r="F480" s="454"/>
      <c r="G480" s="459">
        <f t="shared" si="42"/>
        <v>276</v>
      </c>
      <c r="H480" s="459">
        <f t="shared" si="42"/>
        <v>276</v>
      </c>
      <c r="I480" s="201"/>
    </row>
    <row r="481" spans="1:9" ht="78.75" x14ac:dyDescent="0.25">
      <c r="A481" s="458" t="s">
        <v>127</v>
      </c>
      <c r="B481" s="452">
        <v>903</v>
      </c>
      <c r="C481" s="454" t="s">
        <v>238</v>
      </c>
      <c r="D481" s="454" t="s">
        <v>213</v>
      </c>
      <c r="E481" s="454" t="s">
        <v>1210</v>
      </c>
      <c r="F481" s="454" t="s">
        <v>128</v>
      </c>
      <c r="G481" s="459">
        <f t="shared" si="42"/>
        <v>276</v>
      </c>
      <c r="H481" s="459">
        <f t="shared" si="42"/>
        <v>276</v>
      </c>
      <c r="I481" s="201"/>
    </row>
    <row r="482" spans="1:9" ht="15.75" x14ac:dyDescent="0.25">
      <c r="A482" s="458" t="s">
        <v>208</v>
      </c>
      <c r="B482" s="452">
        <v>903</v>
      </c>
      <c r="C482" s="454" t="s">
        <v>238</v>
      </c>
      <c r="D482" s="454" t="s">
        <v>213</v>
      </c>
      <c r="E482" s="454" t="s">
        <v>1210</v>
      </c>
      <c r="F482" s="454" t="s">
        <v>209</v>
      </c>
      <c r="G482" s="459">
        <v>276</v>
      </c>
      <c r="H482" s="459">
        <f>G482</f>
        <v>276</v>
      </c>
      <c r="I482" s="201"/>
    </row>
    <row r="483" spans="1:9" ht="47.25" x14ac:dyDescent="0.25">
      <c r="A483" s="462" t="s">
        <v>1355</v>
      </c>
      <c r="B483" s="453">
        <v>903</v>
      </c>
      <c r="C483" s="457" t="s">
        <v>238</v>
      </c>
      <c r="D483" s="457" t="s">
        <v>213</v>
      </c>
      <c r="E483" s="457" t="s">
        <v>705</v>
      </c>
      <c r="F483" s="465"/>
      <c r="G483" s="455">
        <f>G485</f>
        <v>74.900000000000006</v>
      </c>
      <c r="H483" s="455">
        <f>H485</f>
        <v>77.900000000000006</v>
      </c>
      <c r="I483" s="201"/>
    </row>
    <row r="484" spans="1:9" ht="47.25" x14ac:dyDescent="0.25">
      <c r="A484" s="462" t="s">
        <v>890</v>
      </c>
      <c r="B484" s="453">
        <v>903</v>
      </c>
      <c r="C484" s="457" t="s">
        <v>238</v>
      </c>
      <c r="D484" s="457" t="s">
        <v>213</v>
      </c>
      <c r="E484" s="457" t="s">
        <v>888</v>
      </c>
      <c r="F484" s="465"/>
      <c r="G484" s="455">
        <f t="shared" ref="G484:H486" si="43">G485</f>
        <v>74.900000000000006</v>
      </c>
      <c r="H484" s="455">
        <f t="shared" si="43"/>
        <v>77.900000000000006</v>
      </c>
      <c r="I484" s="201"/>
    </row>
    <row r="485" spans="1:9" ht="29.25" customHeight="1" x14ac:dyDescent="0.25">
      <c r="A485" s="98" t="s">
        <v>1004</v>
      </c>
      <c r="B485" s="452">
        <v>903</v>
      </c>
      <c r="C485" s="454" t="s">
        <v>238</v>
      </c>
      <c r="D485" s="454" t="s">
        <v>213</v>
      </c>
      <c r="E485" s="454" t="s">
        <v>889</v>
      </c>
      <c r="F485" s="460"/>
      <c r="G485" s="459">
        <f t="shared" si="43"/>
        <v>74.900000000000006</v>
      </c>
      <c r="H485" s="459">
        <f t="shared" si="43"/>
        <v>77.900000000000006</v>
      </c>
      <c r="I485" s="201"/>
    </row>
    <row r="486" spans="1:9" ht="31.5" x14ac:dyDescent="0.25">
      <c r="A486" s="458" t="s">
        <v>131</v>
      </c>
      <c r="B486" s="452">
        <v>903</v>
      </c>
      <c r="C486" s="454" t="s">
        <v>238</v>
      </c>
      <c r="D486" s="454" t="s">
        <v>213</v>
      </c>
      <c r="E486" s="454" t="s">
        <v>889</v>
      </c>
      <c r="F486" s="460" t="s">
        <v>132</v>
      </c>
      <c r="G486" s="459">
        <f t="shared" si="43"/>
        <v>74.900000000000006</v>
      </c>
      <c r="H486" s="459">
        <f t="shared" si="43"/>
        <v>77.900000000000006</v>
      </c>
      <c r="I486" s="201"/>
    </row>
    <row r="487" spans="1:9" ht="30.6" customHeight="1" x14ac:dyDescent="0.25">
      <c r="A487" s="458" t="s">
        <v>133</v>
      </c>
      <c r="B487" s="452">
        <v>903</v>
      </c>
      <c r="C487" s="454" t="s">
        <v>238</v>
      </c>
      <c r="D487" s="454" t="s">
        <v>213</v>
      </c>
      <c r="E487" s="454" t="s">
        <v>889</v>
      </c>
      <c r="F487" s="460" t="s">
        <v>134</v>
      </c>
      <c r="G487" s="459">
        <v>74.900000000000006</v>
      </c>
      <c r="H487" s="459">
        <v>77.900000000000006</v>
      </c>
      <c r="I487" s="201"/>
    </row>
    <row r="488" spans="1:9" ht="47.25" x14ac:dyDescent="0.25">
      <c r="A488" s="453" t="s">
        <v>387</v>
      </c>
      <c r="B488" s="453">
        <v>905</v>
      </c>
      <c r="C488" s="454"/>
      <c r="D488" s="454"/>
      <c r="E488" s="454"/>
      <c r="F488" s="454"/>
      <c r="G488" s="455">
        <f>G489+G521+G531</f>
        <v>20108.5</v>
      </c>
      <c r="H488" s="455">
        <f>H489+H521+H531</f>
        <v>28442.600000000002</v>
      </c>
      <c r="I488" s="201"/>
    </row>
    <row r="489" spans="1:9" ht="15.75" x14ac:dyDescent="0.25">
      <c r="A489" s="456" t="s">
        <v>117</v>
      </c>
      <c r="B489" s="453">
        <v>905</v>
      </c>
      <c r="C489" s="457" t="s">
        <v>118</v>
      </c>
      <c r="D489" s="454"/>
      <c r="E489" s="454"/>
      <c r="F489" s="454"/>
      <c r="G489" s="455">
        <f>G490+G507</f>
        <v>17369</v>
      </c>
      <c r="H489" s="455">
        <f>H490+H507</f>
        <v>17369</v>
      </c>
      <c r="I489" s="201"/>
    </row>
    <row r="490" spans="1:9" ht="63" x14ac:dyDescent="0.25">
      <c r="A490" s="456" t="s">
        <v>149</v>
      </c>
      <c r="B490" s="453">
        <v>905</v>
      </c>
      <c r="C490" s="457" t="s">
        <v>118</v>
      </c>
      <c r="D490" s="457" t="s">
        <v>150</v>
      </c>
      <c r="E490" s="457"/>
      <c r="F490" s="457"/>
      <c r="G490" s="455">
        <f>G491</f>
        <v>12166.9</v>
      </c>
      <c r="H490" s="455">
        <f>H491</f>
        <v>12166.9</v>
      </c>
      <c r="I490" s="201"/>
    </row>
    <row r="491" spans="1:9" ht="31.5" x14ac:dyDescent="0.25">
      <c r="A491" s="456" t="s">
        <v>917</v>
      </c>
      <c r="B491" s="453">
        <v>905</v>
      </c>
      <c r="C491" s="457" t="s">
        <v>118</v>
      </c>
      <c r="D491" s="457" t="s">
        <v>150</v>
      </c>
      <c r="E491" s="457" t="s">
        <v>858</v>
      </c>
      <c r="F491" s="457"/>
      <c r="G491" s="455">
        <f>G492+G503</f>
        <v>12166.9</v>
      </c>
      <c r="H491" s="455">
        <f>H492+H503</f>
        <v>12166.9</v>
      </c>
      <c r="I491" s="201"/>
    </row>
    <row r="492" spans="1:9" ht="15.75" x14ac:dyDescent="0.25">
      <c r="A492" s="456" t="s">
        <v>918</v>
      </c>
      <c r="B492" s="453">
        <v>905</v>
      </c>
      <c r="C492" s="457" t="s">
        <v>118</v>
      </c>
      <c r="D492" s="457" t="s">
        <v>150</v>
      </c>
      <c r="E492" s="457" t="s">
        <v>859</v>
      </c>
      <c r="F492" s="457"/>
      <c r="G492" s="455">
        <f>G493+G500</f>
        <v>12144.6</v>
      </c>
      <c r="H492" s="455">
        <f>H493+H500</f>
        <v>12144.6</v>
      </c>
      <c r="I492" s="201"/>
    </row>
    <row r="493" spans="1:9" ht="31.5" x14ac:dyDescent="0.25">
      <c r="A493" s="458" t="s">
        <v>897</v>
      </c>
      <c r="B493" s="452">
        <v>905</v>
      </c>
      <c r="C493" s="454" t="s">
        <v>118</v>
      </c>
      <c r="D493" s="454" t="s">
        <v>150</v>
      </c>
      <c r="E493" s="454" t="s">
        <v>860</v>
      </c>
      <c r="F493" s="454"/>
      <c r="G493" s="459">
        <f>G494+G496+G498</f>
        <v>11682.6</v>
      </c>
      <c r="H493" s="459">
        <f>H494+H496+H498</f>
        <v>11682.6</v>
      </c>
      <c r="I493" s="201"/>
    </row>
    <row r="494" spans="1:9" ht="78.75" x14ac:dyDescent="0.25">
      <c r="A494" s="458" t="s">
        <v>127</v>
      </c>
      <c r="B494" s="452">
        <v>905</v>
      </c>
      <c r="C494" s="454" t="s">
        <v>118</v>
      </c>
      <c r="D494" s="454" t="s">
        <v>150</v>
      </c>
      <c r="E494" s="454" t="s">
        <v>860</v>
      </c>
      <c r="F494" s="454" t="s">
        <v>128</v>
      </c>
      <c r="G494" s="459">
        <f>G495</f>
        <v>11111.6</v>
      </c>
      <c r="H494" s="459">
        <f>H495</f>
        <v>11111.6</v>
      </c>
      <c r="I494" s="201"/>
    </row>
    <row r="495" spans="1:9" ht="31.5" x14ac:dyDescent="0.25">
      <c r="A495" s="458" t="s">
        <v>129</v>
      </c>
      <c r="B495" s="452">
        <v>905</v>
      </c>
      <c r="C495" s="454" t="s">
        <v>118</v>
      </c>
      <c r="D495" s="454" t="s">
        <v>150</v>
      </c>
      <c r="E495" s="454" t="s">
        <v>860</v>
      </c>
      <c r="F495" s="454" t="s">
        <v>130</v>
      </c>
      <c r="G495" s="459">
        <v>11111.6</v>
      </c>
      <c r="H495" s="459">
        <f t="shared" si="37"/>
        <v>11111.6</v>
      </c>
      <c r="I495" s="201"/>
    </row>
    <row r="496" spans="1:9" ht="31.5" x14ac:dyDescent="0.25">
      <c r="A496" s="458" t="s">
        <v>131</v>
      </c>
      <c r="B496" s="452">
        <v>905</v>
      </c>
      <c r="C496" s="454" t="s">
        <v>118</v>
      </c>
      <c r="D496" s="454" t="s">
        <v>150</v>
      </c>
      <c r="E496" s="454" t="s">
        <v>860</v>
      </c>
      <c r="F496" s="454" t="s">
        <v>132</v>
      </c>
      <c r="G496" s="459">
        <f>G497</f>
        <v>440</v>
      </c>
      <c r="H496" s="459">
        <f>H497</f>
        <v>440</v>
      </c>
      <c r="I496" s="201"/>
    </row>
    <row r="497" spans="1:9" ht="31.5" x14ac:dyDescent="0.25">
      <c r="A497" s="458" t="s">
        <v>133</v>
      </c>
      <c r="B497" s="452">
        <v>905</v>
      </c>
      <c r="C497" s="454" t="s">
        <v>118</v>
      </c>
      <c r="D497" s="454" t="s">
        <v>150</v>
      </c>
      <c r="E497" s="454" t="s">
        <v>860</v>
      </c>
      <c r="F497" s="454" t="s">
        <v>134</v>
      </c>
      <c r="G497" s="459">
        <f>440</f>
        <v>440</v>
      </c>
      <c r="H497" s="459">
        <f t="shared" si="37"/>
        <v>440</v>
      </c>
      <c r="I497" s="201"/>
    </row>
    <row r="498" spans="1:9" ht="15.75" x14ac:dyDescent="0.25">
      <c r="A498" s="458" t="s">
        <v>135</v>
      </c>
      <c r="B498" s="452">
        <v>905</v>
      </c>
      <c r="C498" s="454" t="s">
        <v>118</v>
      </c>
      <c r="D498" s="454" t="s">
        <v>150</v>
      </c>
      <c r="E498" s="454" t="s">
        <v>860</v>
      </c>
      <c r="F498" s="454" t="s">
        <v>145</v>
      </c>
      <c r="G498" s="459">
        <f>G499</f>
        <v>131</v>
      </c>
      <c r="H498" s="459">
        <f>H499</f>
        <v>131</v>
      </c>
      <c r="I498" s="201"/>
    </row>
    <row r="499" spans="1:9" ht="15.75" x14ac:dyDescent="0.25">
      <c r="A499" s="458" t="s">
        <v>568</v>
      </c>
      <c r="B499" s="452">
        <v>905</v>
      </c>
      <c r="C499" s="454" t="s">
        <v>118</v>
      </c>
      <c r="D499" s="454" t="s">
        <v>150</v>
      </c>
      <c r="E499" s="454" t="s">
        <v>860</v>
      </c>
      <c r="F499" s="454" t="s">
        <v>138</v>
      </c>
      <c r="G499" s="459">
        <f>131</f>
        <v>131</v>
      </c>
      <c r="H499" s="459">
        <f t="shared" si="37"/>
        <v>131</v>
      </c>
      <c r="I499" s="201"/>
    </row>
    <row r="500" spans="1:9" ht="47.25" x14ac:dyDescent="0.25">
      <c r="A500" s="458" t="s">
        <v>839</v>
      </c>
      <c r="B500" s="452">
        <v>905</v>
      </c>
      <c r="C500" s="454" t="s">
        <v>118</v>
      </c>
      <c r="D500" s="454" t="s">
        <v>150</v>
      </c>
      <c r="E500" s="454" t="s">
        <v>862</v>
      </c>
      <c r="F500" s="454"/>
      <c r="G500" s="459">
        <f>G501</f>
        <v>462</v>
      </c>
      <c r="H500" s="459">
        <f>H501</f>
        <v>462</v>
      </c>
      <c r="I500" s="201"/>
    </row>
    <row r="501" spans="1:9" ht="78.75" x14ac:dyDescent="0.25">
      <c r="A501" s="458" t="s">
        <v>127</v>
      </c>
      <c r="B501" s="452">
        <v>905</v>
      </c>
      <c r="C501" s="454" t="s">
        <v>118</v>
      </c>
      <c r="D501" s="454" t="s">
        <v>150</v>
      </c>
      <c r="E501" s="454" t="s">
        <v>862</v>
      </c>
      <c r="F501" s="454" t="s">
        <v>128</v>
      </c>
      <c r="G501" s="459">
        <f>G502</f>
        <v>462</v>
      </c>
      <c r="H501" s="459">
        <f>H502</f>
        <v>462</v>
      </c>
      <c r="I501" s="201"/>
    </row>
    <row r="502" spans="1:9" ht="31.5" x14ac:dyDescent="0.25">
      <c r="A502" s="458" t="s">
        <v>129</v>
      </c>
      <c r="B502" s="452">
        <v>905</v>
      </c>
      <c r="C502" s="454" t="s">
        <v>118</v>
      </c>
      <c r="D502" s="454" t="s">
        <v>150</v>
      </c>
      <c r="E502" s="454" t="s">
        <v>862</v>
      </c>
      <c r="F502" s="454" t="s">
        <v>130</v>
      </c>
      <c r="G502" s="459">
        <v>462</v>
      </c>
      <c r="H502" s="459">
        <f t="shared" ref="H502:H569" si="44">G502</f>
        <v>462</v>
      </c>
      <c r="I502" s="201"/>
    </row>
    <row r="503" spans="1:9" ht="31.5" x14ac:dyDescent="0.25">
      <c r="A503" s="456" t="s">
        <v>885</v>
      </c>
      <c r="B503" s="453">
        <v>905</v>
      </c>
      <c r="C503" s="457" t="s">
        <v>118</v>
      </c>
      <c r="D503" s="457" t="s">
        <v>150</v>
      </c>
      <c r="E503" s="457" t="s">
        <v>863</v>
      </c>
      <c r="F503" s="457"/>
      <c r="G503" s="455">
        <f t="shared" ref="G503:H505" si="45">G504</f>
        <v>22.3</v>
      </c>
      <c r="H503" s="455">
        <f t="shared" si="45"/>
        <v>22.3</v>
      </c>
      <c r="I503" s="201"/>
    </row>
    <row r="504" spans="1:9" ht="94.5" x14ac:dyDescent="0.25">
      <c r="A504" s="31" t="s">
        <v>1170</v>
      </c>
      <c r="B504" s="452">
        <v>905</v>
      </c>
      <c r="C504" s="454" t="s">
        <v>118</v>
      </c>
      <c r="D504" s="454" t="s">
        <v>150</v>
      </c>
      <c r="E504" s="454" t="s">
        <v>1169</v>
      </c>
      <c r="F504" s="454"/>
      <c r="G504" s="459">
        <f t="shared" si="45"/>
        <v>22.3</v>
      </c>
      <c r="H504" s="459">
        <f t="shared" si="45"/>
        <v>22.3</v>
      </c>
      <c r="I504" s="201"/>
    </row>
    <row r="505" spans="1:9" ht="78.75" x14ac:dyDescent="0.25">
      <c r="A505" s="458" t="s">
        <v>127</v>
      </c>
      <c r="B505" s="452">
        <v>905</v>
      </c>
      <c r="C505" s="454" t="s">
        <v>118</v>
      </c>
      <c r="D505" s="454" t="s">
        <v>150</v>
      </c>
      <c r="E505" s="454" t="s">
        <v>1169</v>
      </c>
      <c r="F505" s="454" t="s">
        <v>128</v>
      </c>
      <c r="G505" s="459">
        <f>G506</f>
        <v>22.3</v>
      </c>
      <c r="H505" s="459">
        <f t="shared" si="45"/>
        <v>22.3</v>
      </c>
      <c r="I505" s="201"/>
    </row>
    <row r="506" spans="1:9" ht="31.5" x14ac:dyDescent="0.25">
      <c r="A506" s="458" t="s">
        <v>129</v>
      </c>
      <c r="B506" s="452">
        <v>905</v>
      </c>
      <c r="C506" s="454" t="s">
        <v>118</v>
      </c>
      <c r="D506" s="454" t="s">
        <v>150</v>
      </c>
      <c r="E506" s="454" t="s">
        <v>1169</v>
      </c>
      <c r="F506" s="454" t="s">
        <v>130</v>
      </c>
      <c r="G506" s="459">
        <v>22.3</v>
      </c>
      <c r="H506" s="459">
        <v>22.3</v>
      </c>
      <c r="I506" s="201"/>
    </row>
    <row r="507" spans="1:9" ht="15.75" x14ac:dyDescent="0.25">
      <c r="A507" s="456" t="s">
        <v>139</v>
      </c>
      <c r="B507" s="453">
        <v>905</v>
      </c>
      <c r="C507" s="457" t="s">
        <v>118</v>
      </c>
      <c r="D507" s="457" t="s">
        <v>140</v>
      </c>
      <c r="E507" s="457"/>
      <c r="F507" s="457"/>
      <c r="G507" s="455">
        <f>G508+G516</f>
        <v>5202.1000000000004</v>
      </c>
      <c r="H507" s="455">
        <f>H508+H516</f>
        <v>5202.1000000000004</v>
      </c>
      <c r="I507" s="201"/>
    </row>
    <row r="508" spans="1:9" ht="15.75" x14ac:dyDescent="0.25">
      <c r="A508" s="456" t="s">
        <v>141</v>
      </c>
      <c r="B508" s="453">
        <v>905</v>
      </c>
      <c r="C508" s="457" t="s">
        <v>118</v>
      </c>
      <c r="D508" s="457" t="s">
        <v>140</v>
      </c>
      <c r="E508" s="457" t="s">
        <v>866</v>
      </c>
      <c r="F508" s="457"/>
      <c r="G508" s="455">
        <f>G509</f>
        <v>5202.1000000000004</v>
      </c>
      <c r="H508" s="455">
        <f>H509</f>
        <v>5202.1000000000004</v>
      </c>
      <c r="I508" s="201"/>
    </row>
    <row r="509" spans="1:9" ht="31.5" x14ac:dyDescent="0.25">
      <c r="A509" s="456" t="s">
        <v>870</v>
      </c>
      <c r="B509" s="453">
        <v>905</v>
      </c>
      <c r="C509" s="457" t="s">
        <v>118</v>
      </c>
      <c r="D509" s="457" t="s">
        <v>140</v>
      </c>
      <c r="E509" s="457" t="s">
        <v>865</v>
      </c>
      <c r="F509" s="457"/>
      <c r="G509" s="455">
        <f>G510+G513</f>
        <v>5202.1000000000004</v>
      </c>
      <c r="H509" s="455">
        <f>H510+H513</f>
        <v>5202.1000000000004</v>
      </c>
      <c r="I509" s="201"/>
    </row>
    <row r="510" spans="1:9" ht="47.25" x14ac:dyDescent="0.25">
      <c r="A510" s="458" t="s">
        <v>388</v>
      </c>
      <c r="B510" s="452">
        <v>905</v>
      </c>
      <c r="C510" s="454" t="s">
        <v>118</v>
      </c>
      <c r="D510" s="454" t="s">
        <v>140</v>
      </c>
      <c r="E510" s="454" t="s">
        <v>1011</v>
      </c>
      <c r="F510" s="454"/>
      <c r="G510" s="459">
        <f>G511</f>
        <v>5202.1000000000004</v>
      </c>
      <c r="H510" s="459">
        <f>H511</f>
        <v>5202.1000000000004</v>
      </c>
      <c r="I510" s="201"/>
    </row>
    <row r="511" spans="1:9" ht="31.5" x14ac:dyDescent="0.25">
      <c r="A511" s="458" t="s">
        <v>131</v>
      </c>
      <c r="B511" s="452">
        <v>905</v>
      </c>
      <c r="C511" s="454" t="s">
        <v>118</v>
      </c>
      <c r="D511" s="454" t="s">
        <v>140</v>
      </c>
      <c r="E511" s="454" t="s">
        <v>1011</v>
      </c>
      <c r="F511" s="454" t="s">
        <v>132</v>
      </c>
      <c r="G511" s="459">
        <f>G512</f>
        <v>5202.1000000000004</v>
      </c>
      <c r="H511" s="459">
        <f>H512</f>
        <v>5202.1000000000004</v>
      </c>
      <c r="I511" s="201"/>
    </row>
    <row r="512" spans="1:9" ht="35.450000000000003" customHeight="1" x14ac:dyDescent="0.25">
      <c r="A512" s="458" t="s">
        <v>133</v>
      </c>
      <c r="B512" s="452">
        <v>905</v>
      </c>
      <c r="C512" s="454" t="s">
        <v>118</v>
      </c>
      <c r="D512" s="454" t="s">
        <v>140</v>
      </c>
      <c r="E512" s="454" t="s">
        <v>1011</v>
      </c>
      <c r="F512" s="454" t="s">
        <v>134</v>
      </c>
      <c r="G512" s="459">
        <v>5202.1000000000004</v>
      </c>
      <c r="H512" s="459">
        <f t="shared" si="44"/>
        <v>5202.1000000000004</v>
      </c>
      <c r="I512" s="201"/>
    </row>
    <row r="513" spans="1:9" ht="31.5" hidden="1" x14ac:dyDescent="0.25">
      <c r="A513" s="458" t="s">
        <v>931</v>
      </c>
      <c r="B513" s="452">
        <v>905</v>
      </c>
      <c r="C513" s="454" t="s">
        <v>118</v>
      </c>
      <c r="D513" s="454" t="s">
        <v>140</v>
      </c>
      <c r="E513" s="454" t="s">
        <v>1012</v>
      </c>
      <c r="F513" s="454"/>
      <c r="G513" s="459">
        <f>'[1]Пр.5 ведом.21'!G504</f>
        <v>0</v>
      </c>
      <c r="H513" s="459">
        <f t="shared" si="44"/>
        <v>0</v>
      </c>
      <c r="I513" s="201"/>
    </row>
    <row r="514" spans="1:9" ht="31.5" hidden="1" x14ac:dyDescent="0.25">
      <c r="A514" s="458" t="s">
        <v>131</v>
      </c>
      <c r="B514" s="452">
        <v>905</v>
      </c>
      <c r="C514" s="454" t="s">
        <v>118</v>
      </c>
      <c r="D514" s="454" t="s">
        <v>140</v>
      </c>
      <c r="E514" s="454" t="s">
        <v>1012</v>
      </c>
      <c r="F514" s="454" t="s">
        <v>132</v>
      </c>
      <c r="G514" s="459">
        <f>'[1]Пр.5 ведом.21'!G505</f>
        <v>0</v>
      </c>
      <c r="H514" s="459">
        <f t="shared" si="44"/>
        <v>0</v>
      </c>
      <c r="I514" s="201"/>
    </row>
    <row r="515" spans="1:9" ht="31.5" hidden="1" x14ac:dyDescent="0.25">
      <c r="A515" s="458" t="s">
        <v>133</v>
      </c>
      <c r="B515" s="452">
        <v>905</v>
      </c>
      <c r="C515" s="454" t="s">
        <v>118</v>
      </c>
      <c r="D515" s="454" t="s">
        <v>140</v>
      </c>
      <c r="E515" s="454" t="s">
        <v>1012</v>
      </c>
      <c r="F515" s="454" t="s">
        <v>134</v>
      </c>
      <c r="G515" s="459">
        <f>'[1]Пр.5 ведом.21'!G506</f>
        <v>0</v>
      </c>
      <c r="H515" s="459">
        <f t="shared" si="44"/>
        <v>0</v>
      </c>
      <c r="I515" s="201"/>
    </row>
    <row r="516" spans="1:9" ht="63" hidden="1" x14ac:dyDescent="0.25">
      <c r="A516" s="456" t="s">
        <v>1178</v>
      </c>
      <c r="B516" s="453">
        <v>905</v>
      </c>
      <c r="C516" s="457" t="s">
        <v>118</v>
      </c>
      <c r="D516" s="457" t="s">
        <v>140</v>
      </c>
      <c r="E516" s="457" t="s">
        <v>782</v>
      </c>
      <c r="F516" s="457"/>
      <c r="G516" s="455">
        <f t="shared" ref="G516:H519" si="46">G517</f>
        <v>0</v>
      </c>
      <c r="H516" s="455">
        <f t="shared" si="46"/>
        <v>0</v>
      </c>
      <c r="I516" s="201"/>
    </row>
    <row r="517" spans="1:9" ht="31.5" hidden="1" x14ac:dyDescent="0.25">
      <c r="A517" s="456" t="s">
        <v>930</v>
      </c>
      <c r="B517" s="453">
        <v>905</v>
      </c>
      <c r="C517" s="457" t="s">
        <v>118</v>
      </c>
      <c r="D517" s="457" t="s">
        <v>140</v>
      </c>
      <c r="E517" s="457" t="s">
        <v>1020</v>
      </c>
      <c r="F517" s="457"/>
      <c r="G517" s="455">
        <f t="shared" si="46"/>
        <v>0</v>
      </c>
      <c r="H517" s="455">
        <f t="shared" si="46"/>
        <v>0</v>
      </c>
      <c r="I517" s="201"/>
    </row>
    <row r="518" spans="1:9" ht="31.5" hidden="1" x14ac:dyDescent="0.25">
      <c r="A518" s="458" t="s">
        <v>790</v>
      </c>
      <c r="B518" s="452">
        <v>905</v>
      </c>
      <c r="C518" s="454" t="s">
        <v>118</v>
      </c>
      <c r="D518" s="454" t="s">
        <v>140</v>
      </c>
      <c r="E518" s="454" t="s">
        <v>1021</v>
      </c>
      <c r="F518" s="454"/>
      <c r="G518" s="459">
        <f t="shared" si="46"/>
        <v>0</v>
      </c>
      <c r="H518" s="459">
        <f t="shared" si="46"/>
        <v>0</v>
      </c>
      <c r="I518" s="201"/>
    </row>
    <row r="519" spans="1:9" ht="31.5" hidden="1" x14ac:dyDescent="0.25">
      <c r="A519" s="458" t="s">
        <v>131</v>
      </c>
      <c r="B519" s="452">
        <v>905</v>
      </c>
      <c r="C519" s="454" t="s">
        <v>118</v>
      </c>
      <c r="D519" s="454" t="s">
        <v>140</v>
      </c>
      <c r="E519" s="454" t="s">
        <v>1021</v>
      </c>
      <c r="F519" s="454" t="s">
        <v>132</v>
      </c>
      <c r="G519" s="459">
        <f t="shared" si="46"/>
        <v>0</v>
      </c>
      <c r="H519" s="459">
        <f t="shared" si="46"/>
        <v>0</v>
      </c>
      <c r="I519" s="201"/>
    </row>
    <row r="520" spans="1:9" ht="31.5" hidden="1" x14ac:dyDescent="0.25">
      <c r="A520" s="458" t="s">
        <v>133</v>
      </c>
      <c r="B520" s="452">
        <v>905</v>
      </c>
      <c r="C520" s="454" t="s">
        <v>118</v>
      </c>
      <c r="D520" s="454" t="s">
        <v>140</v>
      </c>
      <c r="E520" s="454" t="s">
        <v>1021</v>
      </c>
      <c r="F520" s="454" t="s">
        <v>134</v>
      </c>
      <c r="G520" s="459">
        <v>0</v>
      </c>
      <c r="H520" s="459">
        <v>0</v>
      </c>
      <c r="I520" s="201"/>
    </row>
    <row r="521" spans="1:9" ht="15.75" x14ac:dyDescent="0.25">
      <c r="A521" s="462" t="s">
        <v>390</v>
      </c>
      <c r="B521" s="453">
        <v>905</v>
      </c>
      <c r="C521" s="457" t="s">
        <v>234</v>
      </c>
      <c r="D521" s="457"/>
      <c r="E521" s="457"/>
      <c r="F521" s="457"/>
      <c r="G521" s="455">
        <f t="shared" ref="G521:H523" si="47">G522</f>
        <v>270.39999999999998</v>
      </c>
      <c r="H521" s="455">
        <f t="shared" si="47"/>
        <v>270.39999999999998</v>
      </c>
      <c r="I521" s="201"/>
    </row>
    <row r="522" spans="1:9" ht="15.75" x14ac:dyDescent="0.25">
      <c r="A522" s="462" t="s">
        <v>391</v>
      </c>
      <c r="B522" s="453">
        <v>905</v>
      </c>
      <c r="C522" s="457" t="s">
        <v>234</v>
      </c>
      <c r="D522" s="457" t="s">
        <v>118</v>
      </c>
      <c r="E522" s="457"/>
      <c r="F522" s="457"/>
      <c r="G522" s="455">
        <f t="shared" si="47"/>
        <v>270.39999999999998</v>
      </c>
      <c r="H522" s="455">
        <f t="shared" si="47"/>
        <v>270.39999999999998</v>
      </c>
      <c r="I522" s="201"/>
    </row>
    <row r="523" spans="1:9" ht="15.75" x14ac:dyDescent="0.25">
      <c r="A523" s="456" t="s">
        <v>141</v>
      </c>
      <c r="B523" s="453">
        <v>905</v>
      </c>
      <c r="C523" s="457" t="s">
        <v>234</v>
      </c>
      <c r="D523" s="457" t="s">
        <v>118</v>
      </c>
      <c r="E523" s="457" t="s">
        <v>866</v>
      </c>
      <c r="F523" s="457"/>
      <c r="G523" s="455">
        <f t="shared" si="47"/>
        <v>270.39999999999998</v>
      </c>
      <c r="H523" s="455">
        <f t="shared" si="47"/>
        <v>270.39999999999998</v>
      </c>
      <c r="I523" s="201"/>
    </row>
    <row r="524" spans="1:9" ht="31.5" x14ac:dyDescent="0.25">
      <c r="A524" s="456" t="s">
        <v>870</v>
      </c>
      <c r="B524" s="453">
        <v>905</v>
      </c>
      <c r="C524" s="457" t="s">
        <v>234</v>
      </c>
      <c r="D524" s="457" t="s">
        <v>118</v>
      </c>
      <c r="E524" s="457" t="s">
        <v>865</v>
      </c>
      <c r="F524" s="457"/>
      <c r="G524" s="455">
        <f>G525+G528</f>
        <v>270.39999999999998</v>
      </c>
      <c r="H524" s="455">
        <f>H525+H528</f>
        <v>270.39999999999998</v>
      </c>
      <c r="I524" s="201"/>
    </row>
    <row r="525" spans="1:9" ht="31.5" x14ac:dyDescent="0.25">
      <c r="A525" s="29" t="s">
        <v>398</v>
      </c>
      <c r="B525" s="452">
        <v>905</v>
      </c>
      <c r="C525" s="454" t="s">
        <v>234</v>
      </c>
      <c r="D525" s="454" t="s">
        <v>118</v>
      </c>
      <c r="E525" s="454" t="s">
        <v>961</v>
      </c>
      <c r="F525" s="454"/>
      <c r="G525" s="459">
        <f>G526</f>
        <v>270.39999999999998</v>
      </c>
      <c r="H525" s="459">
        <f>H526</f>
        <v>270.39999999999998</v>
      </c>
      <c r="I525" s="201"/>
    </row>
    <row r="526" spans="1:9" ht="31.5" x14ac:dyDescent="0.25">
      <c r="A526" s="458" t="s">
        <v>131</v>
      </c>
      <c r="B526" s="452">
        <v>905</v>
      </c>
      <c r="C526" s="454" t="s">
        <v>234</v>
      </c>
      <c r="D526" s="454" t="s">
        <v>118</v>
      </c>
      <c r="E526" s="454" t="s">
        <v>961</v>
      </c>
      <c r="F526" s="454" t="s">
        <v>132</v>
      </c>
      <c r="G526" s="459">
        <f>G527</f>
        <v>270.39999999999998</v>
      </c>
      <c r="H526" s="459">
        <f>H527</f>
        <v>270.39999999999998</v>
      </c>
      <c r="I526" s="201"/>
    </row>
    <row r="527" spans="1:9" ht="31.5" x14ac:dyDescent="0.25">
      <c r="A527" s="458" t="s">
        <v>133</v>
      </c>
      <c r="B527" s="452">
        <v>905</v>
      </c>
      <c r="C527" s="454" t="s">
        <v>234</v>
      </c>
      <c r="D527" s="454" t="s">
        <v>118</v>
      </c>
      <c r="E527" s="454" t="s">
        <v>961</v>
      </c>
      <c r="F527" s="454" t="s">
        <v>134</v>
      </c>
      <c r="G527" s="459">
        <f>270.4</f>
        <v>270.39999999999998</v>
      </c>
      <c r="H527" s="459">
        <f t="shared" si="44"/>
        <v>270.39999999999998</v>
      </c>
      <c r="I527" s="201"/>
    </row>
    <row r="528" spans="1:9" ht="31.5" hidden="1" x14ac:dyDescent="0.25">
      <c r="A528" s="29" t="s">
        <v>932</v>
      </c>
      <c r="B528" s="452">
        <v>905</v>
      </c>
      <c r="C528" s="454" t="s">
        <v>234</v>
      </c>
      <c r="D528" s="454" t="s">
        <v>118</v>
      </c>
      <c r="E528" s="454" t="s">
        <v>962</v>
      </c>
      <c r="F528" s="454"/>
      <c r="G528" s="459">
        <f>G529</f>
        <v>0</v>
      </c>
      <c r="H528" s="459">
        <f>H529</f>
        <v>0</v>
      </c>
      <c r="I528" s="201"/>
    </row>
    <row r="529" spans="1:15" ht="31.5" hidden="1" x14ac:dyDescent="0.25">
      <c r="A529" s="458" t="s">
        <v>131</v>
      </c>
      <c r="B529" s="452">
        <v>905</v>
      </c>
      <c r="C529" s="454" t="s">
        <v>234</v>
      </c>
      <c r="D529" s="454" t="s">
        <v>118</v>
      </c>
      <c r="E529" s="454" t="s">
        <v>962</v>
      </c>
      <c r="F529" s="454" t="s">
        <v>132</v>
      </c>
      <c r="G529" s="459">
        <f>G530</f>
        <v>0</v>
      </c>
      <c r="H529" s="459">
        <f>H530</f>
        <v>0</v>
      </c>
      <c r="I529" s="201"/>
    </row>
    <row r="530" spans="1:15" ht="31.5" hidden="1" x14ac:dyDescent="0.25">
      <c r="A530" s="458" t="s">
        <v>133</v>
      </c>
      <c r="B530" s="452">
        <v>905</v>
      </c>
      <c r="C530" s="454" t="s">
        <v>234</v>
      </c>
      <c r="D530" s="454" t="s">
        <v>118</v>
      </c>
      <c r="E530" s="454" t="s">
        <v>962</v>
      </c>
      <c r="F530" s="454" t="s">
        <v>134</v>
      </c>
      <c r="G530" s="459">
        <v>0</v>
      </c>
      <c r="H530" s="459">
        <v>0</v>
      </c>
      <c r="I530" s="201"/>
    </row>
    <row r="531" spans="1:15" ht="15.75" x14ac:dyDescent="0.25">
      <c r="A531" s="456" t="s">
        <v>243</v>
      </c>
      <c r="B531" s="453">
        <v>905</v>
      </c>
      <c r="C531" s="457" t="s">
        <v>244</v>
      </c>
      <c r="D531" s="454"/>
      <c r="E531" s="454"/>
      <c r="F531" s="454"/>
      <c r="G531" s="455">
        <f t="shared" ref="G531:H535" si="48">G532</f>
        <v>2469.1</v>
      </c>
      <c r="H531" s="455">
        <f t="shared" si="48"/>
        <v>10803.2</v>
      </c>
      <c r="I531" s="201"/>
    </row>
    <row r="532" spans="1:15" ht="15.75" x14ac:dyDescent="0.25">
      <c r="A532" s="456" t="s">
        <v>400</v>
      </c>
      <c r="B532" s="453">
        <v>905</v>
      </c>
      <c r="C532" s="457" t="s">
        <v>244</v>
      </c>
      <c r="D532" s="457" t="s">
        <v>150</v>
      </c>
      <c r="E532" s="454"/>
      <c r="F532" s="454"/>
      <c r="G532" s="455">
        <f t="shared" si="48"/>
        <v>2469.1</v>
      </c>
      <c r="H532" s="455">
        <f t="shared" si="48"/>
        <v>10803.2</v>
      </c>
      <c r="I532" s="201"/>
    </row>
    <row r="533" spans="1:15" ht="31.5" x14ac:dyDescent="0.25">
      <c r="A533" s="456" t="s">
        <v>885</v>
      </c>
      <c r="B533" s="453">
        <v>905</v>
      </c>
      <c r="C533" s="457" t="s">
        <v>244</v>
      </c>
      <c r="D533" s="457" t="s">
        <v>150</v>
      </c>
      <c r="E533" s="457" t="s">
        <v>863</v>
      </c>
      <c r="F533" s="454"/>
      <c r="G533" s="455">
        <f t="shared" si="48"/>
        <v>2469.1</v>
      </c>
      <c r="H533" s="455">
        <f t="shared" si="48"/>
        <v>10803.2</v>
      </c>
      <c r="I533" s="201"/>
    </row>
    <row r="534" spans="1:15" ht="47.25" x14ac:dyDescent="0.25">
      <c r="A534" s="458" t="s">
        <v>1172</v>
      </c>
      <c r="B534" s="452">
        <v>905</v>
      </c>
      <c r="C534" s="454" t="s">
        <v>244</v>
      </c>
      <c r="D534" s="454" t="s">
        <v>150</v>
      </c>
      <c r="E534" s="454" t="s">
        <v>1171</v>
      </c>
      <c r="F534" s="454"/>
      <c r="G534" s="459">
        <f t="shared" si="48"/>
        <v>2469.1</v>
      </c>
      <c r="H534" s="459">
        <f t="shared" si="48"/>
        <v>10803.2</v>
      </c>
      <c r="I534" s="201"/>
    </row>
    <row r="535" spans="1:15" ht="31.5" x14ac:dyDescent="0.25">
      <c r="A535" s="458" t="s">
        <v>131</v>
      </c>
      <c r="B535" s="452">
        <v>905</v>
      </c>
      <c r="C535" s="454" t="s">
        <v>244</v>
      </c>
      <c r="D535" s="454" t="s">
        <v>150</v>
      </c>
      <c r="E535" s="454" t="s">
        <v>1171</v>
      </c>
      <c r="F535" s="454" t="s">
        <v>132</v>
      </c>
      <c r="G535" s="459">
        <f t="shared" si="48"/>
        <v>2469.1</v>
      </c>
      <c r="H535" s="459">
        <f t="shared" si="48"/>
        <v>10803.2</v>
      </c>
      <c r="I535" s="201"/>
    </row>
    <row r="536" spans="1:15" ht="32.65" customHeight="1" x14ac:dyDescent="0.25">
      <c r="A536" s="458" t="s">
        <v>133</v>
      </c>
      <c r="B536" s="452">
        <v>905</v>
      </c>
      <c r="C536" s="454" t="s">
        <v>244</v>
      </c>
      <c r="D536" s="454" t="s">
        <v>150</v>
      </c>
      <c r="E536" s="454" t="s">
        <v>1171</v>
      </c>
      <c r="F536" s="454" t="s">
        <v>134</v>
      </c>
      <c r="G536" s="459">
        <v>2469.1</v>
      </c>
      <c r="H536" s="459">
        <v>10803.2</v>
      </c>
      <c r="I536" s="201"/>
    </row>
    <row r="537" spans="1:15" ht="31.5" x14ac:dyDescent="0.25">
      <c r="A537" s="453" t="s">
        <v>403</v>
      </c>
      <c r="B537" s="453">
        <v>906</v>
      </c>
      <c r="C537" s="457"/>
      <c r="D537" s="457"/>
      <c r="E537" s="457"/>
      <c r="F537" s="457"/>
      <c r="G537" s="455">
        <f>G548+G538</f>
        <v>346220.19999999995</v>
      </c>
      <c r="H537" s="455">
        <f>H548+H538</f>
        <v>369274.95</v>
      </c>
      <c r="I537" s="201"/>
      <c r="M537" s="22"/>
      <c r="O537" s="227"/>
    </row>
    <row r="538" spans="1:15" ht="15.75" hidden="1" x14ac:dyDescent="0.25">
      <c r="A538" s="456" t="s">
        <v>117</v>
      </c>
      <c r="B538" s="453">
        <v>906</v>
      </c>
      <c r="C538" s="457" t="s">
        <v>118</v>
      </c>
      <c r="D538" s="457"/>
      <c r="E538" s="457"/>
      <c r="F538" s="457"/>
      <c r="G538" s="455">
        <f t="shared" ref="G538:H541" si="49">G539</f>
        <v>0</v>
      </c>
      <c r="H538" s="455">
        <f t="shared" si="49"/>
        <v>0</v>
      </c>
      <c r="I538" s="201"/>
    </row>
    <row r="539" spans="1:15" ht="15.75" hidden="1" x14ac:dyDescent="0.25">
      <c r="A539" s="34" t="s">
        <v>139</v>
      </c>
      <c r="B539" s="453">
        <v>906</v>
      </c>
      <c r="C539" s="457" t="s">
        <v>118</v>
      </c>
      <c r="D539" s="457" t="s">
        <v>140</v>
      </c>
      <c r="E539" s="457"/>
      <c r="F539" s="457"/>
      <c r="G539" s="455">
        <f t="shared" si="49"/>
        <v>0</v>
      </c>
      <c r="H539" s="455">
        <f t="shared" si="49"/>
        <v>0</v>
      </c>
      <c r="I539" s="201"/>
    </row>
    <row r="540" spans="1:15" ht="47.25" hidden="1" x14ac:dyDescent="0.25">
      <c r="A540" s="456" t="s">
        <v>1358</v>
      </c>
      <c r="B540" s="453">
        <v>906</v>
      </c>
      <c r="C540" s="457" t="s">
        <v>118</v>
      </c>
      <c r="D540" s="457" t="s">
        <v>140</v>
      </c>
      <c r="E540" s="457" t="s">
        <v>335</v>
      </c>
      <c r="F540" s="457"/>
      <c r="G540" s="455">
        <f t="shared" si="49"/>
        <v>0</v>
      </c>
      <c r="H540" s="455">
        <f t="shared" si="49"/>
        <v>0</v>
      </c>
      <c r="I540" s="201"/>
    </row>
    <row r="541" spans="1:15" ht="31.5" hidden="1" x14ac:dyDescent="0.25">
      <c r="A541" s="208" t="s">
        <v>1050</v>
      </c>
      <c r="B541" s="453">
        <v>906</v>
      </c>
      <c r="C541" s="457" t="s">
        <v>118</v>
      </c>
      <c r="D541" s="457" t="s">
        <v>140</v>
      </c>
      <c r="E541" s="457" t="s">
        <v>1051</v>
      </c>
      <c r="F541" s="457"/>
      <c r="G541" s="455">
        <f t="shared" si="49"/>
        <v>0</v>
      </c>
      <c r="H541" s="455">
        <f t="shared" si="49"/>
        <v>0</v>
      </c>
      <c r="I541" s="201"/>
    </row>
    <row r="542" spans="1:15" ht="31.5" hidden="1" x14ac:dyDescent="0.25">
      <c r="A542" s="97" t="s">
        <v>336</v>
      </c>
      <c r="B542" s="452">
        <v>906</v>
      </c>
      <c r="C542" s="454" t="s">
        <v>118</v>
      </c>
      <c r="D542" s="454" t="s">
        <v>140</v>
      </c>
      <c r="E542" s="454" t="s">
        <v>1052</v>
      </c>
      <c r="F542" s="454"/>
      <c r="G542" s="459">
        <f>G543</f>
        <v>0</v>
      </c>
      <c r="H542" s="459">
        <f>H543</f>
        <v>0</v>
      </c>
      <c r="I542" s="201"/>
    </row>
    <row r="543" spans="1:15" ht="31.5" hidden="1" x14ac:dyDescent="0.25">
      <c r="A543" s="458" t="s">
        <v>131</v>
      </c>
      <c r="B543" s="452">
        <v>906</v>
      </c>
      <c r="C543" s="454" t="s">
        <v>118</v>
      </c>
      <c r="D543" s="454" t="s">
        <v>140</v>
      </c>
      <c r="E543" s="454" t="s">
        <v>1052</v>
      </c>
      <c r="F543" s="454" t="s">
        <v>132</v>
      </c>
      <c r="G543" s="459">
        <f>G544</f>
        <v>0</v>
      </c>
      <c r="H543" s="459">
        <f>H544</f>
        <v>0</v>
      </c>
      <c r="I543" s="201"/>
    </row>
    <row r="544" spans="1:15" ht="31.5" hidden="1" x14ac:dyDescent="0.25">
      <c r="A544" s="458" t="s">
        <v>133</v>
      </c>
      <c r="B544" s="452">
        <v>906</v>
      </c>
      <c r="C544" s="454" t="s">
        <v>118</v>
      </c>
      <c r="D544" s="454" t="s">
        <v>140</v>
      </c>
      <c r="E544" s="454" t="s">
        <v>1052</v>
      </c>
      <c r="F544" s="454" t="s">
        <v>134</v>
      </c>
      <c r="G544" s="459">
        <v>0</v>
      </c>
      <c r="H544" s="459">
        <v>0</v>
      </c>
      <c r="I544" s="201"/>
    </row>
    <row r="545" spans="1:9" ht="16.350000000000001" hidden="1" customHeight="1" x14ac:dyDescent="0.25">
      <c r="A545" s="31" t="s">
        <v>773</v>
      </c>
      <c r="B545" s="452">
        <v>906</v>
      </c>
      <c r="C545" s="454" t="s">
        <v>118</v>
      </c>
      <c r="D545" s="454" t="s">
        <v>140</v>
      </c>
      <c r="E545" s="454" t="s">
        <v>1074</v>
      </c>
      <c r="F545" s="454"/>
      <c r="G545" s="459" t="e">
        <f>'[1]Пр.5 ведом.21'!#REF!</f>
        <v>#REF!</v>
      </c>
      <c r="H545" s="459" t="e">
        <f t="shared" si="44"/>
        <v>#REF!</v>
      </c>
      <c r="I545" s="201"/>
    </row>
    <row r="546" spans="1:9" ht="31.5" hidden="1" x14ac:dyDescent="0.25">
      <c r="A546" s="458" t="s">
        <v>131</v>
      </c>
      <c r="B546" s="452">
        <v>906</v>
      </c>
      <c r="C546" s="454" t="s">
        <v>118</v>
      </c>
      <c r="D546" s="454" t="s">
        <v>140</v>
      </c>
      <c r="E546" s="454" t="s">
        <v>1074</v>
      </c>
      <c r="F546" s="454" t="s">
        <v>132</v>
      </c>
      <c r="G546" s="459" t="e">
        <f>'[1]Пр.5 ведом.21'!#REF!</f>
        <v>#REF!</v>
      </c>
      <c r="H546" s="459" t="e">
        <f t="shared" si="44"/>
        <v>#REF!</v>
      </c>
      <c r="I546" s="201"/>
    </row>
    <row r="547" spans="1:9" ht="31.5" hidden="1" x14ac:dyDescent="0.25">
      <c r="A547" s="458" t="s">
        <v>133</v>
      </c>
      <c r="B547" s="452">
        <v>906</v>
      </c>
      <c r="C547" s="454" t="s">
        <v>118</v>
      </c>
      <c r="D547" s="454" t="s">
        <v>140</v>
      </c>
      <c r="E547" s="454" t="s">
        <v>1074</v>
      </c>
      <c r="F547" s="454" t="s">
        <v>134</v>
      </c>
      <c r="G547" s="459" t="e">
        <f>'[1]Пр.5 ведом.21'!#REF!</f>
        <v>#REF!</v>
      </c>
      <c r="H547" s="459" t="e">
        <f t="shared" si="44"/>
        <v>#REF!</v>
      </c>
      <c r="I547" s="201"/>
    </row>
    <row r="548" spans="1:9" ht="15.75" x14ac:dyDescent="0.25">
      <c r="A548" s="456" t="s">
        <v>263</v>
      </c>
      <c r="B548" s="453">
        <v>906</v>
      </c>
      <c r="C548" s="457" t="s">
        <v>264</v>
      </c>
      <c r="D548" s="457"/>
      <c r="E548" s="457"/>
      <c r="F548" s="457"/>
      <c r="G548" s="455">
        <f>G549+G609+G720+G729+G691</f>
        <v>346220.19999999995</v>
      </c>
      <c r="H548" s="455">
        <f>H549+H609+H720+H729+H691</f>
        <v>369274.95</v>
      </c>
      <c r="I548" s="201"/>
    </row>
    <row r="549" spans="1:9" ht="15.75" x14ac:dyDescent="0.25">
      <c r="A549" s="456" t="s">
        <v>404</v>
      </c>
      <c r="B549" s="453">
        <v>906</v>
      </c>
      <c r="C549" s="457" t="s">
        <v>264</v>
      </c>
      <c r="D549" s="457" t="s">
        <v>118</v>
      </c>
      <c r="E549" s="457"/>
      <c r="F549" s="457"/>
      <c r="G549" s="455">
        <f>G550+G599+G604</f>
        <v>102250.3</v>
      </c>
      <c r="H549" s="455">
        <f>H550+H599+H604</f>
        <v>105829.20000000001</v>
      </c>
      <c r="I549" s="201"/>
    </row>
    <row r="550" spans="1:9" ht="31.9" customHeight="1" x14ac:dyDescent="0.25">
      <c r="A550" s="456" t="s">
        <v>1361</v>
      </c>
      <c r="B550" s="453">
        <v>906</v>
      </c>
      <c r="C550" s="457" t="s">
        <v>264</v>
      </c>
      <c r="D550" s="457" t="s">
        <v>118</v>
      </c>
      <c r="E550" s="457" t="s">
        <v>406</v>
      </c>
      <c r="F550" s="457"/>
      <c r="G550" s="455">
        <f>G551+G555+G568+G578+G588+G592</f>
        <v>101599.40000000001</v>
      </c>
      <c r="H550" s="455">
        <f>H551+H555+H568+H578+H588+H592</f>
        <v>105210.40000000001</v>
      </c>
      <c r="I550" s="201"/>
    </row>
    <row r="551" spans="1:9" ht="31.5" x14ac:dyDescent="0.25">
      <c r="A551" s="456" t="s">
        <v>937</v>
      </c>
      <c r="B551" s="453">
        <v>906</v>
      </c>
      <c r="C551" s="457" t="s">
        <v>264</v>
      </c>
      <c r="D551" s="457" t="s">
        <v>118</v>
      </c>
      <c r="E551" s="457" t="s">
        <v>1231</v>
      </c>
      <c r="F551" s="457"/>
      <c r="G551" s="455">
        <f t="shared" ref="G551:H553" si="50">G552</f>
        <v>14795.6</v>
      </c>
      <c r="H551" s="455">
        <f t="shared" si="50"/>
        <v>14795.6</v>
      </c>
      <c r="I551" s="201"/>
    </row>
    <row r="552" spans="1:9" ht="43.5" customHeight="1" x14ac:dyDescent="0.25">
      <c r="A552" s="458" t="s">
        <v>1230</v>
      </c>
      <c r="B552" s="452">
        <v>906</v>
      </c>
      <c r="C552" s="454" t="s">
        <v>264</v>
      </c>
      <c r="D552" s="454" t="s">
        <v>118</v>
      </c>
      <c r="E552" s="454" t="s">
        <v>1232</v>
      </c>
      <c r="F552" s="454"/>
      <c r="G552" s="459">
        <f t="shared" si="50"/>
        <v>14795.6</v>
      </c>
      <c r="H552" s="459">
        <f t="shared" si="50"/>
        <v>14795.6</v>
      </c>
      <c r="I552" s="201"/>
    </row>
    <row r="553" spans="1:9" ht="31.5" x14ac:dyDescent="0.25">
      <c r="A553" s="458" t="s">
        <v>272</v>
      </c>
      <c r="B553" s="452">
        <v>906</v>
      </c>
      <c r="C553" s="454" t="s">
        <v>264</v>
      </c>
      <c r="D553" s="454" t="s">
        <v>118</v>
      </c>
      <c r="E553" s="454" t="s">
        <v>1232</v>
      </c>
      <c r="F553" s="454" t="s">
        <v>273</v>
      </c>
      <c r="G553" s="459">
        <f t="shared" si="50"/>
        <v>14795.6</v>
      </c>
      <c r="H553" s="459">
        <f t="shared" si="50"/>
        <v>14795.6</v>
      </c>
      <c r="I553" s="201"/>
    </row>
    <row r="554" spans="1:9" ht="15.75" x14ac:dyDescent="0.25">
      <c r="A554" s="458" t="s">
        <v>274</v>
      </c>
      <c r="B554" s="452">
        <v>906</v>
      </c>
      <c r="C554" s="454" t="s">
        <v>264</v>
      </c>
      <c r="D554" s="454" t="s">
        <v>118</v>
      </c>
      <c r="E554" s="454" t="s">
        <v>1232</v>
      </c>
      <c r="F554" s="454" t="s">
        <v>275</v>
      </c>
      <c r="G554" s="459">
        <v>14795.6</v>
      </c>
      <c r="H554" s="459">
        <f t="shared" si="44"/>
        <v>14795.6</v>
      </c>
      <c r="I554" s="201"/>
    </row>
    <row r="555" spans="1:9" ht="47.25" x14ac:dyDescent="0.25">
      <c r="A555" s="456" t="s">
        <v>900</v>
      </c>
      <c r="B555" s="453">
        <v>906</v>
      </c>
      <c r="C555" s="457" t="s">
        <v>264</v>
      </c>
      <c r="D555" s="457" t="s">
        <v>118</v>
      </c>
      <c r="E555" s="457" t="s">
        <v>1233</v>
      </c>
      <c r="F555" s="457"/>
      <c r="G555" s="44">
        <f>G559+G562+G565+G556</f>
        <v>75561.5</v>
      </c>
      <c r="H555" s="44">
        <f>H559+H562+H565+H556</f>
        <v>79924.100000000006</v>
      </c>
      <c r="I555" s="201"/>
    </row>
    <row r="556" spans="1:9" ht="94.5" x14ac:dyDescent="0.25">
      <c r="A556" s="31" t="s">
        <v>293</v>
      </c>
      <c r="B556" s="452">
        <v>906</v>
      </c>
      <c r="C556" s="454" t="s">
        <v>264</v>
      </c>
      <c r="D556" s="454" t="s">
        <v>118</v>
      </c>
      <c r="E556" s="454" t="s">
        <v>1393</v>
      </c>
      <c r="F556" s="454"/>
      <c r="G556" s="459">
        <f>G557</f>
        <v>3230</v>
      </c>
      <c r="H556" s="459">
        <f>H557</f>
        <v>3230</v>
      </c>
      <c r="I556" s="201"/>
    </row>
    <row r="557" spans="1:9" ht="31.5" x14ac:dyDescent="0.25">
      <c r="A557" s="458" t="s">
        <v>272</v>
      </c>
      <c r="B557" s="452">
        <v>906</v>
      </c>
      <c r="C557" s="454" t="s">
        <v>264</v>
      </c>
      <c r="D557" s="454" t="s">
        <v>118</v>
      </c>
      <c r="E557" s="454" t="s">
        <v>1393</v>
      </c>
      <c r="F557" s="454" t="s">
        <v>273</v>
      </c>
      <c r="G557" s="459">
        <f>G558</f>
        <v>3230</v>
      </c>
      <c r="H557" s="459">
        <f>H558</f>
        <v>3230</v>
      </c>
      <c r="I557" s="201"/>
    </row>
    <row r="558" spans="1:9" ht="15.75" x14ac:dyDescent="0.25">
      <c r="A558" s="458" t="s">
        <v>274</v>
      </c>
      <c r="B558" s="452">
        <v>906</v>
      </c>
      <c r="C558" s="454" t="s">
        <v>264</v>
      </c>
      <c r="D558" s="454" t="s">
        <v>118</v>
      </c>
      <c r="E558" s="454" t="s">
        <v>1393</v>
      </c>
      <c r="F558" s="454" t="s">
        <v>275</v>
      </c>
      <c r="G558" s="459">
        <v>3230</v>
      </c>
      <c r="H558" s="459">
        <f>G558</f>
        <v>3230</v>
      </c>
      <c r="I558" s="201"/>
    </row>
    <row r="559" spans="1:9" ht="66.75" customHeight="1" x14ac:dyDescent="0.25">
      <c r="A559" s="31" t="s">
        <v>289</v>
      </c>
      <c r="B559" s="452">
        <v>906</v>
      </c>
      <c r="C559" s="454" t="s">
        <v>264</v>
      </c>
      <c r="D559" s="454" t="s">
        <v>118</v>
      </c>
      <c r="E559" s="454" t="s">
        <v>1234</v>
      </c>
      <c r="F559" s="454"/>
      <c r="G559" s="459">
        <f>G560</f>
        <v>589</v>
      </c>
      <c r="H559" s="459">
        <f>H560</f>
        <v>589</v>
      </c>
      <c r="I559" s="201"/>
    </row>
    <row r="560" spans="1:9" ht="31.5" x14ac:dyDescent="0.25">
      <c r="A560" s="458" t="s">
        <v>272</v>
      </c>
      <c r="B560" s="452">
        <v>906</v>
      </c>
      <c r="C560" s="454" t="s">
        <v>264</v>
      </c>
      <c r="D560" s="454" t="s">
        <v>118</v>
      </c>
      <c r="E560" s="454" t="s">
        <v>1234</v>
      </c>
      <c r="F560" s="454" t="s">
        <v>273</v>
      </c>
      <c r="G560" s="459">
        <f>G561</f>
        <v>589</v>
      </c>
      <c r="H560" s="459">
        <f>H561</f>
        <v>589</v>
      </c>
      <c r="I560" s="201"/>
    </row>
    <row r="561" spans="1:9" ht="15.75" x14ac:dyDescent="0.25">
      <c r="A561" s="458" t="s">
        <v>274</v>
      </c>
      <c r="B561" s="452">
        <v>906</v>
      </c>
      <c r="C561" s="454" t="s">
        <v>264</v>
      </c>
      <c r="D561" s="454" t="s">
        <v>118</v>
      </c>
      <c r="E561" s="454" t="s">
        <v>1234</v>
      </c>
      <c r="F561" s="454" t="s">
        <v>275</v>
      </c>
      <c r="G561" s="459">
        <v>589</v>
      </c>
      <c r="H561" s="459">
        <f t="shared" si="44"/>
        <v>589</v>
      </c>
      <c r="I561" s="201"/>
    </row>
    <row r="562" spans="1:9" ht="63" x14ac:dyDescent="0.25">
      <c r="A562" s="31" t="s">
        <v>291</v>
      </c>
      <c r="B562" s="452">
        <v>906</v>
      </c>
      <c r="C562" s="454" t="s">
        <v>264</v>
      </c>
      <c r="D562" s="454" t="s">
        <v>118</v>
      </c>
      <c r="E562" s="454" t="s">
        <v>1235</v>
      </c>
      <c r="F562" s="454"/>
      <c r="G562" s="459">
        <f>G563</f>
        <v>1629.3</v>
      </c>
      <c r="H562" s="459">
        <f>H563</f>
        <v>1629.3</v>
      </c>
      <c r="I562" s="201"/>
    </row>
    <row r="563" spans="1:9" ht="31.5" x14ac:dyDescent="0.25">
      <c r="A563" s="458" t="s">
        <v>272</v>
      </c>
      <c r="B563" s="452">
        <v>906</v>
      </c>
      <c r="C563" s="454" t="s">
        <v>264</v>
      </c>
      <c r="D563" s="454" t="s">
        <v>118</v>
      </c>
      <c r="E563" s="454" t="s">
        <v>1235</v>
      </c>
      <c r="F563" s="454" t="s">
        <v>273</v>
      </c>
      <c r="G563" s="459">
        <f>G564</f>
        <v>1629.3</v>
      </c>
      <c r="H563" s="459">
        <f>H564</f>
        <v>1629.3</v>
      </c>
      <c r="I563" s="201"/>
    </row>
    <row r="564" spans="1:9" ht="15.75" x14ac:dyDescent="0.25">
      <c r="A564" s="458" t="s">
        <v>274</v>
      </c>
      <c r="B564" s="452">
        <v>906</v>
      </c>
      <c r="C564" s="454" t="s">
        <v>264</v>
      </c>
      <c r="D564" s="454" t="s">
        <v>118</v>
      </c>
      <c r="E564" s="454" t="s">
        <v>1235</v>
      </c>
      <c r="F564" s="454" t="s">
        <v>275</v>
      </c>
      <c r="G564" s="459">
        <f>1629.3</f>
        <v>1629.3</v>
      </c>
      <c r="H564" s="459">
        <f t="shared" si="44"/>
        <v>1629.3</v>
      </c>
      <c r="I564" s="201"/>
    </row>
    <row r="565" spans="1:9" ht="94.5" x14ac:dyDescent="0.25">
      <c r="A565" s="31" t="s">
        <v>421</v>
      </c>
      <c r="B565" s="452">
        <v>906</v>
      </c>
      <c r="C565" s="454" t="s">
        <v>264</v>
      </c>
      <c r="D565" s="454" t="s">
        <v>118</v>
      </c>
      <c r="E565" s="454" t="s">
        <v>1236</v>
      </c>
      <c r="F565" s="454"/>
      <c r="G565" s="459">
        <f>G566</f>
        <v>70113.2</v>
      </c>
      <c r="H565" s="459">
        <f>H566</f>
        <v>74475.8</v>
      </c>
      <c r="I565" s="201"/>
    </row>
    <row r="566" spans="1:9" ht="31.5" x14ac:dyDescent="0.25">
      <c r="A566" s="458" t="s">
        <v>272</v>
      </c>
      <c r="B566" s="452">
        <v>906</v>
      </c>
      <c r="C566" s="454" t="s">
        <v>264</v>
      </c>
      <c r="D566" s="454" t="s">
        <v>118</v>
      </c>
      <c r="E566" s="454" t="s">
        <v>1236</v>
      </c>
      <c r="F566" s="454" t="s">
        <v>273</v>
      </c>
      <c r="G566" s="459">
        <f>G567</f>
        <v>70113.2</v>
      </c>
      <c r="H566" s="459">
        <f>H567</f>
        <v>74475.8</v>
      </c>
      <c r="I566" s="201"/>
    </row>
    <row r="567" spans="1:9" ht="15.75" x14ac:dyDescent="0.25">
      <c r="A567" s="458" t="s">
        <v>274</v>
      </c>
      <c r="B567" s="452">
        <v>906</v>
      </c>
      <c r="C567" s="454" t="s">
        <v>264</v>
      </c>
      <c r="D567" s="454" t="s">
        <v>118</v>
      </c>
      <c r="E567" s="454" t="s">
        <v>1236</v>
      </c>
      <c r="F567" s="454" t="s">
        <v>275</v>
      </c>
      <c r="G567" s="459">
        <v>70113.2</v>
      </c>
      <c r="H567" s="459">
        <v>74475.8</v>
      </c>
      <c r="I567" s="201"/>
    </row>
    <row r="568" spans="1:9" ht="31.5" x14ac:dyDescent="0.25">
      <c r="A568" s="456" t="s">
        <v>1293</v>
      </c>
      <c r="B568" s="453">
        <v>906</v>
      </c>
      <c r="C568" s="457" t="s">
        <v>264</v>
      </c>
      <c r="D568" s="457" t="s">
        <v>118</v>
      </c>
      <c r="E568" s="457" t="s">
        <v>1238</v>
      </c>
      <c r="F568" s="457"/>
      <c r="G568" s="455">
        <f>G569+G572+G575</f>
        <v>4430</v>
      </c>
      <c r="H568" s="455">
        <f>H569+H572+H575</f>
        <v>4430</v>
      </c>
      <c r="I568" s="201"/>
    </row>
    <row r="569" spans="1:9" ht="31.5" hidden="1" x14ac:dyDescent="0.25">
      <c r="A569" s="458" t="s">
        <v>278</v>
      </c>
      <c r="B569" s="452">
        <v>906</v>
      </c>
      <c r="C569" s="454" t="s">
        <v>264</v>
      </c>
      <c r="D569" s="454" t="s">
        <v>118</v>
      </c>
      <c r="E569" s="454" t="s">
        <v>1319</v>
      </c>
      <c r="F569" s="454"/>
      <c r="G569" s="459">
        <f>'[1]Пр.5 ведом.21'!G557</f>
        <v>0</v>
      </c>
      <c r="H569" s="459">
        <f t="shared" si="44"/>
        <v>0</v>
      </c>
      <c r="I569" s="201"/>
    </row>
    <row r="570" spans="1:9" ht="31.5" hidden="1" x14ac:dyDescent="0.25">
      <c r="A570" s="458" t="s">
        <v>272</v>
      </c>
      <c r="B570" s="452">
        <v>906</v>
      </c>
      <c r="C570" s="454" t="s">
        <v>264</v>
      </c>
      <c r="D570" s="454" t="s">
        <v>118</v>
      </c>
      <c r="E570" s="454" t="s">
        <v>1319</v>
      </c>
      <c r="F570" s="454" t="s">
        <v>273</v>
      </c>
      <c r="G570" s="459">
        <f>'[1]Пр.5 ведом.21'!G558</f>
        <v>0</v>
      </c>
      <c r="H570" s="459">
        <f t="shared" ref="H570:H630" si="51">G570</f>
        <v>0</v>
      </c>
      <c r="I570" s="201"/>
    </row>
    <row r="571" spans="1:9" ht="15.75" hidden="1" x14ac:dyDescent="0.25">
      <c r="A571" s="458" t="s">
        <v>274</v>
      </c>
      <c r="B571" s="452">
        <v>906</v>
      </c>
      <c r="C571" s="454" t="s">
        <v>264</v>
      </c>
      <c r="D571" s="454" t="s">
        <v>118</v>
      </c>
      <c r="E571" s="454" t="s">
        <v>1319</v>
      </c>
      <c r="F571" s="454" t="s">
        <v>275</v>
      </c>
      <c r="G571" s="459">
        <f>'[1]Пр.5 ведом.21'!G559</f>
        <v>0</v>
      </c>
      <c r="H571" s="459">
        <f t="shared" si="51"/>
        <v>0</v>
      </c>
      <c r="I571" s="201"/>
    </row>
    <row r="572" spans="1:9" ht="31.5" hidden="1" x14ac:dyDescent="0.25">
      <c r="A572" s="458" t="s">
        <v>280</v>
      </c>
      <c r="B572" s="452">
        <v>906</v>
      </c>
      <c r="C572" s="454" t="s">
        <v>264</v>
      </c>
      <c r="D572" s="454" t="s">
        <v>118</v>
      </c>
      <c r="E572" s="454" t="s">
        <v>1320</v>
      </c>
      <c r="F572" s="454"/>
      <c r="G572" s="459">
        <f>'[1]Пр.5 ведом.21'!G560</f>
        <v>0</v>
      </c>
      <c r="H572" s="459">
        <f t="shared" si="51"/>
        <v>0</v>
      </c>
      <c r="I572" s="201"/>
    </row>
    <row r="573" spans="1:9" ht="31.5" hidden="1" x14ac:dyDescent="0.25">
      <c r="A573" s="458" t="s">
        <v>272</v>
      </c>
      <c r="B573" s="452">
        <v>906</v>
      </c>
      <c r="C573" s="454" t="s">
        <v>264</v>
      </c>
      <c r="D573" s="454" t="s">
        <v>118</v>
      </c>
      <c r="E573" s="454" t="s">
        <v>1320</v>
      </c>
      <c r="F573" s="454" t="s">
        <v>273</v>
      </c>
      <c r="G573" s="459">
        <f>'[1]Пр.5 ведом.21'!G561</f>
        <v>0</v>
      </c>
      <c r="H573" s="459">
        <f t="shared" si="51"/>
        <v>0</v>
      </c>
      <c r="I573" s="201"/>
    </row>
    <row r="574" spans="1:9" ht="15.75" hidden="1" x14ac:dyDescent="0.25">
      <c r="A574" s="458" t="s">
        <v>274</v>
      </c>
      <c r="B574" s="452">
        <v>906</v>
      </c>
      <c r="C574" s="454" t="s">
        <v>264</v>
      </c>
      <c r="D574" s="454" t="s">
        <v>118</v>
      </c>
      <c r="E574" s="454" t="s">
        <v>1320</v>
      </c>
      <c r="F574" s="454" t="s">
        <v>275</v>
      </c>
      <c r="G574" s="459">
        <f>'[1]Пр.5 ведом.21'!G562</f>
        <v>0</v>
      </c>
      <c r="H574" s="459">
        <f t="shared" si="51"/>
        <v>0</v>
      </c>
      <c r="I574" s="201"/>
    </row>
    <row r="575" spans="1:9" ht="31.5" x14ac:dyDescent="0.25">
      <c r="A575" s="29" t="s">
        <v>415</v>
      </c>
      <c r="B575" s="452">
        <v>906</v>
      </c>
      <c r="C575" s="454" t="s">
        <v>264</v>
      </c>
      <c r="D575" s="454" t="s">
        <v>118</v>
      </c>
      <c r="E575" s="454" t="s">
        <v>1239</v>
      </c>
      <c r="F575" s="454"/>
      <c r="G575" s="459">
        <f>G576</f>
        <v>4430</v>
      </c>
      <c r="H575" s="459">
        <f>H576</f>
        <v>4430</v>
      </c>
      <c r="I575" s="201"/>
    </row>
    <row r="576" spans="1:9" ht="31.5" x14ac:dyDescent="0.25">
      <c r="A576" s="458" t="s">
        <v>272</v>
      </c>
      <c r="B576" s="452">
        <v>906</v>
      </c>
      <c r="C576" s="454" t="s">
        <v>264</v>
      </c>
      <c r="D576" s="454" t="s">
        <v>118</v>
      </c>
      <c r="E576" s="454" t="s">
        <v>1239</v>
      </c>
      <c r="F576" s="454" t="s">
        <v>273</v>
      </c>
      <c r="G576" s="459">
        <f>G577</f>
        <v>4430</v>
      </c>
      <c r="H576" s="459">
        <f>H577</f>
        <v>4430</v>
      </c>
      <c r="I576" s="201"/>
    </row>
    <row r="577" spans="1:9" ht="15.75" x14ac:dyDescent="0.25">
      <c r="A577" s="458" t="s">
        <v>274</v>
      </c>
      <c r="B577" s="452">
        <v>906</v>
      </c>
      <c r="C577" s="454" t="s">
        <v>264</v>
      </c>
      <c r="D577" s="454" t="s">
        <v>118</v>
      </c>
      <c r="E577" s="454" t="s">
        <v>1239</v>
      </c>
      <c r="F577" s="454" t="s">
        <v>275</v>
      </c>
      <c r="G577" s="459">
        <f>4430</f>
        <v>4430</v>
      </c>
      <c r="H577" s="459">
        <f t="shared" si="51"/>
        <v>4430</v>
      </c>
      <c r="I577" s="201"/>
    </row>
    <row r="578" spans="1:9" ht="31.5" x14ac:dyDescent="0.25">
      <c r="A578" s="214" t="s">
        <v>948</v>
      </c>
      <c r="B578" s="453">
        <v>906</v>
      </c>
      <c r="C578" s="457" t="s">
        <v>264</v>
      </c>
      <c r="D578" s="457" t="s">
        <v>118</v>
      </c>
      <c r="E578" s="457" t="s">
        <v>1241</v>
      </c>
      <c r="F578" s="457"/>
      <c r="G578" s="44">
        <f>G579+G582+G585</f>
        <v>4848</v>
      </c>
      <c r="H578" s="44">
        <f>H579+H582+H585</f>
        <v>4848</v>
      </c>
      <c r="I578" s="201"/>
    </row>
    <row r="579" spans="1:9" ht="31.5" hidden="1" x14ac:dyDescent="0.25">
      <c r="A579" s="458" t="s">
        <v>284</v>
      </c>
      <c r="B579" s="452">
        <v>906</v>
      </c>
      <c r="C579" s="454" t="s">
        <v>264</v>
      </c>
      <c r="D579" s="454" t="s">
        <v>118</v>
      </c>
      <c r="E579" s="454" t="s">
        <v>1259</v>
      </c>
      <c r="F579" s="454"/>
      <c r="G579" s="459">
        <f>'[1]Пр.5 ведом.21'!G567</f>
        <v>0</v>
      </c>
      <c r="H579" s="459">
        <f t="shared" si="51"/>
        <v>0</v>
      </c>
      <c r="I579" s="201"/>
    </row>
    <row r="580" spans="1:9" ht="31.5" hidden="1" x14ac:dyDescent="0.25">
      <c r="A580" s="458" t="s">
        <v>272</v>
      </c>
      <c r="B580" s="452">
        <v>906</v>
      </c>
      <c r="C580" s="454" t="s">
        <v>264</v>
      </c>
      <c r="D580" s="454" t="s">
        <v>118</v>
      </c>
      <c r="E580" s="454" t="s">
        <v>1259</v>
      </c>
      <c r="F580" s="454" t="s">
        <v>273</v>
      </c>
      <c r="G580" s="459">
        <f>'[1]Пр.5 ведом.21'!G568</f>
        <v>0</v>
      </c>
      <c r="H580" s="459">
        <f t="shared" si="51"/>
        <v>0</v>
      </c>
      <c r="I580" s="201"/>
    </row>
    <row r="581" spans="1:9" ht="15.75" hidden="1" x14ac:dyDescent="0.25">
      <c r="A581" s="458" t="s">
        <v>274</v>
      </c>
      <c r="B581" s="452">
        <v>906</v>
      </c>
      <c r="C581" s="454" t="s">
        <v>264</v>
      </c>
      <c r="D581" s="454" t="s">
        <v>118</v>
      </c>
      <c r="E581" s="454" t="s">
        <v>1259</v>
      </c>
      <c r="F581" s="454" t="s">
        <v>275</v>
      </c>
      <c r="G581" s="459">
        <f>'[1]Пр.5 ведом.21'!G569</f>
        <v>0</v>
      </c>
      <c r="H581" s="459">
        <f t="shared" si="51"/>
        <v>0</v>
      </c>
      <c r="I581" s="201"/>
    </row>
    <row r="582" spans="1:9" ht="31.5" x14ac:dyDescent="0.25">
      <c r="A582" s="60" t="s">
        <v>764</v>
      </c>
      <c r="B582" s="452">
        <v>906</v>
      </c>
      <c r="C582" s="454" t="s">
        <v>264</v>
      </c>
      <c r="D582" s="454" t="s">
        <v>118</v>
      </c>
      <c r="E582" s="454" t="s">
        <v>1242</v>
      </c>
      <c r="F582" s="454"/>
      <c r="G582" s="459">
        <f>G583</f>
        <v>3088</v>
      </c>
      <c r="H582" s="459">
        <f>H583</f>
        <v>3088</v>
      </c>
      <c r="I582" s="201"/>
    </row>
    <row r="583" spans="1:9" ht="31.5" x14ac:dyDescent="0.25">
      <c r="A583" s="29" t="s">
        <v>272</v>
      </c>
      <c r="B583" s="452">
        <v>906</v>
      </c>
      <c r="C583" s="454" t="s">
        <v>264</v>
      </c>
      <c r="D583" s="454" t="s">
        <v>118</v>
      </c>
      <c r="E583" s="454" t="s">
        <v>1242</v>
      </c>
      <c r="F583" s="454" t="s">
        <v>273</v>
      </c>
      <c r="G583" s="459">
        <f>G584</f>
        <v>3088</v>
      </c>
      <c r="H583" s="459">
        <f>H584</f>
        <v>3088</v>
      </c>
      <c r="I583" s="201"/>
    </row>
    <row r="584" spans="1:9" ht="15.75" x14ac:dyDescent="0.25">
      <c r="A584" s="182" t="s">
        <v>274</v>
      </c>
      <c r="B584" s="452">
        <v>906</v>
      </c>
      <c r="C584" s="454" t="s">
        <v>264</v>
      </c>
      <c r="D584" s="454" t="s">
        <v>118</v>
      </c>
      <c r="E584" s="454" t="s">
        <v>1242</v>
      </c>
      <c r="F584" s="454" t="s">
        <v>275</v>
      </c>
      <c r="G584" s="459">
        <v>3088</v>
      </c>
      <c r="H584" s="459">
        <f t="shared" si="51"/>
        <v>3088</v>
      </c>
      <c r="I584" s="201"/>
    </row>
    <row r="585" spans="1:9" ht="47.25" x14ac:dyDescent="0.25">
      <c r="A585" s="60" t="s">
        <v>765</v>
      </c>
      <c r="B585" s="452">
        <v>906</v>
      </c>
      <c r="C585" s="454" t="s">
        <v>264</v>
      </c>
      <c r="D585" s="454" t="s">
        <v>118</v>
      </c>
      <c r="E585" s="454" t="s">
        <v>1243</v>
      </c>
      <c r="F585" s="454"/>
      <c r="G585" s="459">
        <f>G586</f>
        <v>1760</v>
      </c>
      <c r="H585" s="459">
        <f>H586</f>
        <v>1760</v>
      </c>
      <c r="I585" s="201"/>
    </row>
    <row r="586" spans="1:9" ht="31.5" x14ac:dyDescent="0.25">
      <c r="A586" s="29" t="s">
        <v>272</v>
      </c>
      <c r="B586" s="452">
        <v>906</v>
      </c>
      <c r="C586" s="454" t="s">
        <v>264</v>
      </c>
      <c r="D586" s="454" t="s">
        <v>118</v>
      </c>
      <c r="E586" s="454" t="s">
        <v>1243</v>
      </c>
      <c r="F586" s="454" t="s">
        <v>273</v>
      </c>
      <c r="G586" s="459">
        <f>G587</f>
        <v>1760</v>
      </c>
      <c r="H586" s="459">
        <f>H587</f>
        <v>1760</v>
      </c>
      <c r="I586" s="201"/>
    </row>
    <row r="587" spans="1:9" ht="15.75" x14ac:dyDescent="0.25">
      <c r="A587" s="182" t="s">
        <v>274</v>
      </c>
      <c r="B587" s="452">
        <v>906</v>
      </c>
      <c r="C587" s="454" t="s">
        <v>264</v>
      </c>
      <c r="D587" s="454" t="s">
        <v>118</v>
      </c>
      <c r="E587" s="454" t="s">
        <v>1243</v>
      </c>
      <c r="F587" s="454" t="s">
        <v>275</v>
      </c>
      <c r="G587" s="459">
        <f>1760</f>
        <v>1760</v>
      </c>
      <c r="H587" s="459">
        <f t="shared" si="51"/>
        <v>1760</v>
      </c>
      <c r="I587" s="201"/>
    </row>
    <row r="588" spans="1:9" ht="63" x14ac:dyDescent="0.25">
      <c r="A588" s="456" t="s">
        <v>933</v>
      </c>
      <c r="B588" s="453">
        <v>906</v>
      </c>
      <c r="C588" s="457" t="s">
        <v>264</v>
      </c>
      <c r="D588" s="457" t="s">
        <v>118</v>
      </c>
      <c r="E588" s="457" t="s">
        <v>1244</v>
      </c>
      <c r="F588" s="457"/>
      <c r="G588" s="455">
        <f t="shared" ref="G588:H590" si="52">G589</f>
        <v>297.70000000000005</v>
      </c>
      <c r="H588" s="455">
        <f t="shared" si="52"/>
        <v>297.70000000000005</v>
      </c>
      <c r="I588" s="201"/>
    </row>
    <row r="589" spans="1:9" ht="115.5" customHeight="1" x14ac:dyDescent="0.25">
      <c r="A589" s="458" t="s">
        <v>1515</v>
      </c>
      <c r="B589" s="452">
        <v>906</v>
      </c>
      <c r="C589" s="454" t="s">
        <v>264</v>
      </c>
      <c r="D589" s="454" t="s">
        <v>118</v>
      </c>
      <c r="E589" s="454" t="s">
        <v>1245</v>
      </c>
      <c r="F589" s="454"/>
      <c r="G589" s="459">
        <f t="shared" si="52"/>
        <v>297.70000000000005</v>
      </c>
      <c r="H589" s="459">
        <f t="shared" si="52"/>
        <v>297.70000000000005</v>
      </c>
      <c r="I589" s="201"/>
    </row>
    <row r="590" spans="1:9" ht="31.5" x14ac:dyDescent="0.25">
      <c r="A590" s="29" t="s">
        <v>272</v>
      </c>
      <c r="B590" s="452">
        <v>906</v>
      </c>
      <c r="C590" s="454" t="s">
        <v>264</v>
      </c>
      <c r="D590" s="454" t="s">
        <v>118</v>
      </c>
      <c r="E590" s="454" t="s">
        <v>1245</v>
      </c>
      <c r="F590" s="454" t="s">
        <v>273</v>
      </c>
      <c r="G590" s="459">
        <f t="shared" si="52"/>
        <v>297.70000000000005</v>
      </c>
      <c r="H590" s="459">
        <f t="shared" si="52"/>
        <v>297.70000000000005</v>
      </c>
      <c r="I590" s="201"/>
    </row>
    <row r="591" spans="1:9" ht="15.75" x14ac:dyDescent="0.25">
      <c r="A591" s="182" t="s">
        <v>274</v>
      </c>
      <c r="B591" s="452">
        <v>906</v>
      </c>
      <c r="C591" s="454" t="s">
        <v>264</v>
      </c>
      <c r="D591" s="454" t="s">
        <v>118</v>
      </c>
      <c r="E591" s="454" t="s">
        <v>1245</v>
      </c>
      <c r="F591" s="454" t="s">
        <v>275</v>
      </c>
      <c r="G591" s="459">
        <f>124.4+173.3</f>
        <v>297.70000000000005</v>
      </c>
      <c r="H591" s="459">
        <f t="shared" si="51"/>
        <v>297.70000000000005</v>
      </c>
      <c r="I591" s="201"/>
    </row>
    <row r="592" spans="1:9" ht="94.5" x14ac:dyDescent="0.25">
      <c r="A592" s="456" t="s">
        <v>1167</v>
      </c>
      <c r="B592" s="453">
        <v>906</v>
      </c>
      <c r="C592" s="457" t="s">
        <v>264</v>
      </c>
      <c r="D592" s="457" t="s">
        <v>118</v>
      </c>
      <c r="E592" s="457" t="s">
        <v>1247</v>
      </c>
      <c r="F592" s="457"/>
      <c r="G592" s="455">
        <f>G593+G596</f>
        <v>1666.6</v>
      </c>
      <c r="H592" s="455">
        <f>H593+H596</f>
        <v>915</v>
      </c>
      <c r="I592" s="201"/>
    </row>
    <row r="593" spans="1:9" ht="94.5" hidden="1" x14ac:dyDescent="0.25">
      <c r="A593" s="149" t="s">
        <v>1186</v>
      </c>
      <c r="B593" s="452">
        <v>906</v>
      </c>
      <c r="C593" s="454" t="s">
        <v>264</v>
      </c>
      <c r="D593" s="454" t="s">
        <v>118</v>
      </c>
      <c r="E593" s="454" t="s">
        <v>1248</v>
      </c>
      <c r="F593" s="454"/>
      <c r="G593" s="459">
        <f>G594</f>
        <v>0</v>
      </c>
      <c r="H593" s="459">
        <f>H594</f>
        <v>0</v>
      </c>
      <c r="I593" s="201"/>
    </row>
    <row r="594" spans="1:9" ht="31.5" hidden="1" x14ac:dyDescent="0.25">
      <c r="A594" s="458" t="s">
        <v>272</v>
      </c>
      <c r="B594" s="452">
        <v>906</v>
      </c>
      <c r="C594" s="454" t="s">
        <v>264</v>
      </c>
      <c r="D594" s="454" t="s">
        <v>118</v>
      </c>
      <c r="E594" s="454" t="s">
        <v>1248</v>
      </c>
      <c r="F594" s="454" t="s">
        <v>273</v>
      </c>
      <c r="G594" s="459">
        <f>G595</f>
        <v>0</v>
      </c>
      <c r="H594" s="459">
        <f>H595</f>
        <v>0</v>
      </c>
      <c r="I594" s="201"/>
    </row>
    <row r="595" spans="1:9" ht="15.75" hidden="1" x14ac:dyDescent="0.25">
      <c r="A595" s="458" t="s">
        <v>274</v>
      </c>
      <c r="B595" s="452">
        <v>906</v>
      </c>
      <c r="C595" s="454" t="s">
        <v>264</v>
      </c>
      <c r="D595" s="454" t="s">
        <v>118</v>
      </c>
      <c r="E595" s="454" t="s">
        <v>1248</v>
      </c>
      <c r="F595" s="454" t="s">
        <v>275</v>
      </c>
      <c r="G595" s="459">
        <v>0</v>
      </c>
      <c r="H595" s="459">
        <v>0</v>
      </c>
      <c r="I595" s="201"/>
    </row>
    <row r="596" spans="1:9" ht="96.4" customHeight="1" x14ac:dyDescent="0.25">
      <c r="A596" s="149" t="s">
        <v>1498</v>
      </c>
      <c r="B596" s="452">
        <v>906</v>
      </c>
      <c r="C596" s="454" t="s">
        <v>264</v>
      </c>
      <c r="D596" s="454" t="s">
        <v>118</v>
      </c>
      <c r="E596" s="454" t="s">
        <v>1248</v>
      </c>
      <c r="F596" s="454"/>
      <c r="G596" s="459">
        <f>G597</f>
        <v>1666.6</v>
      </c>
      <c r="H596" s="459">
        <f>H597</f>
        <v>915</v>
      </c>
      <c r="I596" s="201"/>
    </row>
    <row r="597" spans="1:9" ht="31.5" x14ac:dyDescent="0.25">
      <c r="A597" s="458" t="s">
        <v>272</v>
      </c>
      <c r="B597" s="452">
        <v>906</v>
      </c>
      <c r="C597" s="454" t="s">
        <v>264</v>
      </c>
      <c r="D597" s="454" t="s">
        <v>118</v>
      </c>
      <c r="E597" s="454" t="s">
        <v>1248</v>
      </c>
      <c r="F597" s="454" t="s">
        <v>273</v>
      </c>
      <c r="G597" s="459">
        <f>G598</f>
        <v>1666.6</v>
      </c>
      <c r="H597" s="459">
        <f>H598</f>
        <v>915</v>
      </c>
      <c r="I597" s="201"/>
    </row>
    <row r="598" spans="1:9" ht="15.75" x14ac:dyDescent="0.25">
      <c r="A598" s="458" t="s">
        <v>274</v>
      </c>
      <c r="B598" s="452">
        <v>906</v>
      </c>
      <c r="C598" s="454" t="s">
        <v>264</v>
      </c>
      <c r="D598" s="454" t="s">
        <v>118</v>
      </c>
      <c r="E598" s="454" t="s">
        <v>1248</v>
      </c>
      <c r="F598" s="454" t="s">
        <v>275</v>
      </c>
      <c r="G598" s="459">
        <f>1666.6</f>
        <v>1666.6</v>
      </c>
      <c r="H598" s="459">
        <v>915</v>
      </c>
      <c r="I598" s="201"/>
    </row>
    <row r="599" spans="1:9" ht="47.25" x14ac:dyDescent="0.25">
      <c r="A599" s="34" t="s">
        <v>1360</v>
      </c>
      <c r="B599" s="453">
        <v>906</v>
      </c>
      <c r="C599" s="457" t="s">
        <v>264</v>
      </c>
      <c r="D599" s="457" t="s">
        <v>118</v>
      </c>
      <c r="E599" s="457" t="s">
        <v>324</v>
      </c>
      <c r="F599" s="457"/>
      <c r="G599" s="455">
        <f t="shared" ref="G599:H602" si="53">G600</f>
        <v>80</v>
      </c>
      <c r="H599" s="455">
        <f t="shared" si="53"/>
        <v>25</v>
      </c>
      <c r="I599" s="201"/>
    </row>
    <row r="600" spans="1:9" ht="63" x14ac:dyDescent="0.25">
      <c r="A600" s="34" t="s">
        <v>1009</v>
      </c>
      <c r="B600" s="453">
        <v>906</v>
      </c>
      <c r="C600" s="457" t="s">
        <v>264</v>
      </c>
      <c r="D600" s="457" t="s">
        <v>118</v>
      </c>
      <c r="E600" s="457" t="s">
        <v>934</v>
      </c>
      <c r="F600" s="457"/>
      <c r="G600" s="455">
        <f t="shared" si="53"/>
        <v>80</v>
      </c>
      <c r="H600" s="455">
        <f t="shared" si="53"/>
        <v>25</v>
      </c>
      <c r="I600" s="201"/>
    </row>
    <row r="601" spans="1:9" ht="47.25" x14ac:dyDescent="0.25">
      <c r="A601" s="31" t="s">
        <v>1082</v>
      </c>
      <c r="B601" s="452">
        <v>906</v>
      </c>
      <c r="C601" s="454" t="s">
        <v>264</v>
      </c>
      <c r="D601" s="454" t="s">
        <v>118</v>
      </c>
      <c r="E601" s="454" t="s">
        <v>935</v>
      </c>
      <c r="F601" s="454"/>
      <c r="G601" s="459">
        <f t="shared" si="53"/>
        <v>80</v>
      </c>
      <c r="H601" s="459">
        <f t="shared" si="53"/>
        <v>25</v>
      </c>
      <c r="I601" s="201"/>
    </row>
    <row r="602" spans="1:9" ht="31.5" x14ac:dyDescent="0.25">
      <c r="A602" s="31" t="s">
        <v>272</v>
      </c>
      <c r="B602" s="452">
        <v>906</v>
      </c>
      <c r="C602" s="454" t="s">
        <v>264</v>
      </c>
      <c r="D602" s="454" t="s">
        <v>118</v>
      </c>
      <c r="E602" s="454" t="s">
        <v>935</v>
      </c>
      <c r="F602" s="454" t="s">
        <v>273</v>
      </c>
      <c r="G602" s="459">
        <f t="shared" si="53"/>
        <v>80</v>
      </c>
      <c r="H602" s="459">
        <f t="shared" si="53"/>
        <v>25</v>
      </c>
      <c r="I602" s="201"/>
    </row>
    <row r="603" spans="1:9" ht="15.75" x14ac:dyDescent="0.25">
      <c r="A603" s="31" t="s">
        <v>274</v>
      </c>
      <c r="B603" s="452">
        <v>906</v>
      </c>
      <c r="C603" s="454" t="s">
        <v>264</v>
      </c>
      <c r="D603" s="454" t="s">
        <v>118</v>
      </c>
      <c r="E603" s="454" t="s">
        <v>935</v>
      </c>
      <c r="F603" s="454" t="s">
        <v>275</v>
      </c>
      <c r="G603" s="459">
        <v>80</v>
      </c>
      <c r="H603" s="459">
        <v>25</v>
      </c>
      <c r="I603" s="201"/>
    </row>
    <row r="604" spans="1:9" ht="47.25" x14ac:dyDescent="0.25">
      <c r="A604" s="462" t="s">
        <v>1355</v>
      </c>
      <c r="B604" s="453">
        <v>906</v>
      </c>
      <c r="C604" s="457" t="s">
        <v>264</v>
      </c>
      <c r="D604" s="457" t="s">
        <v>118</v>
      </c>
      <c r="E604" s="457" t="s">
        <v>705</v>
      </c>
      <c r="F604" s="465"/>
      <c r="G604" s="455">
        <f>G606</f>
        <v>570.9</v>
      </c>
      <c r="H604" s="455">
        <f>H606</f>
        <v>593.79999999999995</v>
      </c>
      <c r="I604" s="201"/>
    </row>
    <row r="605" spans="1:9" ht="47.25" x14ac:dyDescent="0.25">
      <c r="A605" s="462" t="s">
        <v>890</v>
      </c>
      <c r="B605" s="453">
        <v>906</v>
      </c>
      <c r="C605" s="457" t="s">
        <v>264</v>
      </c>
      <c r="D605" s="457" t="s">
        <v>118</v>
      </c>
      <c r="E605" s="457" t="s">
        <v>888</v>
      </c>
      <c r="F605" s="465"/>
      <c r="G605" s="455">
        <f t="shared" ref="G605:H607" si="54">G606</f>
        <v>570.9</v>
      </c>
      <c r="H605" s="455">
        <f t="shared" si="54"/>
        <v>593.79999999999995</v>
      </c>
      <c r="I605" s="201"/>
    </row>
    <row r="606" spans="1:9" ht="47.25" x14ac:dyDescent="0.25">
      <c r="A606" s="98" t="s">
        <v>780</v>
      </c>
      <c r="B606" s="452">
        <v>906</v>
      </c>
      <c r="C606" s="454" t="s">
        <v>264</v>
      </c>
      <c r="D606" s="454" t="s">
        <v>118</v>
      </c>
      <c r="E606" s="454" t="s">
        <v>936</v>
      </c>
      <c r="F606" s="460"/>
      <c r="G606" s="459">
        <f t="shared" si="54"/>
        <v>570.9</v>
      </c>
      <c r="H606" s="459">
        <f t="shared" si="54"/>
        <v>593.79999999999995</v>
      </c>
      <c r="I606" s="201"/>
    </row>
    <row r="607" spans="1:9" ht="31.5" x14ac:dyDescent="0.25">
      <c r="A607" s="29" t="s">
        <v>272</v>
      </c>
      <c r="B607" s="452">
        <v>906</v>
      </c>
      <c r="C607" s="454" t="s">
        <v>264</v>
      </c>
      <c r="D607" s="454" t="s">
        <v>118</v>
      </c>
      <c r="E607" s="454" t="s">
        <v>936</v>
      </c>
      <c r="F607" s="460" t="s">
        <v>273</v>
      </c>
      <c r="G607" s="459">
        <f t="shared" si="54"/>
        <v>570.9</v>
      </c>
      <c r="H607" s="459">
        <f t="shared" si="54"/>
        <v>593.79999999999995</v>
      </c>
      <c r="I607" s="201"/>
    </row>
    <row r="608" spans="1:9" ht="15.75" x14ac:dyDescent="0.25">
      <c r="A608" s="182" t="s">
        <v>274</v>
      </c>
      <c r="B608" s="452">
        <v>906</v>
      </c>
      <c r="C608" s="454" t="s">
        <v>264</v>
      </c>
      <c r="D608" s="454" t="s">
        <v>118</v>
      </c>
      <c r="E608" s="454" t="s">
        <v>936</v>
      </c>
      <c r="F608" s="460" t="s">
        <v>275</v>
      </c>
      <c r="G608" s="459">
        <v>570.9</v>
      </c>
      <c r="H608" s="459">
        <v>593.79999999999995</v>
      </c>
      <c r="I608" s="201"/>
    </row>
    <row r="609" spans="1:13" ht="15.75" x14ac:dyDescent="0.25">
      <c r="A609" s="456" t="s">
        <v>425</v>
      </c>
      <c r="B609" s="453">
        <v>906</v>
      </c>
      <c r="C609" s="457" t="s">
        <v>264</v>
      </c>
      <c r="D609" s="457" t="s">
        <v>213</v>
      </c>
      <c r="E609" s="457"/>
      <c r="F609" s="457"/>
      <c r="G609" s="455">
        <f>G610+G686+G681</f>
        <v>177341.49999999997</v>
      </c>
      <c r="H609" s="455">
        <f>H610+H686+H681</f>
        <v>196805.15000000002</v>
      </c>
      <c r="I609" s="201"/>
      <c r="M609" s="227"/>
    </row>
    <row r="610" spans="1:13" ht="31.5" x14ac:dyDescent="0.25">
      <c r="A610" s="456" t="s">
        <v>1359</v>
      </c>
      <c r="B610" s="453">
        <v>906</v>
      </c>
      <c r="C610" s="457" t="s">
        <v>264</v>
      </c>
      <c r="D610" s="457" t="s">
        <v>213</v>
      </c>
      <c r="E610" s="457" t="s">
        <v>406</v>
      </c>
      <c r="F610" s="457"/>
      <c r="G610" s="455">
        <f>G611+G615+G634+G647+G654+G658+G662+G673+G669+G677</f>
        <v>176410.99999999997</v>
      </c>
      <c r="H610" s="455">
        <f>H611+H615+H634+H647+H654+H658+H662+H673+H669+H677</f>
        <v>195829.85000000003</v>
      </c>
      <c r="I610" s="201"/>
    </row>
    <row r="611" spans="1:13" ht="31.5" x14ac:dyDescent="0.25">
      <c r="A611" s="456" t="s">
        <v>937</v>
      </c>
      <c r="B611" s="453">
        <v>906</v>
      </c>
      <c r="C611" s="457" t="s">
        <v>264</v>
      </c>
      <c r="D611" s="457" t="s">
        <v>213</v>
      </c>
      <c r="E611" s="457" t="s">
        <v>1231</v>
      </c>
      <c r="F611" s="457"/>
      <c r="G611" s="455">
        <f t="shared" ref="G611:H613" si="55">G612</f>
        <v>28690.799999999999</v>
      </c>
      <c r="H611" s="455">
        <f t="shared" si="55"/>
        <v>28690.799999999999</v>
      </c>
      <c r="I611" s="201"/>
    </row>
    <row r="612" spans="1:13" ht="47.25" x14ac:dyDescent="0.25">
      <c r="A612" s="458" t="s">
        <v>427</v>
      </c>
      <c r="B612" s="452">
        <v>906</v>
      </c>
      <c r="C612" s="454" t="s">
        <v>264</v>
      </c>
      <c r="D612" s="454" t="s">
        <v>213</v>
      </c>
      <c r="E612" s="454" t="s">
        <v>1250</v>
      </c>
      <c r="F612" s="454"/>
      <c r="G612" s="459">
        <f t="shared" si="55"/>
        <v>28690.799999999999</v>
      </c>
      <c r="H612" s="459">
        <f t="shared" si="55"/>
        <v>28690.799999999999</v>
      </c>
      <c r="I612" s="201"/>
    </row>
    <row r="613" spans="1:13" ht="31.5" x14ac:dyDescent="0.25">
      <c r="A613" s="458" t="s">
        <v>272</v>
      </c>
      <c r="B613" s="452">
        <v>906</v>
      </c>
      <c r="C613" s="454" t="s">
        <v>264</v>
      </c>
      <c r="D613" s="454" t="s">
        <v>213</v>
      </c>
      <c r="E613" s="454" t="s">
        <v>1250</v>
      </c>
      <c r="F613" s="454" t="s">
        <v>273</v>
      </c>
      <c r="G613" s="459">
        <f t="shared" si="55"/>
        <v>28690.799999999999</v>
      </c>
      <c r="H613" s="459">
        <f t="shared" si="55"/>
        <v>28690.799999999999</v>
      </c>
      <c r="I613" s="201"/>
    </row>
    <row r="614" spans="1:13" ht="15.75" x14ac:dyDescent="0.25">
      <c r="A614" s="458" t="s">
        <v>274</v>
      </c>
      <c r="B614" s="452">
        <v>906</v>
      </c>
      <c r="C614" s="454" t="s">
        <v>264</v>
      </c>
      <c r="D614" s="454" t="s">
        <v>213</v>
      </c>
      <c r="E614" s="454" t="s">
        <v>1250</v>
      </c>
      <c r="F614" s="454" t="s">
        <v>275</v>
      </c>
      <c r="G614" s="459">
        <v>28690.799999999999</v>
      </c>
      <c r="H614" s="459">
        <f t="shared" si="51"/>
        <v>28690.799999999999</v>
      </c>
      <c r="I614" s="201"/>
    </row>
    <row r="615" spans="1:13" ht="47.25" x14ac:dyDescent="0.25">
      <c r="A615" s="456" t="s">
        <v>900</v>
      </c>
      <c r="B615" s="453">
        <v>906</v>
      </c>
      <c r="C615" s="457" t="s">
        <v>264</v>
      </c>
      <c r="D615" s="457" t="s">
        <v>213</v>
      </c>
      <c r="E615" s="457" t="s">
        <v>1233</v>
      </c>
      <c r="F615" s="457"/>
      <c r="G615" s="44">
        <f>G622+G625+G628+G631+G619+G616</f>
        <v>131370.9</v>
      </c>
      <c r="H615" s="44">
        <f>H622+H625+H628+H631+H619+H616</f>
        <v>150534.80000000002</v>
      </c>
      <c r="I615" s="201"/>
      <c r="L615" s="227"/>
    </row>
    <row r="616" spans="1:13" ht="63" x14ac:dyDescent="0.25">
      <c r="A616" s="458" t="s">
        <v>1395</v>
      </c>
      <c r="B616" s="452">
        <v>906</v>
      </c>
      <c r="C616" s="454" t="s">
        <v>264</v>
      </c>
      <c r="D616" s="454" t="s">
        <v>213</v>
      </c>
      <c r="E616" s="454" t="s">
        <v>1396</v>
      </c>
      <c r="F616" s="454"/>
      <c r="G616" s="27">
        <f>G617</f>
        <v>7226.1</v>
      </c>
      <c r="H616" s="27">
        <f>H617</f>
        <v>7226.1</v>
      </c>
      <c r="I616" s="201"/>
    </row>
    <row r="617" spans="1:13" ht="31.5" x14ac:dyDescent="0.25">
      <c r="A617" s="458" t="s">
        <v>272</v>
      </c>
      <c r="B617" s="452">
        <v>906</v>
      </c>
      <c r="C617" s="454" t="s">
        <v>264</v>
      </c>
      <c r="D617" s="454" t="s">
        <v>213</v>
      </c>
      <c r="E617" s="454" t="s">
        <v>1396</v>
      </c>
      <c r="F617" s="454" t="s">
        <v>273</v>
      </c>
      <c r="G617" s="27">
        <f>G618</f>
        <v>7226.1</v>
      </c>
      <c r="H617" s="27">
        <f>H618</f>
        <v>7226.1</v>
      </c>
      <c r="I617" s="201"/>
    </row>
    <row r="618" spans="1:13" ht="15.75" x14ac:dyDescent="0.25">
      <c r="A618" s="458" t="s">
        <v>274</v>
      </c>
      <c r="B618" s="452">
        <v>906</v>
      </c>
      <c r="C618" s="454" t="s">
        <v>264</v>
      </c>
      <c r="D618" s="454" t="s">
        <v>213</v>
      </c>
      <c r="E618" s="454" t="s">
        <v>1396</v>
      </c>
      <c r="F618" s="454" t="s">
        <v>275</v>
      </c>
      <c r="G618" s="27">
        <v>7226.1</v>
      </c>
      <c r="H618" s="27">
        <v>7226.1</v>
      </c>
      <c r="I618" s="201"/>
    </row>
    <row r="619" spans="1:13" ht="94.5" x14ac:dyDescent="0.25">
      <c r="A619" s="31" t="s">
        <v>464</v>
      </c>
      <c r="B619" s="452">
        <v>906</v>
      </c>
      <c r="C619" s="454" t="s">
        <v>264</v>
      </c>
      <c r="D619" s="454" t="s">
        <v>213</v>
      </c>
      <c r="E619" s="454" t="s">
        <v>1393</v>
      </c>
      <c r="F619" s="454"/>
      <c r="G619" s="459">
        <f>G620</f>
        <v>4610</v>
      </c>
      <c r="H619" s="459">
        <f>H620</f>
        <v>4610</v>
      </c>
      <c r="I619" s="201"/>
    </row>
    <row r="620" spans="1:13" ht="31.5" x14ac:dyDescent="0.25">
      <c r="A620" s="458" t="s">
        <v>272</v>
      </c>
      <c r="B620" s="452">
        <v>906</v>
      </c>
      <c r="C620" s="454" t="s">
        <v>264</v>
      </c>
      <c r="D620" s="454" t="s">
        <v>213</v>
      </c>
      <c r="E620" s="454" t="s">
        <v>1393</v>
      </c>
      <c r="F620" s="454" t="s">
        <v>273</v>
      </c>
      <c r="G620" s="459">
        <f>G621</f>
        <v>4610</v>
      </c>
      <c r="H620" s="459">
        <f>H621</f>
        <v>4610</v>
      </c>
      <c r="I620" s="201"/>
    </row>
    <row r="621" spans="1:13" ht="15.75" x14ac:dyDescent="0.25">
      <c r="A621" s="458" t="s">
        <v>274</v>
      </c>
      <c r="B621" s="452">
        <v>906</v>
      </c>
      <c r="C621" s="454" t="s">
        <v>264</v>
      </c>
      <c r="D621" s="454" t="s">
        <v>213</v>
      </c>
      <c r="E621" s="454" t="s">
        <v>1393</v>
      </c>
      <c r="F621" s="454" t="s">
        <v>275</v>
      </c>
      <c r="G621" s="459">
        <v>4610</v>
      </c>
      <c r="H621" s="459">
        <f>G621</f>
        <v>4610</v>
      </c>
      <c r="I621" s="201"/>
    </row>
    <row r="622" spans="1:13" ht="78.75" x14ac:dyDescent="0.25">
      <c r="A622" s="31" t="s">
        <v>460</v>
      </c>
      <c r="B622" s="452">
        <v>906</v>
      </c>
      <c r="C622" s="454" t="s">
        <v>264</v>
      </c>
      <c r="D622" s="454" t="s">
        <v>213</v>
      </c>
      <c r="E622" s="454" t="s">
        <v>1251</v>
      </c>
      <c r="F622" s="454"/>
      <c r="G622" s="459">
        <f>G623</f>
        <v>115047.8</v>
      </c>
      <c r="H622" s="459">
        <f>H623</f>
        <v>134211.70000000001</v>
      </c>
      <c r="I622" s="201"/>
    </row>
    <row r="623" spans="1:13" ht="31.5" x14ac:dyDescent="0.25">
      <c r="A623" s="458" t="s">
        <v>272</v>
      </c>
      <c r="B623" s="452">
        <v>906</v>
      </c>
      <c r="C623" s="454" t="s">
        <v>264</v>
      </c>
      <c r="D623" s="454" t="s">
        <v>213</v>
      </c>
      <c r="E623" s="454" t="s">
        <v>1251</v>
      </c>
      <c r="F623" s="454" t="s">
        <v>273</v>
      </c>
      <c r="G623" s="459">
        <f>G624</f>
        <v>115047.8</v>
      </c>
      <c r="H623" s="459">
        <f>H624</f>
        <v>134211.70000000001</v>
      </c>
      <c r="I623" s="201"/>
    </row>
    <row r="624" spans="1:13" ht="15.75" x14ac:dyDescent="0.25">
      <c r="A624" s="458" t="s">
        <v>274</v>
      </c>
      <c r="B624" s="452">
        <v>906</v>
      </c>
      <c r="C624" s="454" t="s">
        <v>264</v>
      </c>
      <c r="D624" s="454" t="s">
        <v>213</v>
      </c>
      <c r="E624" s="454" t="s">
        <v>1251</v>
      </c>
      <c r="F624" s="454" t="s">
        <v>275</v>
      </c>
      <c r="G624" s="459">
        <v>115047.8</v>
      </c>
      <c r="H624" s="459">
        <v>134211.70000000001</v>
      </c>
      <c r="I624" s="201"/>
    </row>
    <row r="625" spans="1:9" ht="63" x14ac:dyDescent="0.25">
      <c r="A625" s="31" t="s">
        <v>289</v>
      </c>
      <c r="B625" s="452">
        <v>906</v>
      </c>
      <c r="C625" s="454" t="s">
        <v>264</v>
      </c>
      <c r="D625" s="454" t="s">
        <v>213</v>
      </c>
      <c r="E625" s="454" t="s">
        <v>1234</v>
      </c>
      <c r="F625" s="454"/>
      <c r="G625" s="459">
        <f>G626</f>
        <v>1311</v>
      </c>
      <c r="H625" s="459">
        <f>H626</f>
        <v>1311</v>
      </c>
      <c r="I625" s="201"/>
    </row>
    <row r="626" spans="1:9" ht="31.5" x14ac:dyDescent="0.25">
      <c r="A626" s="458" t="s">
        <v>272</v>
      </c>
      <c r="B626" s="452">
        <v>906</v>
      </c>
      <c r="C626" s="454" t="s">
        <v>264</v>
      </c>
      <c r="D626" s="454" t="s">
        <v>213</v>
      </c>
      <c r="E626" s="454" t="s">
        <v>1234</v>
      </c>
      <c r="F626" s="454" t="s">
        <v>273</v>
      </c>
      <c r="G626" s="459">
        <f>G627</f>
        <v>1311</v>
      </c>
      <c r="H626" s="459">
        <f>H627</f>
        <v>1311</v>
      </c>
      <c r="I626" s="201"/>
    </row>
    <row r="627" spans="1:9" ht="15.75" x14ac:dyDescent="0.25">
      <c r="A627" s="458" t="s">
        <v>274</v>
      </c>
      <c r="B627" s="452">
        <v>906</v>
      </c>
      <c r="C627" s="454" t="s">
        <v>264</v>
      </c>
      <c r="D627" s="454" t="s">
        <v>213</v>
      </c>
      <c r="E627" s="454" t="s">
        <v>1234</v>
      </c>
      <c r="F627" s="454" t="s">
        <v>275</v>
      </c>
      <c r="G627" s="459">
        <v>1311</v>
      </c>
      <c r="H627" s="459">
        <f t="shared" si="51"/>
        <v>1311</v>
      </c>
      <c r="I627" s="201"/>
    </row>
    <row r="628" spans="1:9" ht="63" x14ac:dyDescent="0.25">
      <c r="A628" s="31" t="s">
        <v>291</v>
      </c>
      <c r="B628" s="452">
        <v>906</v>
      </c>
      <c r="C628" s="454" t="s">
        <v>264</v>
      </c>
      <c r="D628" s="454" t="s">
        <v>213</v>
      </c>
      <c r="E628" s="454" t="s">
        <v>1235</v>
      </c>
      <c r="F628" s="454"/>
      <c r="G628" s="459">
        <f>G629</f>
        <v>2266.6999999999998</v>
      </c>
      <c r="H628" s="459">
        <f>H629</f>
        <v>2266.6999999999998</v>
      </c>
      <c r="I628" s="201"/>
    </row>
    <row r="629" spans="1:9" ht="31.5" x14ac:dyDescent="0.25">
      <c r="A629" s="458" t="s">
        <v>272</v>
      </c>
      <c r="B629" s="452">
        <v>906</v>
      </c>
      <c r="C629" s="454" t="s">
        <v>264</v>
      </c>
      <c r="D629" s="454" t="s">
        <v>213</v>
      </c>
      <c r="E629" s="454" t="s">
        <v>1235</v>
      </c>
      <c r="F629" s="454" t="s">
        <v>273</v>
      </c>
      <c r="G629" s="459">
        <f>G630</f>
        <v>2266.6999999999998</v>
      </c>
      <c r="H629" s="459">
        <f>H630</f>
        <v>2266.6999999999998</v>
      </c>
      <c r="I629" s="201"/>
    </row>
    <row r="630" spans="1:9" ht="15.75" x14ac:dyDescent="0.25">
      <c r="A630" s="458" t="s">
        <v>274</v>
      </c>
      <c r="B630" s="452">
        <v>906</v>
      </c>
      <c r="C630" s="454" t="s">
        <v>264</v>
      </c>
      <c r="D630" s="454" t="s">
        <v>213</v>
      </c>
      <c r="E630" s="454" t="s">
        <v>1235</v>
      </c>
      <c r="F630" s="454" t="s">
        <v>275</v>
      </c>
      <c r="G630" s="459">
        <f>2266.7</f>
        <v>2266.6999999999998</v>
      </c>
      <c r="H630" s="459">
        <f t="shared" si="51"/>
        <v>2266.6999999999998</v>
      </c>
      <c r="I630" s="201"/>
    </row>
    <row r="631" spans="1:9" ht="47.25" x14ac:dyDescent="0.25">
      <c r="A631" s="31" t="s">
        <v>462</v>
      </c>
      <c r="B631" s="452">
        <v>906</v>
      </c>
      <c r="C631" s="454" t="s">
        <v>264</v>
      </c>
      <c r="D631" s="454" t="s">
        <v>213</v>
      </c>
      <c r="E631" s="454" t="s">
        <v>1252</v>
      </c>
      <c r="F631" s="454"/>
      <c r="G631" s="459">
        <f>G632</f>
        <v>909.3</v>
      </c>
      <c r="H631" s="459">
        <f>H632</f>
        <v>909.3</v>
      </c>
      <c r="I631" s="201"/>
    </row>
    <row r="632" spans="1:9" ht="31.5" x14ac:dyDescent="0.25">
      <c r="A632" s="458" t="s">
        <v>272</v>
      </c>
      <c r="B632" s="452">
        <v>906</v>
      </c>
      <c r="C632" s="454" t="s">
        <v>264</v>
      </c>
      <c r="D632" s="454" t="s">
        <v>213</v>
      </c>
      <c r="E632" s="454" t="s">
        <v>1252</v>
      </c>
      <c r="F632" s="454" t="s">
        <v>273</v>
      </c>
      <c r="G632" s="459">
        <f>G633</f>
        <v>909.3</v>
      </c>
      <c r="H632" s="459">
        <f>H633</f>
        <v>909.3</v>
      </c>
      <c r="I632" s="201"/>
    </row>
    <row r="633" spans="1:9" ht="15.75" x14ac:dyDescent="0.25">
      <c r="A633" s="458" t="s">
        <v>274</v>
      </c>
      <c r="B633" s="452">
        <v>906</v>
      </c>
      <c r="C633" s="454" t="s">
        <v>264</v>
      </c>
      <c r="D633" s="454" t="s">
        <v>213</v>
      </c>
      <c r="E633" s="454" t="s">
        <v>1252</v>
      </c>
      <c r="F633" s="454" t="s">
        <v>275</v>
      </c>
      <c r="G633" s="459">
        <v>909.3</v>
      </c>
      <c r="H633" s="459">
        <v>909.3</v>
      </c>
      <c r="I633" s="201"/>
    </row>
    <row r="634" spans="1:9" ht="31.5" x14ac:dyDescent="0.25">
      <c r="A634" s="456" t="s">
        <v>1253</v>
      </c>
      <c r="B634" s="250">
        <v>906</v>
      </c>
      <c r="C634" s="457" t="s">
        <v>264</v>
      </c>
      <c r="D634" s="457" t="s">
        <v>213</v>
      </c>
      <c r="E634" s="457" t="s">
        <v>1238</v>
      </c>
      <c r="F634" s="457"/>
      <c r="G634" s="455">
        <f>G635+G638+G641+G644</f>
        <v>224</v>
      </c>
      <c r="H634" s="455">
        <f>H635+H638+H641+H644</f>
        <v>224</v>
      </c>
      <c r="I634" s="201"/>
    </row>
    <row r="635" spans="1:9" ht="31.5" hidden="1" x14ac:dyDescent="0.25">
      <c r="A635" s="458" t="s">
        <v>440</v>
      </c>
      <c r="B635" s="37">
        <v>906</v>
      </c>
      <c r="C635" s="454" t="s">
        <v>264</v>
      </c>
      <c r="D635" s="454" t="s">
        <v>213</v>
      </c>
      <c r="E635" s="454" t="s">
        <v>1318</v>
      </c>
      <c r="F635" s="454"/>
      <c r="G635" s="459">
        <f>'[1]Пр.5 ведом.21'!G623</f>
        <v>0</v>
      </c>
      <c r="H635" s="459">
        <f t="shared" ref="H635:H706" si="56">G635</f>
        <v>0</v>
      </c>
      <c r="I635" s="201"/>
    </row>
    <row r="636" spans="1:9" ht="31.5" hidden="1" x14ac:dyDescent="0.25">
      <c r="A636" s="458" t="s">
        <v>272</v>
      </c>
      <c r="B636" s="37">
        <v>906</v>
      </c>
      <c r="C636" s="454" t="s">
        <v>264</v>
      </c>
      <c r="D636" s="454" t="s">
        <v>213</v>
      </c>
      <c r="E636" s="454" t="s">
        <v>1318</v>
      </c>
      <c r="F636" s="454" t="s">
        <v>273</v>
      </c>
      <c r="G636" s="459">
        <f>'[1]Пр.5 ведом.21'!G624</f>
        <v>0</v>
      </c>
      <c r="H636" s="459">
        <f t="shared" si="56"/>
        <v>0</v>
      </c>
      <c r="I636" s="201"/>
    </row>
    <row r="637" spans="1:9" ht="15.75" hidden="1" x14ac:dyDescent="0.25">
      <c r="A637" s="458" t="s">
        <v>274</v>
      </c>
      <c r="B637" s="37">
        <v>906</v>
      </c>
      <c r="C637" s="454" t="s">
        <v>264</v>
      </c>
      <c r="D637" s="454" t="s">
        <v>213</v>
      </c>
      <c r="E637" s="454" t="s">
        <v>1318</v>
      </c>
      <c r="F637" s="454" t="s">
        <v>275</v>
      </c>
      <c r="G637" s="459">
        <f>'[1]Пр.5 ведом.21'!G625</f>
        <v>0</v>
      </c>
      <c r="H637" s="459">
        <f t="shared" si="56"/>
        <v>0</v>
      </c>
      <c r="I637" s="201"/>
    </row>
    <row r="638" spans="1:9" ht="31.5" hidden="1" x14ac:dyDescent="0.25">
      <c r="A638" s="458" t="s">
        <v>278</v>
      </c>
      <c r="B638" s="37">
        <v>906</v>
      </c>
      <c r="C638" s="454" t="s">
        <v>264</v>
      </c>
      <c r="D638" s="454" t="s">
        <v>213</v>
      </c>
      <c r="E638" s="454" t="s">
        <v>1319</v>
      </c>
      <c r="F638" s="454"/>
      <c r="G638" s="459">
        <f>'[1]Пр.5 ведом.21'!G626</f>
        <v>0</v>
      </c>
      <c r="H638" s="459">
        <f t="shared" si="56"/>
        <v>0</v>
      </c>
      <c r="I638" s="201"/>
    </row>
    <row r="639" spans="1:9" ht="31.5" hidden="1" x14ac:dyDescent="0.25">
      <c r="A639" s="458" t="s">
        <v>272</v>
      </c>
      <c r="B639" s="37">
        <v>906</v>
      </c>
      <c r="C639" s="454" t="s">
        <v>264</v>
      </c>
      <c r="D639" s="454" t="s">
        <v>213</v>
      </c>
      <c r="E639" s="454" t="s">
        <v>1319</v>
      </c>
      <c r="F639" s="454" t="s">
        <v>273</v>
      </c>
      <c r="G639" s="459">
        <f>'[1]Пр.5 ведом.21'!G627</f>
        <v>0</v>
      </c>
      <c r="H639" s="459">
        <f t="shared" si="56"/>
        <v>0</v>
      </c>
      <c r="I639" s="201"/>
    </row>
    <row r="640" spans="1:9" ht="15.75" hidden="1" x14ac:dyDescent="0.25">
      <c r="A640" s="458" t="s">
        <v>274</v>
      </c>
      <c r="B640" s="37">
        <v>906</v>
      </c>
      <c r="C640" s="454" t="s">
        <v>264</v>
      </c>
      <c r="D640" s="454" t="s">
        <v>213</v>
      </c>
      <c r="E640" s="454" t="s">
        <v>1319</v>
      </c>
      <c r="F640" s="454" t="s">
        <v>275</v>
      </c>
      <c r="G640" s="459">
        <f>'[1]Пр.5 ведом.21'!G628</f>
        <v>0</v>
      </c>
      <c r="H640" s="459">
        <f t="shared" si="56"/>
        <v>0</v>
      </c>
      <c r="I640" s="201"/>
    </row>
    <row r="641" spans="1:9" ht="31.5" hidden="1" x14ac:dyDescent="0.25">
      <c r="A641" s="458" t="s">
        <v>280</v>
      </c>
      <c r="B641" s="37">
        <v>906</v>
      </c>
      <c r="C641" s="454" t="s">
        <v>264</v>
      </c>
      <c r="D641" s="454" t="s">
        <v>213</v>
      </c>
      <c r="E641" s="454" t="s">
        <v>1320</v>
      </c>
      <c r="F641" s="454"/>
      <c r="G641" s="459">
        <f>'[1]Пр.5 ведом.21'!G629</f>
        <v>0</v>
      </c>
      <c r="H641" s="459">
        <f t="shared" si="56"/>
        <v>0</v>
      </c>
      <c r="I641" s="201"/>
    </row>
    <row r="642" spans="1:9" ht="31.5" hidden="1" x14ac:dyDescent="0.25">
      <c r="A642" s="458" t="s">
        <v>272</v>
      </c>
      <c r="B642" s="37">
        <v>906</v>
      </c>
      <c r="C642" s="454" t="s">
        <v>264</v>
      </c>
      <c r="D642" s="454" t="s">
        <v>213</v>
      </c>
      <c r="E642" s="454" t="s">
        <v>1320</v>
      </c>
      <c r="F642" s="454" t="s">
        <v>273</v>
      </c>
      <c r="G642" s="459">
        <f>'[1]Пр.5 ведом.21'!G630</f>
        <v>0</v>
      </c>
      <c r="H642" s="459">
        <f t="shared" si="56"/>
        <v>0</v>
      </c>
      <c r="I642" s="201"/>
    </row>
    <row r="643" spans="1:9" ht="15.75" hidden="1" x14ac:dyDescent="0.25">
      <c r="A643" s="458" t="s">
        <v>274</v>
      </c>
      <c r="B643" s="37">
        <v>906</v>
      </c>
      <c r="C643" s="454" t="s">
        <v>264</v>
      </c>
      <c r="D643" s="454" t="s">
        <v>213</v>
      </c>
      <c r="E643" s="454" t="s">
        <v>1320</v>
      </c>
      <c r="F643" s="454" t="s">
        <v>275</v>
      </c>
      <c r="G643" s="459">
        <f>'[1]Пр.5 ведом.21'!G631</f>
        <v>0</v>
      </c>
      <c r="H643" s="459">
        <f t="shared" si="56"/>
        <v>0</v>
      </c>
      <c r="I643" s="201"/>
    </row>
    <row r="644" spans="1:9" ht="31.5" x14ac:dyDescent="0.25">
      <c r="A644" s="458" t="s">
        <v>282</v>
      </c>
      <c r="B644" s="37">
        <v>906</v>
      </c>
      <c r="C644" s="454" t="s">
        <v>264</v>
      </c>
      <c r="D644" s="454" t="s">
        <v>213</v>
      </c>
      <c r="E644" s="454" t="s">
        <v>1254</v>
      </c>
      <c r="F644" s="454"/>
      <c r="G644" s="459">
        <f>G645</f>
        <v>224</v>
      </c>
      <c r="H644" s="459">
        <f>H645</f>
        <v>224</v>
      </c>
      <c r="I644" s="201"/>
    </row>
    <row r="645" spans="1:9" ht="31.5" x14ac:dyDescent="0.25">
      <c r="A645" s="458" t="s">
        <v>272</v>
      </c>
      <c r="B645" s="37">
        <v>906</v>
      </c>
      <c r="C645" s="454" t="s">
        <v>264</v>
      </c>
      <c r="D645" s="454" t="s">
        <v>213</v>
      </c>
      <c r="E645" s="454" t="s">
        <v>1254</v>
      </c>
      <c r="F645" s="454" t="s">
        <v>273</v>
      </c>
      <c r="G645" s="459">
        <f>G646</f>
        <v>224</v>
      </c>
      <c r="H645" s="459">
        <f>H646</f>
        <v>224</v>
      </c>
      <c r="I645" s="201"/>
    </row>
    <row r="646" spans="1:9" ht="15.75" x14ac:dyDescent="0.25">
      <c r="A646" s="458" t="s">
        <v>274</v>
      </c>
      <c r="B646" s="37">
        <v>906</v>
      </c>
      <c r="C646" s="454" t="s">
        <v>264</v>
      </c>
      <c r="D646" s="454" t="s">
        <v>213</v>
      </c>
      <c r="E646" s="454" t="s">
        <v>1254</v>
      </c>
      <c r="F646" s="454" t="s">
        <v>275</v>
      </c>
      <c r="G646" s="459">
        <f>224</f>
        <v>224</v>
      </c>
      <c r="H646" s="459">
        <f t="shared" si="56"/>
        <v>224</v>
      </c>
      <c r="I646" s="201"/>
    </row>
    <row r="647" spans="1:9" ht="31.5" x14ac:dyDescent="0.25">
      <c r="A647" s="214" t="s">
        <v>948</v>
      </c>
      <c r="B647" s="453">
        <v>906</v>
      </c>
      <c r="C647" s="457" t="s">
        <v>264</v>
      </c>
      <c r="D647" s="457" t="s">
        <v>213</v>
      </c>
      <c r="E647" s="457" t="s">
        <v>1241</v>
      </c>
      <c r="F647" s="457"/>
      <c r="G647" s="44">
        <f>G648+G651</f>
        <v>2888</v>
      </c>
      <c r="H647" s="44">
        <f>H648+H651</f>
        <v>2888</v>
      </c>
      <c r="I647" s="201"/>
    </row>
    <row r="648" spans="1:9" ht="31.5" hidden="1" x14ac:dyDescent="0.25">
      <c r="A648" s="458" t="s">
        <v>791</v>
      </c>
      <c r="B648" s="452">
        <v>906</v>
      </c>
      <c r="C648" s="454" t="s">
        <v>264</v>
      </c>
      <c r="D648" s="454" t="s">
        <v>213</v>
      </c>
      <c r="E648" s="454" t="s">
        <v>1259</v>
      </c>
      <c r="F648" s="454"/>
      <c r="G648" s="459">
        <f>'[1]Пр.5 ведом.21'!G636</f>
        <v>0</v>
      </c>
      <c r="H648" s="459">
        <f>G648</f>
        <v>0</v>
      </c>
      <c r="I648" s="201"/>
    </row>
    <row r="649" spans="1:9" ht="31.5" hidden="1" x14ac:dyDescent="0.25">
      <c r="A649" s="458" t="s">
        <v>272</v>
      </c>
      <c r="B649" s="452">
        <v>906</v>
      </c>
      <c r="C649" s="454" t="s">
        <v>264</v>
      </c>
      <c r="D649" s="454" t="s">
        <v>213</v>
      </c>
      <c r="E649" s="454" t="s">
        <v>1259</v>
      </c>
      <c r="F649" s="454" t="s">
        <v>273</v>
      </c>
      <c r="G649" s="459">
        <f>'[1]Пр.5 ведом.21'!G637</f>
        <v>0</v>
      </c>
      <c r="H649" s="459">
        <f>G649</f>
        <v>0</v>
      </c>
      <c r="I649" s="201"/>
    </row>
    <row r="650" spans="1:9" ht="15.75" hidden="1" x14ac:dyDescent="0.25">
      <c r="A650" s="458" t="s">
        <v>274</v>
      </c>
      <c r="B650" s="452">
        <v>906</v>
      </c>
      <c r="C650" s="454" t="s">
        <v>264</v>
      </c>
      <c r="D650" s="454" t="s">
        <v>213</v>
      </c>
      <c r="E650" s="454" t="s">
        <v>1259</v>
      </c>
      <c r="F650" s="454" t="s">
        <v>275</v>
      </c>
      <c r="G650" s="459">
        <f>'[1]Пр.5 ведом.21'!G638</f>
        <v>0</v>
      </c>
      <c r="H650" s="459">
        <f>G650</f>
        <v>0</v>
      </c>
      <c r="I650" s="201"/>
    </row>
    <row r="651" spans="1:9" ht="31.5" x14ac:dyDescent="0.25">
      <c r="A651" s="60" t="s">
        <v>764</v>
      </c>
      <c r="B651" s="452">
        <v>906</v>
      </c>
      <c r="C651" s="454" t="s">
        <v>264</v>
      </c>
      <c r="D651" s="454" t="s">
        <v>213</v>
      </c>
      <c r="E651" s="454" t="s">
        <v>1242</v>
      </c>
      <c r="F651" s="454"/>
      <c r="G651" s="459">
        <f>G652</f>
        <v>2888</v>
      </c>
      <c r="H651" s="459">
        <f>H652</f>
        <v>2888</v>
      </c>
      <c r="I651" s="201"/>
    </row>
    <row r="652" spans="1:9" ht="31.5" x14ac:dyDescent="0.25">
      <c r="A652" s="29" t="s">
        <v>272</v>
      </c>
      <c r="B652" s="452">
        <v>906</v>
      </c>
      <c r="C652" s="454" t="s">
        <v>264</v>
      </c>
      <c r="D652" s="454" t="s">
        <v>213</v>
      </c>
      <c r="E652" s="454" t="s">
        <v>1242</v>
      </c>
      <c r="F652" s="454" t="s">
        <v>273</v>
      </c>
      <c r="G652" s="459">
        <f>G653</f>
        <v>2888</v>
      </c>
      <c r="H652" s="459">
        <f>H653</f>
        <v>2888</v>
      </c>
      <c r="I652" s="201"/>
    </row>
    <row r="653" spans="1:9" ht="15.75" x14ac:dyDescent="0.25">
      <c r="A653" s="182" t="s">
        <v>274</v>
      </c>
      <c r="B653" s="452">
        <v>906</v>
      </c>
      <c r="C653" s="454" t="s">
        <v>264</v>
      </c>
      <c r="D653" s="454" t="s">
        <v>213</v>
      </c>
      <c r="E653" s="454" t="s">
        <v>1242</v>
      </c>
      <c r="F653" s="454" t="s">
        <v>275</v>
      </c>
      <c r="G653" s="459">
        <v>2888</v>
      </c>
      <c r="H653" s="459">
        <f>G653</f>
        <v>2888</v>
      </c>
      <c r="I653" s="201"/>
    </row>
    <row r="654" spans="1:9" ht="31.5" x14ac:dyDescent="0.25">
      <c r="A654" s="456" t="s">
        <v>938</v>
      </c>
      <c r="B654" s="250">
        <v>906</v>
      </c>
      <c r="C654" s="457" t="s">
        <v>264</v>
      </c>
      <c r="D654" s="457" t="s">
        <v>213</v>
      </c>
      <c r="E654" s="457" t="s">
        <v>1255</v>
      </c>
      <c r="F654" s="457"/>
      <c r="G654" s="455">
        <f t="shared" ref="G654:H656" si="57">G655</f>
        <v>3931.8</v>
      </c>
      <c r="H654" s="455">
        <f t="shared" si="57"/>
        <v>3865.2</v>
      </c>
      <c r="I654" s="201"/>
    </row>
    <row r="655" spans="1:9" ht="49.7" customHeight="1" x14ac:dyDescent="0.25">
      <c r="A655" s="29" t="s">
        <v>602</v>
      </c>
      <c r="B655" s="37">
        <v>906</v>
      </c>
      <c r="C655" s="454" t="s">
        <v>264</v>
      </c>
      <c r="D655" s="454" t="s">
        <v>213</v>
      </c>
      <c r="E655" s="454" t="s">
        <v>1256</v>
      </c>
      <c r="F655" s="454"/>
      <c r="G655" s="459">
        <f t="shared" si="57"/>
        <v>3931.8</v>
      </c>
      <c r="H655" s="459">
        <f t="shared" si="57"/>
        <v>3865.2</v>
      </c>
      <c r="I655" s="201"/>
    </row>
    <row r="656" spans="1:9" ht="31.5" x14ac:dyDescent="0.25">
      <c r="A656" s="458" t="s">
        <v>272</v>
      </c>
      <c r="B656" s="37">
        <v>906</v>
      </c>
      <c r="C656" s="454" t="s">
        <v>264</v>
      </c>
      <c r="D656" s="454" t="s">
        <v>213</v>
      </c>
      <c r="E656" s="454" t="s">
        <v>1256</v>
      </c>
      <c r="F656" s="454" t="s">
        <v>273</v>
      </c>
      <c r="G656" s="459">
        <f t="shared" si="57"/>
        <v>3931.8</v>
      </c>
      <c r="H656" s="459">
        <f t="shared" si="57"/>
        <v>3865.2</v>
      </c>
      <c r="I656" s="201"/>
    </row>
    <row r="657" spans="1:15" ht="15.75" x14ac:dyDescent="0.25">
      <c r="A657" s="458" t="s">
        <v>274</v>
      </c>
      <c r="B657" s="37">
        <v>906</v>
      </c>
      <c r="C657" s="454" t="s">
        <v>264</v>
      </c>
      <c r="D657" s="454" t="s">
        <v>213</v>
      </c>
      <c r="E657" s="454" t="s">
        <v>1256</v>
      </c>
      <c r="F657" s="454" t="s">
        <v>275</v>
      </c>
      <c r="G657" s="459">
        <v>3931.8</v>
      </c>
      <c r="H657" s="459">
        <v>3865.2</v>
      </c>
      <c r="I657" s="201"/>
    </row>
    <row r="658" spans="1:15" ht="31.5" x14ac:dyDescent="0.25">
      <c r="A658" s="456" t="s">
        <v>939</v>
      </c>
      <c r="B658" s="250">
        <v>906</v>
      </c>
      <c r="C658" s="457" t="s">
        <v>264</v>
      </c>
      <c r="D658" s="457" t="s">
        <v>213</v>
      </c>
      <c r="E658" s="457" t="s">
        <v>1257</v>
      </c>
      <c r="F658" s="457"/>
      <c r="G658" s="44">
        <f t="shared" ref="G658:H660" si="58">G659</f>
        <v>1384.6</v>
      </c>
      <c r="H658" s="44">
        <f t="shared" si="58"/>
        <v>1384.6</v>
      </c>
      <c r="I658" s="201"/>
    </row>
    <row r="659" spans="1:15" ht="47.25" x14ac:dyDescent="0.25">
      <c r="A659" s="458" t="s">
        <v>438</v>
      </c>
      <c r="B659" s="37">
        <v>906</v>
      </c>
      <c r="C659" s="454" t="s">
        <v>264</v>
      </c>
      <c r="D659" s="454" t="s">
        <v>213</v>
      </c>
      <c r="E659" s="454" t="s">
        <v>1258</v>
      </c>
      <c r="F659" s="454"/>
      <c r="G659" s="459">
        <f t="shared" si="58"/>
        <v>1384.6</v>
      </c>
      <c r="H659" s="459">
        <f t="shared" si="58"/>
        <v>1384.6</v>
      </c>
      <c r="I659" s="201"/>
    </row>
    <row r="660" spans="1:15" ht="31.5" x14ac:dyDescent="0.25">
      <c r="A660" s="458" t="s">
        <v>272</v>
      </c>
      <c r="B660" s="37">
        <v>906</v>
      </c>
      <c r="C660" s="454" t="s">
        <v>264</v>
      </c>
      <c r="D660" s="454" t="s">
        <v>213</v>
      </c>
      <c r="E660" s="454" t="s">
        <v>1258</v>
      </c>
      <c r="F660" s="454" t="s">
        <v>273</v>
      </c>
      <c r="G660" s="459">
        <f t="shared" si="58"/>
        <v>1384.6</v>
      </c>
      <c r="H660" s="459">
        <f t="shared" si="58"/>
        <v>1384.6</v>
      </c>
      <c r="I660" s="201"/>
    </row>
    <row r="661" spans="1:15" ht="15.75" x14ac:dyDescent="0.25">
      <c r="A661" s="458" t="s">
        <v>274</v>
      </c>
      <c r="B661" s="37">
        <v>906</v>
      </c>
      <c r="C661" s="454" t="s">
        <v>264</v>
      </c>
      <c r="D661" s="454" t="s">
        <v>213</v>
      </c>
      <c r="E661" s="454" t="s">
        <v>1258</v>
      </c>
      <c r="F661" s="454" t="s">
        <v>275</v>
      </c>
      <c r="G661" s="459">
        <v>1384.6</v>
      </c>
      <c r="H661" s="459">
        <v>1384.6</v>
      </c>
      <c r="I661" s="201"/>
    </row>
    <row r="662" spans="1:15" ht="31.5" x14ac:dyDescent="0.25">
      <c r="A662" s="212" t="s">
        <v>940</v>
      </c>
      <c r="B662" s="453">
        <v>906</v>
      </c>
      <c r="C662" s="457" t="s">
        <v>264</v>
      </c>
      <c r="D662" s="457" t="s">
        <v>213</v>
      </c>
      <c r="E662" s="457" t="s">
        <v>1260</v>
      </c>
      <c r="F662" s="457"/>
      <c r="G662" s="455">
        <f>G663+G666</f>
        <v>755.8</v>
      </c>
      <c r="H662" s="455">
        <f>H663+H666</f>
        <v>759</v>
      </c>
      <c r="I662" s="201"/>
    </row>
    <row r="663" spans="1:15" ht="50.25" customHeight="1" x14ac:dyDescent="0.25">
      <c r="A663" s="182" t="s">
        <v>828</v>
      </c>
      <c r="B663" s="452">
        <v>906</v>
      </c>
      <c r="C663" s="454" t="s">
        <v>264</v>
      </c>
      <c r="D663" s="454" t="s">
        <v>213</v>
      </c>
      <c r="E663" s="454" t="s">
        <v>1429</v>
      </c>
      <c r="F663" s="454"/>
      <c r="G663" s="459">
        <f>G664</f>
        <v>755.8</v>
      </c>
      <c r="H663" s="459">
        <f t="shared" ref="H663:H664" si="59">H664</f>
        <v>759</v>
      </c>
      <c r="I663" s="201"/>
    </row>
    <row r="664" spans="1:15" ht="31.5" x14ac:dyDescent="0.25">
      <c r="A664" s="31" t="s">
        <v>272</v>
      </c>
      <c r="B664" s="452">
        <v>906</v>
      </c>
      <c r="C664" s="454" t="s">
        <v>264</v>
      </c>
      <c r="D664" s="454" t="s">
        <v>213</v>
      </c>
      <c r="E664" s="454" t="s">
        <v>1429</v>
      </c>
      <c r="F664" s="454" t="s">
        <v>273</v>
      </c>
      <c r="G664" s="459">
        <f>G665</f>
        <v>755.8</v>
      </c>
      <c r="H664" s="459">
        <f t="shared" si="59"/>
        <v>759</v>
      </c>
      <c r="I664" s="201"/>
    </row>
    <row r="665" spans="1:15" ht="15.75" x14ac:dyDescent="0.25">
      <c r="A665" s="31" t="s">
        <v>274</v>
      </c>
      <c r="B665" s="452">
        <v>906</v>
      </c>
      <c r="C665" s="454" t="s">
        <v>264</v>
      </c>
      <c r="D665" s="454" t="s">
        <v>213</v>
      </c>
      <c r="E665" s="454" t="s">
        <v>1429</v>
      </c>
      <c r="F665" s="454" t="s">
        <v>275</v>
      </c>
      <c r="G665" s="459">
        <v>755.8</v>
      </c>
      <c r="H665" s="459">
        <v>759</v>
      </c>
      <c r="I665" s="201"/>
    </row>
    <row r="666" spans="1:15" ht="31.5" hidden="1" x14ac:dyDescent="0.25">
      <c r="A666" s="327" t="s">
        <v>1428</v>
      </c>
      <c r="B666" s="452">
        <v>906</v>
      </c>
      <c r="C666" s="454" t="s">
        <v>264</v>
      </c>
      <c r="D666" s="454" t="s">
        <v>213</v>
      </c>
      <c r="E666" s="454" t="s">
        <v>1430</v>
      </c>
      <c r="F666" s="454"/>
      <c r="G666" s="459">
        <f>G667</f>
        <v>0</v>
      </c>
      <c r="H666" s="459">
        <f>H667</f>
        <v>0</v>
      </c>
      <c r="I666" s="201"/>
    </row>
    <row r="667" spans="1:15" ht="31.5" hidden="1" x14ac:dyDescent="0.25">
      <c r="A667" s="31" t="s">
        <v>272</v>
      </c>
      <c r="B667" s="452">
        <v>906</v>
      </c>
      <c r="C667" s="454" t="s">
        <v>264</v>
      </c>
      <c r="D667" s="454" t="s">
        <v>213</v>
      </c>
      <c r="E667" s="454" t="s">
        <v>1430</v>
      </c>
      <c r="F667" s="454" t="s">
        <v>273</v>
      </c>
      <c r="G667" s="459">
        <f>G668</f>
        <v>0</v>
      </c>
      <c r="H667" s="459">
        <f>H668</f>
        <v>0</v>
      </c>
      <c r="I667" s="201"/>
    </row>
    <row r="668" spans="1:15" ht="15.75" hidden="1" x14ac:dyDescent="0.25">
      <c r="A668" s="31" t="s">
        <v>274</v>
      </c>
      <c r="B668" s="452">
        <v>906</v>
      </c>
      <c r="C668" s="454" t="s">
        <v>264</v>
      </c>
      <c r="D668" s="454" t="s">
        <v>213</v>
      </c>
      <c r="E668" s="454" t="s">
        <v>1430</v>
      </c>
      <c r="F668" s="454" t="s">
        <v>275</v>
      </c>
      <c r="G668" s="459">
        <v>0</v>
      </c>
      <c r="H668" s="459">
        <v>0</v>
      </c>
      <c r="I668" s="201"/>
    </row>
    <row r="669" spans="1:15" ht="31.5" x14ac:dyDescent="0.25">
      <c r="A669" s="288" t="s">
        <v>1408</v>
      </c>
      <c r="B669" s="453">
        <v>906</v>
      </c>
      <c r="C669" s="457" t="s">
        <v>264</v>
      </c>
      <c r="D669" s="457" t="s">
        <v>213</v>
      </c>
      <c r="E669" s="457" t="s">
        <v>1407</v>
      </c>
      <c r="F669" s="457"/>
      <c r="G669" s="455">
        <f t="shared" ref="G669:H671" si="60">G670</f>
        <v>5415.6500000000005</v>
      </c>
      <c r="H669" s="455">
        <f t="shared" si="60"/>
        <v>5142.4500000000007</v>
      </c>
      <c r="I669" s="201"/>
    </row>
    <row r="670" spans="1:15" ht="63" x14ac:dyDescent="0.25">
      <c r="A670" s="287" t="s">
        <v>1394</v>
      </c>
      <c r="B670" s="452">
        <v>906</v>
      </c>
      <c r="C670" s="454" t="s">
        <v>264</v>
      </c>
      <c r="D670" s="454" t="s">
        <v>213</v>
      </c>
      <c r="E670" s="454" t="s">
        <v>1454</v>
      </c>
      <c r="F670" s="454"/>
      <c r="G670" s="459">
        <f t="shared" si="60"/>
        <v>5415.6500000000005</v>
      </c>
      <c r="H670" s="459">
        <f t="shared" si="60"/>
        <v>5142.4500000000007</v>
      </c>
      <c r="I670" s="201"/>
    </row>
    <row r="671" spans="1:15" ht="37.35" customHeight="1" x14ac:dyDescent="0.25">
      <c r="A671" s="31" t="s">
        <v>272</v>
      </c>
      <c r="B671" s="452">
        <v>906</v>
      </c>
      <c r="C671" s="454" t="s">
        <v>264</v>
      </c>
      <c r="D671" s="454" t="s">
        <v>213</v>
      </c>
      <c r="E671" s="454" t="s">
        <v>1454</v>
      </c>
      <c r="F671" s="454" t="s">
        <v>273</v>
      </c>
      <c r="G671" s="459">
        <f t="shared" si="60"/>
        <v>5415.6500000000005</v>
      </c>
      <c r="H671" s="459">
        <f t="shared" si="60"/>
        <v>5142.4500000000007</v>
      </c>
      <c r="I671" s="201"/>
    </row>
    <row r="672" spans="1:15" ht="15.75" x14ac:dyDescent="0.25">
      <c r="A672" s="31" t="s">
        <v>274</v>
      </c>
      <c r="B672" s="452">
        <v>906</v>
      </c>
      <c r="C672" s="454" t="s">
        <v>264</v>
      </c>
      <c r="D672" s="454" t="s">
        <v>213</v>
      </c>
      <c r="E672" s="454" t="s">
        <v>1454</v>
      </c>
      <c r="F672" s="454" t="s">
        <v>275</v>
      </c>
      <c r="G672" s="459">
        <f>5193.6+222.05</f>
        <v>5415.6500000000005</v>
      </c>
      <c r="H672" s="459">
        <f>4931.6+210.85</f>
        <v>5142.4500000000007</v>
      </c>
      <c r="I672" s="201"/>
      <c r="L672" s="201"/>
      <c r="M672" s="201"/>
      <c r="N672" s="201"/>
      <c r="O672" s="201"/>
    </row>
    <row r="673" spans="1:15" ht="47.25" hidden="1" x14ac:dyDescent="0.25">
      <c r="A673" s="212" t="s">
        <v>1173</v>
      </c>
      <c r="B673" s="453">
        <v>906</v>
      </c>
      <c r="C673" s="457" t="s">
        <v>264</v>
      </c>
      <c r="D673" s="457" t="s">
        <v>213</v>
      </c>
      <c r="E673" s="457" t="s">
        <v>1321</v>
      </c>
      <c r="F673" s="457"/>
      <c r="G673" s="455">
        <f t="shared" ref="G673:H677" si="61">G674</f>
        <v>0</v>
      </c>
      <c r="H673" s="455">
        <f t="shared" si="61"/>
        <v>0</v>
      </c>
      <c r="I673" s="201"/>
    </row>
    <row r="674" spans="1:15" ht="47.25" hidden="1" x14ac:dyDescent="0.25">
      <c r="A674" s="182" t="s">
        <v>1181</v>
      </c>
      <c r="B674" s="452">
        <v>906</v>
      </c>
      <c r="C674" s="454" t="s">
        <v>264</v>
      </c>
      <c r="D674" s="454" t="s">
        <v>213</v>
      </c>
      <c r="E674" s="454" t="s">
        <v>1322</v>
      </c>
      <c r="F674" s="454"/>
      <c r="G674" s="459">
        <f t="shared" si="61"/>
        <v>0</v>
      </c>
      <c r="H674" s="459">
        <f t="shared" si="61"/>
        <v>0</v>
      </c>
      <c r="I674" s="201"/>
    </row>
    <row r="675" spans="1:15" ht="31.5" hidden="1" x14ac:dyDescent="0.25">
      <c r="A675" s="31" t="s">
        <v>272</v>
      </c>
      <c r="B675" s="452">
        <v>906</v>
      </c>
      <c r="C675" s="454" t="s">
        <v>264</v>
      </c>
      <c r="D675" s="454" t="s">
        <v>213</v>
      </c>
      <c r="E675" s="454" t="s">
        <v>1322</v>
      </c>
      <c r="F675" s="454" t="s">
        <v>273</v>
      </c>
      <c r="G675" s="459">
        <f t="shared" si="61"/>
        <v>0</v>
      </c>
      <c r="H675" s="459">
        <f t="shared" si="61"/>
        <v>0</v>
      </c>
      <c r="I675" s="201"/>
    </row>
    <row r="676" spans="1:15" ht="15.75" hidden="1" x14ac:dyDescent="0.25">
      <c r="A676" s="31" t="s">
        <v>274</v>
      </c>
      <c r="B676" s="452">
        <v>906</v>
      </c>
      <c r="C676" s="454" t="s">
        <v>264</v>
      </c>
      <c r="D676" s="454" t="s">
        <v>213</v>
      </c>
      <c r="E676" s="454" t="s">
        <v>1322</v>
      </c>
      <c r="F676" s="454" t="s">
        <v>275</v>
      </c>
      <c r="G676" s="459">
        <v>0</v>
      </c>
      <c r="H676" s="459">
        <f>G676</f>
        <v>0</v>
      </c>
      <c r="I676" s="201"/>
    </row>
    <row r="677" spans="1:15" ht="31.5" x14ac:dyDescent="0.25">
      <c r="A677" s="34" t="s">
        <v>1477</v>
      </c>
      <c r="B677" s="453">
        <v>906</v>
      </c>
      <c r="C677" s="457" t="s">
        <v>264</v>
      </c>
      <c r="D677" s="457" t="s">
        <v>213</v>
      </c>
      <c r="E677" s="457" t="s">
        <v>1475</v>
      </c>
      <c r="F677" s="457"/>
      <c r="G677" s="455">
        <f t="shared" si="61"/>
        <v>1749.4499999999998</v>
      </c>
      <c r="H677" s="455">
        <f t="shared" si="61"/>
        <v>2341</v>
      </c>
      <c r="I677" s="201"/>
    </row>
    <row r="678" spans="1:15" ht="54" customHeight="1" x14ac:dyDescent="0.25">
      <c r="A678" s="380" t="s">
        <v>1529</v>
      </c>
      <c r="B678" s="452">
        <v>906</v>
      </c>
      <c r="C678" s="454" t="s">
        <v>264</v>
      </c>
      <c r="D678" s="454" t="s">
        <v>213</v>
      </c>
      <c r="E678" s="454" t="s">
        <v>1476</v>
      </c>
      <c r="F678" s="454"/>
      <c r="G678" s="459">
        <f>G679</f>
        <v>1749.4499999999998</v>
      </c>
      <c r="H678" s="459">
        <f>H679</f>
        <v>2341</v>
      </c>
      <c r="I678" s="201"/>
    </row>
    <row r="679" spans="1:15" ht="31.5" x14ac:dyDescent="0.25">
      <c r="A679" s="31" t="s">
        <v>272</v>
      </c>
      <c r="B679" s="452">
        <v>906</v>
      </c>
      <c r="C679" s="454" t="s">
        <v>264</v>
      </c>
      <c r="D679" s="454" t="s">
        <v>213</v>
      </c>
      <c r="E679" s="454" t="s">
        <v>1476</v>
      </c>
      <c r="F679" s="454" t="s">
        <v>273</v>
      </c>
      <c r="G679" s="459">
        <f>G680</f>
        <v>1749.4499999999998</v>
      </c>
      <c r="H679" s="459">
        <f>H680</f>
        <v>2341</v>
      </c>
      <c r="I679" s="201"/>
    </row>
    <row r="680" spans="1:15" ht="15.75" x14ac:dyDescent="0.25">
      <c r="A680" s="31" t="s">
        <v>274</v>
      </c>
      <c r="B680" s="452">
        <v>906</v>
      </c>
      <c r="C680" s="454" t="s">
        <v>264</v>
      </c>
      <c r="D680" s="454" t="s">
        <v>213</v>
      </c>
      <c r="E680" s="454" t="s">
        <v>1476</v>
      </c>
      <c r="F680" s="454" t="s">
        <v>275</v>
      </c>
      <c r="G680" s="459">
        <f>1644.1+33.6+71.75</f>
        <v>1749.4499999999998</v>
      </c>
      <c r="H680" s="459">
        <f>2200+45+96</f>
        <v>2341</v>
      </c>
      <c r="I680" s="201"/>
      <c r="L680" s="201"/>
      <c r="M680" s="201"/>
      <c r="N680" s="201"/>
      <c r="O680" s="201"/>
    </row>
    <row r="681" spans="1:15" ht="47.25" x14ac:dyDescent="0.25">
      <c r="A681" s="34" t="s">
        <v>1360</v>
      </c>
      <c r="B681" s="453">
        <v>906</v>
      </c>
      <c r="C681" s="457" t="s">
        <v>264</v>
      </c>
      <c r="D681" s="457" t="s">
        <v>213</v>
      </c>
      <c r="E681" s="457" t="s">
        <v>324</v>
      </c>
      <c r="F681" s="457"/>
      <c r="G681" s="455">
        <f t="shared" ref="G681:H684" si="62">G682</f>
        <v>60</v>
      </c>
      <c r="H681" s="455">
        <f t="shared" si="62"/>
        <v>70</v>
      </c>
      <c r="I681" s="201"/>
    </row>
    <row r="682" spans="1:15" ht="63" x14ac:dyDescent="0.25">
      <c r="A682" s="34" t="s">
        <v>1024</v>
      </c>
      <c r="B682" s="453">
        <v>906</v>
      </c>
      <c r="C682" s="457" t="s">
        <v>264</v>
      </c>
      <c r="D682" s="457" t="s">
        <v>213</v>
      </c>
      <c r="E682" s="457" t="s">
        <v>934</v>
      </c>
      <c r="F682" s="457"/>
      <c r="G682" s="455">
        <f t="shared" si="62"/>
        <v>60</v>
      </c>
      <c r="H682" s="455">
        <f t="shared" si="62"/>
        <v>70</v>
      </c>
      <c r="I682" s="201"/>
    </row>
    <row r="683" spans="1:15" ht="47.25" x14ac:dyDescent="0.25">
      <c r="A683" s="31" t="s">
        <v>1082</v>
      </c>
      <c r="B683" s="452">
        <v>906</v>
      </c>
      <c r="C683" s="454" t="s">
        <v>264</v>
      </c>
      <c r="D683" s="454" t="s">
        <v>213</v>
      </c>
      <c r="E683" s="454" t="s">
        <v>935</v>
      </c>
      <c r="F683" s="454"/>
      <c r="G683" s="459">
        <f t="shared" si="62"/>
        <v>60</v>
      </c>
      <c r="H683" s="459">
        <f t="shared" si="62"/>
        <v>70</v>
      </c>
      <c r="I683" s="201"/>
    </row>
    <row r="684" spans="1:15" ht="31.5" x14ac:dyDescent="0.25">
      <c r="A684" s="31" t="s">
        <v>272</v>
      </c>
      <c r="B684" s="452">
        <v>906</v>
      </c>
      <c r="C684" s="454" t="s">
        <v>264</v>
      </c>
      <c r="D684" s="454" t="s">
        <v>213</v>
      </c>
      <c r="E684" s="454" t="s">
        <v>935</v>
      </c>
      <c r="F684" s="454" t="s">
        <v>273</v>
      </c>
      <c r="G684" s="459">
        <f t="shared" si="62"/>
        <v>60</v>
      </c>
      <c r="H684" s="459">
        <f t="shared" si="62"/>
        <v>70</v>
      </c>
      <c r="I684" s="201"/>
    </row>
    <row r="685" spans="1:15" ht="15.75" x14ac:dyDescent="0.25">
      <c r="A685" s="31" t="s">
        <v>274</v>
      </c>
      <c r="B685" s="452">
        <v>906</v>
      </c>
      <c r="C685" s="454" t="s">
        <v>264</v>
      </c>
      <c r="D685" s="454" t="s">
        <v>213</v>
      </c>
      <c r="E685" s="454" t="s">
        <v>935</v>
      </c>
      <c r="F685" s="454" t="s">
        <v>275</v>
      </c>
      <c r="G685" s="459">
        <v>60</v>
      </c>
      <c r="H685" s="459">
        <v>70</v>
      </c>
      <c r="I685" s="201"/>
    </row>
    <row r="686" spans="1:15" ht="47.25" x14ac:dyDescent="0.25">
      <c r="A686" s="462" t="s">
        <v>1355</v>
      </c>
      <c r="B686" s="453">
        <v>906</v>
      </c>
      <c r="C686" s="457" t="s">
        <v>264</v>
      </c>
      <c r="D686" s="457" t="s">
        <v>213</v>
      </c>
      <c r="E686" s="457" t="s">
        <v>705</v>
      </c>
      <c r="F686" s="465"/>
      <c r="G686" s="455">
        <f t="shared" ref="G686:H689" si="63">G687</f>
        <v>870.5</v>
      </c>
      <c r="H686" s="455">
        <f t="shared" si="63"/>
        <v>905.3</v>
      </c>
      <c r="I686" s="201"/>
    </row>
    <row r="687" spans="1:15" ht="47.25" x14ac:dyDescent="0.25">
      <c r="A687" s="462" t="s">
        <v>890</v>
      </c>
      <c r="B687" s="453">
        <v>906</v>
      </c>
      <c r="C687" s="457" t="s">
        <v>264</v>
      </c>
      <c r="D687" s="457" t="s">
        <v>213</v>
      </c>
      <c r="E687" s="457" t="s">
        <v>888</v>
      </c>
      <c r="F687" s="465"/>
      <c r="G687" s="455">
        <f t="shared" si="63"/>
        <v>870.5</v>
      </c>
      <c r="H687" s="455">
        <f t="shared" si="63"/>
        <v>905.3</v>
      </c>
      <c r="I687" s="201"/>
    </row>
    <row r="688" spans="1:15" ht="47.25" x14ac:dyDescent="0.25">
      <c r="A688" s="98" t="s">
        <v>780</v>
      </c>
      <c r="B688" s="452">
        <v>906</v>
      </c>
      <c r="C688" s="454" t="s">
        <v>264</v>
      </c>
      <c r="D688" s="454" t="s">
        <v>213</v>
      </c>
      <c r="E688" s="454" t="s">
        <v>936</v>
      </c>
      <c r="F688" s="460"/>
      <c r="G688" s="459">
        <f t="shared" si="63"/>
        <v>870.5</v>
      </c>
      <c r="H688" s="459">
        <f t="shared" si="63"/>
        <v>905.3</v>
      </c>
      <c r="I688" s="201"/>
    </row>
    <row r="689" spans="1:9" ht="31.5" x14ac:dyDescent="0.25">
      <c r="A689" s="29" t="s">
        <v>272</v>
      </c>
      <c r="B689" s="452">
        <v>906</v>
      </c>
      <c r="C689" s="454" t="s">
        <v>264</v>
      </c>
      <c r="D689" s="454" t="s">
        <v>213</v>
      </c>
      <c r="E689" s="454" t="s">
        <v>936</v>
      </c>
      <c r="F689" s="460" t="s">
        <v>273</v>
      </c>
      <c r="G689" s="459">
        <f t="shared" si="63"/>
        <v>870.5</v>
      </c>
      <c r="H689" s="459">
        <f t="shared" si="63"/>
        <v>905.3</v>
      </c>
      <c r="I689" s="201"/>
    </row>
    <row r="690" spans="1:9" ht="15.75" x14ac:dyDescent="0.25">
      <c r="A690" s="182" t="s">
        <v>274</v>
      </c>
      <c r="B690" s="452">
        <v>906</v>
      </c>
      <c r="C690" s="454" t="s">
        <v>264</v>
      </c>
      <c r="D690" s="454" t="s">
        <v>213</v>
      </c>
      <c r="E690" s="454" t="s">
        <v>936</v>
      </c>
      <c r="F690" s="460" t="s">
        <v>275</v>
      </c>
      <c r="G690" s="459">
        <v>870.5</v>
      </c>
      <c r="H690" s="459">
        <v>905.3</v>
      </c>
      <c r="I690" s="201"/>
    </row>
    <row r="691" spans="1:9" ht="15.75" x14ac:dyDescent="0.25">
      <c r="A691" s="456" t="s">
        <v>265</v>
      </c>
      <c r="B691" s="453">
        <v>906</v>
      </c>
      <c r="C691" s="457" t="s">
        <v>264</v>
      </c>
      <c r="D691" s="457" t="s">
        <v>215</v>
      </c>
      <c r="E691" s="457"/>
      <c r="F691" s="457"/>
      <c r="G691" s="44">
        <f>G692+G715</f>
        <v>41051.5</v>
      </c>
      <c r="H691" s="44">
        <f>H692+H715</f>
        <v>41063.700000000004</v>
      </c>
      <c r="I691" s="201"/>
    </row>
    <row r="692" spans="1:9" ht="39.75" customHeight="1" x14ac:dyDescent="0.25">
      <c r="A692" s="456" t="s">
        <v>1361</v>
      </c>
      <c r="B692" s="453">
        <v>906</v>
      </c>
      <c r="C692" s="457" t="s">
        <v>264</v>
      </c>
      <c r="D692" s="457" t="s">
        <v>215</v>
      </c>
      <c r="E692" s="457" t="s">
        <v>406</v>
      </c>
      <c r="F692" s="457"/>
      <c r="G692" s="44">
        <f>G693+G697+G711</f>
        <v>40748.800000000003</v>
      </c>
      <c r="H692" s="44">
        <f>H693+H697+H711</f>
        <v>40748.800000000003</v>
      </c>
      <c r="I692" s="201"/>
    </row>
    <row r="693" spans="1:9" ht="31.5" x14ac:dyDescent="0.25">
      <c r="A693" s="456" t="s">
        <v>937</v>
      </c>
      <c r="B693" s="453">
        <v>906</v>
      </c>
      <c r="C693" s="457" t="s">
        <v>264</v>
      </c>
      <c r="D693" s="457" t="s">
        <v>215</v>
      </c>
      <c r="E693" s="457" t="s">
        <v>1231</v>
      </c>
      <c r="F693" s="457"/>
      <c r="G693" s="44">
        <f t="shared" ref="G693:H695" si="64">G694</f>
        <v>37056.300000000003</v>
      </c>
      <c r="H693" s="44">
        <f t="shared" si="64"/>
        <v>37056.300000000003</v>
      </c>
      <c r="I693" s="201"/>
    </row>
    <row r="694" spans="1:9" ht="47.25" x14ac:dyDescent="0.25">
      <c r="A694" s="458" t="s">
        <v>270</v>
      </c>
      <c r="B694" s="452">
        <v>906</v>
      </c>
      <c r="C694" s="454" t="s">
        <v>264</v>
      </c>
      <c r="D694" s="454" t="s">
        <v>215</v>
      </c>
      <c r="E694" s="454" t="s">
        <v>1261</v>
      </c>
      <c r="F694" s="454"/>
      <c r="G694" s="459">
        <f t="shared" si="64"/>
        <v>37056.300000000003</v>
      </c>
      <c r="H694" s="459">
        <f t="shared" si="64"/>
        <v>37056.300000000003</v>
      </c>
      <c r="I694" s="201"/>
    </row>
    <row r="695" spans="1:9" ht="31.5" x14ac:dyDescent="0.25">
      <c r="A695" s="458" t="s">
        <v>272</v>
      </c>
      <c r="B695" s="452">
        <v>906</v>
      </c>
      <c r="C695" s="454" t="s">
        <v>264</v>
      </c>
      <c r="D695" s="454" t="s">
        <v>215</v>
      </c>
      <c r="E695" s="454" t="s">
        <v>1261</v>
      </c>
      <c r="F695" s="454" t="s">
        <v>273</v>
      </c>
      <c r="G695" s="459">
        <f t="shared" si="64"/>
        <v>37056.300000000003</v>
      </c>
      <c r="H695" s="459">
        <f t="shared" si="64"/>
        <v>37056.300000000003</v>
      </c>
      <c r="I695" s="201"/>
    </row>
    <row r="696" spans="1:9" ht="15.75" x14ac:dyDescent="0.25">
      <c r="A696" s="458" t="s">
        <v>274</v>
      </c>
      <c r="B696" s="452">
        <v>906</v>
      </c>
      <c r="C696" s="454" t="s">
        <v>264</v>
      </c>
      <c r="D696" s="454" t="s">
        <v>215</v>
      </c>
      <c r="E696" s="454" t="s">
        <v>1261</v>
      </c>
      <c r="F696" s="454" t="s">
        <v>275</v>
      </c>
      <c r="G696" s="459">
        <v>37056.300000000003</v>
      </c>
      <c r="H696" s="459">
        <f t="shared" si="56"/>
        <v>37056.300000000003</v>
      </c>
      <c r="I696" s="201"/>
    </row>
    <row r="697" spans="1:9" ht="47.25" x14ac:dyDescent="0.25">
      <c r="A697" s="456" t="s">
        <v>900</v>
      </c>
      <c r="B697" s="453">
        <v>906</v>
      </c>
      <c r="C697" s="457" t="s">
        <v>264</v>
      </c>
      <c r="D697" s="457" t="s">
        <v>215</v>
      </c>
      <c r="E697" s="457" t="s">
        <v>1233</v>
      </c>
      <c r="F697" s="457"/>
      <c r="G697" s="44">
        <f>G701+G704+G698</f>
        <v>2128.5</v>
      </c>
      <c r="H697" s="44">
        <f>H701+H704+H698</f>
        <v>2128.5</v>
      </c>
      <c r="I697" s="201"/>
    </row>
    <row r="698" spans="1:9" ht="94.5" x14ac:dyDescent="0.25">
      <c r="A698" s="31" t="s">
        <v>293</v>
      </c>
      <c r="B698" s="452">
        <v>906</v>
      </c>
      <c r="C698" s="454" t="s">
        <v>264</v>
      </c>
      <c r="D698" s="454" t="s">
        <v>215</v>
      </c>
      <c r="E698" s="454" t="s">
        <v>1393</v>
      </c>
      <c r="F698" s="454"/>
      <c r="G698" s="459">
        <f>G699</f>
        <v>1400</v>
      </c>
      <c r="H698" s="459">
        <f>H699</f>
        <v>1400</v>
      </c>
      <c r="I698" s="201"/>
    </row>
    <row r="699" spans="1:9" ht="31.5" x14ac:dyDescent="0.25">
      <c r="A699" s="458" t="s">
        <v>272</v>
      </c>
      <c r="B699" s="452">
        <v>906</v>
      </c>
      <c r="C699" s="454" t="s">
        <v>264</v>
      </c>
      <c r="D699" s="454" t="s">
        <v>215</v>
      </c>
      <c r="E699" s="454" t="s">
        <v>1393</v>
      </c>
      <c r="F699" s="454" t="s">
        <v>273</v>
      </c>
      <c r="G699" s="459">
        <f>G700</f>
        <v>1400</v>
      </c>
      <c r="H699" s="459">
        <f>H700</f>
        <v>1400</v>
      </c>
      <c r="I699" s="201"/>
    </row>
    <row r="700" spans="1:9" ht="15.75" x14ac:dyDescent="0.25">
      <c r="A700" s="458" t="s">
        <v>274</v>
      </c>
      <c r="B700" s="452">
        <v>906</v>
      </c>
      <c r="C700" s="454" t="s">
        <v>264</v>
      </c>
      <c r="D700" s="454" t="s">
        <v>215</v>
      </c>
      <c r="E700" s="454" t="s">
        <v>1393</v>
      </c>
      <c r="F700" s="454" t="s">
        <v>275</v>
      </c>
      <c r="G700" s="459">
        <v>1400</v>
      </c>
      <c r="H700" s="459">
        <f>G700</f>
        <v>1400</v>
      </c>
      <c r="I700" s="201"/>
    </row>
    <row r="701" spans="1:9" ht="63" x14ac:dyDescent="0.25">
      <c r="A701" s="31" t="s">
        <v>289</v>
      </c>
      <c r="B701" s="452">
        <v>906</v>
      </c>
      <c r="C701" s="454" t="s">
        <v>264</v>
      </c>
      <c r="D701" s="454" t="s">
        <v>215</v>
      </c>
      <c r="E701" s="454" t="s">
        <v>1234</v>
      </c>
      <c r="F701" s="454"/>
      <c r="G701" s="459">
        <f>G702</f>
        <v>179</v>
      </c>
      <c r="H701" s="459">
        <f>H702</f>
        <v>179</v>
      </c>
      <c r="I701" s="201"/>
    </row>
    <row r="702" spans="1:9" ht="31.5" x14ac:dyDescent="0.25">
      <c r="A702" s="458" t="s">
        <v>272</v>
      </c>
      <c r="B702" s="452">
        <v>906</v>
      </c>
      <c r="C702" s="454" t="s">
        <v>264</v>
      </c>
      <c r="D702" s="454" t="s">
        <v>215</v>
      </c>
      <c r="E702" s="454" t="s">
        <v>1234</v>
      </c>
      <c r="F702" s="454" t="s">
        <v>273</v>
      </c>
      <c r="G702" s="459">
        <f>G703</f>
        <v>179</v>
      </c>
      <c r="H702" s="459">
        <f>H703</f>
        <v>179</v>
      </c>
      <c r="I702" s="201"/>
    </row>
    <row r="703" spans="1:9" ht="15.75" x14ac:dyDescent="0.25">
      <c r="A703" s="458" t="s">
        <v>274</v>
      </c>
      <c r="B703" s="452">
        <v>906</v>
      </c>
      <c r="C703" s="454" t="s">
        <v>264</v>
      </c>
      <c r="D703" s="454" t="s">
        <v>215</v>
      </c>
      <c r="E703" s="454" t="s">
        <v>1234</v>
      </c>
      <c r="F703" s="454" t="s">
        <v>275</v>
      </c>
      <c r="G703" s="459">
        <v>179</v>
      </c>
      <c r="H703" s="459">
        <f t="shared" si="56"/>
        <v>179</v>
      </c>
      <c r="I703" s="201"/>
    </row>
    <row r="704" spans="1:9" ht="63" x14ac:dyDescent="0.25">
      <c r="A704" s="31" t="s">
        <v>291</v>
      </c>
      <c r="B704" s="452">
        <v>906</v>
      </c>
      <c r="C704" s="454" t="s">
        <v>264</v>
      </c>
      <c r="D704" s="454" t="s">
        <v>215</v>
      </c>
      <c r="E704" s="454" t="s">
        <v>1235</v>
      </c>
      <c r="F704" s="454"/>
      <c r="G704" s="459">
        <f>G705</f>
        <v>549.5</v>
      </c>
      <c r="H704" s="459">
        <f>H705</f>
        <v>549.5</v>
      </c>
      <c r="I704" s="201"/>
    </row>
    <row r="705" spans="1:9" ht="31.5" x14ac:dyDescent="0.25">
      <c r="A705" s="458" t="s">
        <v>272</v>
      </c>
      <c r="B705" s="452">
        <v>906</v>
      </c>
      <c r="C705" s="454" t="s">
        <v>264</v>
      </c>
      <c r="D705" s="454" t="s">
        <v>215</v>
      </c>
      <c r="E705" s="454" t="s">
        <v>1235</v>
      </c>
      <c r="F705" s="454" t="s">
        <v>273</v>
      </c>
      <c r="G705" s="459">
        <f>G706</f>
        <v>549.5</v>
      </c>
      <c r="H705" s="459">
        <f>H706</f>
        <v>549.5</v>
      </c>
      <c r="I705" s="201"/>
    </row>
    <row r="706" spans="1:9" ht="15.75" x14ac:dyDescent="0.25">
      <c r="A706" s="458" t="s">
        <v>274</v>
      </c>
      <c r="B706" s="452">
        <v>906</v>
      </c>
      <c r="C706" s="454" t="s">
        <v>264</v>
      </c>
      <c r="D706" s="454" t="s">
        <v>215</v>
      </c>
      <c r="E706" s="454" t="s">
        <v>1235</v>
      </c>
      <c r="F706" s="454" t="s">
        <v>275</v>
      </c>
      <c r="G706" s="459">
        <f>549.5</f>
        <v>549.5</v>
      </c>
      <c r="H706" s="459">
        <f t="shared" si="56"/>
        <v>549.5</v>
      </c>
      <c r="I706" s="201"/>
    </row>
    <row r="707" spans="1:9" ht="31.5" hidden="1" x14ac:dyDescent="0.25">
      <c r="A707" s="456" t="s">
        <v>941</v>
      </c>
      <c r="B707" s="453">
        <v>906</v>
      </c>
      <c r="C707" s="457" t="s">
        <v>264</v>
      </c>
      <c r="D707" s="457" t="s">
        <v>215</v>
      </c>
      <c r="E707" s="457" t="s">
        <v>1058</v>
      </c>
      <c r="F707" s="457"/>
      <c r="G707" s="44">
        <f>G708</f>
        <v>0</v>
      </c>
      <c r="H707" s="44">
        <f>H708</f>
        <v>0</v>
      </c>
      <c r="I707" s="201"/>
    </row>
    <row r="708" spans="1:9" ht="31.5" hidden="1" x14ac:dyDescent="0.25">
      <c r="A708" s="45" t="s">
        <v>766</v>
      </c>
      <c r="B708" s="452">
        <v>906</v>
      </c>
      <c r="C708" s="454" t="s">
        <v>264</v>
      </c>
      <c r="D708" s="454" t="s">
        <v>215</v>
      </c>
      <c r="E708" s="454" t="s">
        <v>1059</v>
      </c>
      <c r="F708" s="454"/>
      <c r="G708" s="459">
        <f>'[1]Пр.5 ведом.21'!G700</f>
        <v>0</v>
      </c>
      <c r="H708" s="459">
        <f t="shared" ref="H708:H770" si="65">G708</f>
        <v>0</v>
      </c>
      <c r="I708" s="201"/>
    </row>
    <row r="709" spans="1:9" ht="31.5" hidden="1" x14ac:dyDescent="0.25">
      <c r="A709" s="31" t="s">
        <v>272</v>
      </c>
      <c r="B709" s="452">
        <v>906</v>
      </c>
      <c r="C709" s="454" t="s">
        <v>264</v>
      </c>
      <c r="D709" s="454" t="s">
        <v>215</v>
      </c>
      <c r="E709" s="454" t="s">
        <v>1059</v>
      </c>
      <c r="F709" s="454" t="s">
        <v>273</v>
      </c>
      <c r="G709" s="459">
        <f>'[1]Пр.5 ведом.21'!G701</f>
        <v>0</v>
      </c>
      <c r="H709" s="459">
        <f t="shared" si="65"/>
        <v>0</v>
      </c>
      <c r="I709" s="201"/>
    </row>
    <row r="710" spans="1:9" ht="15.75" hidden="1" x14ac:dyDescent="0.25">
      <c r="A710" s="31" t="s">
        <v>274</v>
      </c>
      <c r="B710" s="452">
        <v>906</v>
      </c>
      <c r="C710" s="454" t="s">
        <v>264</v>
      </c>
      <c r="D710" s="454" t="s">
        <v>215</v>
      </c>
      <c r="E710" s="454" t="s">
        <v>1059</v>
      </c>
      <c r="F710" s="454" t="s">
        <v>275</v>
      </c>
      <c r="G710" s="459">
        <f>'[1]Пр.5 ведом.21'!G702</f>
        <v>0</v>
      </c>
      <c r="H710" s="459">
        <f t="shared" si="65"/>
        <v>0</v>
      </c>
      <c r="I710" s="201"/>
    </row>
    <row r="711" spans="1:9" ht="31.5" x14ac:dyDescent="0.25">
      <c r="A711" s="214" t="s">
        <v>948</v>
      </c>
      <c r="B711" s="453">
        <v>906</v>
      </c>
      <c r="C711" s="457" t="s">
        <v>264</v>
      </c>
      <c r="D711" s="457" t="s">
        <v>215</v>
      </c>
      <c r="E711" s="457" t="s">
        <v>1241</v>
      </c>
      <c r="F711" s="457"/>
      <c r="G711" s="44">
        <f t="shared" ref="G711:H713" si="66">G712</f>
        <v>1564</v>
      </c>
      <c r="H711" s="44">
        <f t="shared" si="66"/>
        <v>1564</v>
      </c>
      <c r="I711" s="201"/>
    </row>
    <row r="712" spans="1:9" ht="31.5" x14ac:dyDescent="0.25">
      <c r="A712" s="45" t="s">
        <v>764</v>
      </c>
      <c r="B712" s="452">
        <v>906</v>
      </c>
      <c r="C712" s="454" t="s">
        <v>264</v>
      </c>
      <c r="D712" s="454" t="s">
        <v>215</v>
      </c>
      <c r="E712" s="454" t="s">
        <v>1242</v>
      </c>
      <c r="F712" s="454"/>
      <c r="G712" s="459">
        <f t="shared" si="66"/>
        <v>1564</v>
      </c>
      <c r="H712" s="459">
        <f t="shared" si="66"/>
        <v>1564</v>
      </c>
      <c r="I712" s="201"/>
    </row>
    <row r="713" spans="1:9" ht="31.5" x14ac:dyDescent="0.25">
      <c r="A713" s="458" t="s">
        <v>272</v>
      </c>
      <c r="B713" s="452">
        <v>906</v>
      </c>
      <c r="C713" s="454" t="s">
        <v>264</v>
      </c>
      <c r="D713" s="454" t="s">
        <v>215</v>
      </c>
      <c r="E713" s="454" t="s">
        <v>1242</v>
      </c>
      <c r="F713" s="454" t="s">
        <v>273</v>
      </c>
      <c r="G713" s="459">
        <f t="shared" si="66"/>
        <v>1564</v>
      </c>
      <c r="H713" s="459">
        <f t="shared" si="66"/>
        <v>1564</v>
      </c>
      <c r="I713" s="201"/>
    </row>
    <row r="714" spans="1:9" ht="15.75" x14ac:dyDescent="0.25">
      <c r="A714" s="31" t="s">
        <v>274</v>
      </c>
      <c r="B714" s="452">
        <v>906</v>
      </c>
      <c r="C714" s="454" t="s">
        <v>264</v>
      </c>
      <c r="D714" s="454" t="s">
        <v>215</v>
      </c>
      <c r="E714" s="454" t="s">
        <v>1242</v>
      </c>
      <c r="F714" s="454" t="s">
        <v>275</v>
      </c>
      <c r="G714" s="459">
        <v>1564</v>
      </c>
      <c r="H714" s="459">
        <v>1564</v>
      </c>
      <c r="I714" s="201"/>
    </row>
    <row r="715" spans="1:9" ht="47.25" x14ac:dyDescent="0.25">
      <c r="A715" s="462" t="s">
        <v>1353</v>
      </c>
      <c r="B715" s="453">
        <v>906</v>
      </c>
      <c r="C715" s="457" t="s">
        <v>264</v>
      </c>
      <c r="D715" s="457" t="s">
        <v>215</v>
      </c>
      <c r="E715" s="457" t="s">
        <v>705</v>
      </c>
      <c r="F715" s="465"/>
      <c r="G715" s="44">
        <f>G717</f>
        <v>302.7</v>
      </c>
      <c r="H715" s="44">
        <f>H717</f>
        <v>314.89999999999998</v>
      </c>
      <c r="I715" s="201"/>
    </row>
    <row r="716" spans="1:9" ht="47.25" x14ac:dyDescent="0.25">
      <c r="A716" s="462" t="s">
        <v>890</v>
      </c>
      <c r="B716" s="453">
        <v>906</v>
      </c>
      <c r="C716" s="457" t="s">
        <v>264</v>
      </c>
      <c r="D716" s="457" t="s">
        <v>942</v>
      </c>
      <c r="E716" s="457" t="s">
        <v>888</v>
      </c>
      <c r="F716" s="465"/>
      <c r="G716" s="44">
        <f t="shared" ref="G716:H718" si="67">G717</f>
        <v>302.7</v>
      </c>
      <c r="H716" s="44">
        <f t="shared" si="67"/>
        <v>314.89999999999998</v>
      </c>
      <c r="I716" s="201"/>
    </row>
    <row r="717" spans="1:9" ht="47.25" x14ac:dyDescent="0.25">
      <c r="A717" s="98" t="s">
        <v>780</v>
      </c>
      <c r="B717" s="452">
        <v>906</v>
      </c>
      <c r="C717" s="454" t="s">
        <v>264</v>
      </c>
      <c r="D717" s="454" t="s">
        <v>215</v>
      </c>
      <c r="E717" s="454" t="s">
        <v>936</v>
      </c>
      <c r="F717" s="460"/>
      <c r="G717" s="459">
        <f t="shared" si="67"/>
        <v>302.7</v>
      </c>
      <c r="H717" s="459">
        <f t="shared" si="67"/>
        <v>314.89999999999998</v>
      </c>
      <c r="I717" s="201"/>
    </row>
    <row r="718" spans="1:9" ht="31.5" x14ac:dyDescent="0.25">
      <c r="A718" s="29" t="s">
        <v>272</v>
      </c>
      <c r="B718" s="452">
        <v>906</v>
      </c>
      <c r="C718" s="454" t="s">
        <v>264</v>
      </c>
      <c r="D718" s="454" t="s">
        <v>215</v>
      </c>
      <c r="E718" s="454" t="s">
        <v>936</v>
      </c>
      <c r="F718" s="460" t="s">
        <v>273</v>
      </c>
      <c r="G718" s="459">
        <f t="shared" si="67"/>
        <v>302.7</v>
      </c>
      <c r="H718" s="459">
        <f t="shared" si="67"/>
        <v>314.89999999999998</v>
      </c>
      <c r="I718" s="201"/>
    </row>
    <row r="719" spans="1:9" ht="15.75" x14ac:dyDescent="0.25">
      <c r="A719" s="182" t="s">
        <v>274</v>
      </c>
      <c r="B719" s="452">
        <v>906</v>
      </c>
      <c r="C719" s="454" t="s">
        <v>264</v>
      </c>
      <c r="D719" s="454" t="s">
        <v>215</v>
      </c>
      <c r="E719" s="454" t="s">
        <v>936</v>
      </c>
      <c r="F719" s="460" t="s">
        <v>275</v>
      </c>
      <c r="G719" s="459">
        <v>302.7</v>
      </c>
      <c r="H719" s="459">
        <v>314.89999999999998</v>
      </c>
      <c r="I719" s="201"/>
    </row>
    <row r="720" spans="1:9" ht="15.75" x14ac:dyDescent="0.25">
      <c r="A720" s="456" t="s">
        <v>466</v>
      </c>
      <c r="B720" s="453">
        <v>906</v>
      </c>
      <c r="C720" s="457" t="s">
        <v>264</v>
      </c>
      <c r="D720" s="457" t="s">
        <v>264</v>
      </c>
      <c r="E720" s="457"/>
      <c r="F720" s="457"/>
      <c r="G720" s="455">
        <f>G721</f>
        <v>5745.1</v>
      </c>
      <c r="H720" s="455">
        <f>H721</f>
        <v>5745.1</v>
      </c>
      <c r="I720" s="201"/>
    </row>
    <row r="721" spans="1:9" ht="31.5" x14ac:dyDescent="0.25">
      <c r="A721" s="456" t="s">
        <v>1361</v>
      </c>
      <c r="B721" s="453">
        <v>906</v>
      </c>
      <c r="C721" s="457" t="s">
        <v>264</v>
      </c>
      <c r="D721" s="457" t="s">
        <v>264</v>
      </c>
      <c r="E721" s="457" t="s">
        <v>406</v>
      </c>
      <c r="F721" s="457"/>
      <c r="G721" s="455">
        <f>G722</f>
        <v>5745.1</v>
      </c>
      <c r="H721" s="455">
        <f>H722</f>
        <v>5745.1</v>
      </c>
      <c r="I721" s="201"/>
    </row>
    <row r="722" spans="1:9" ht="31.5" x14ac:dyDescent="0.25">
      <c r="A722" s="456" t="s">
        <v>943</v>
      </c>
      <c r="B722" s="453">
        <v>906</v>
      </c>
      <c r="C722" s="457" t="s">
        <v>264</v>
      </c>
      <c r="D722" s="457" t="s">
        <v>264</v>
      </c>
      <c r="E722" s="457" t="s">
        <v>1240</v>
      </c>
      <c r="F722" s="457"/>
      <c r="G722" s="455">
        <f>G723+G726</f>
        <v>5745.1</v>
      </c>
      <c r="H722" s="455">
        <f>H723+H726</f>
        <v>5745.1</v>
      </c>
      <c r="I722" s="201"/>
    </row>
    <row r="723" spans="1:9" ht="31.5" x14ac:dyDescent="0.25">
      <c r="A723" s="31" t="s">
        <v>1060</v>
      </c>
      <c r="B723" s="452">
        <v>906</v>
      </c>
      <c r="C723" s="454" t="s">
        <v>264</v>
      </c>
      <c r="D723" s="454" t="s">
        <v>264</v>
      </c>
      <c r="E723" s="454" t="s">
        <v>1262</v>
      </c>
      <c r="F723" s="454"/>
      <c r="G723" s="459">
        <f>G724</f>
        <v>5745.1</v>
      </c>
      <c r="H723" s="459">
        <f>H724</f>
        <v>5745.1</v>
      </c>
      <c r="I723" s="201"/>
    </row>
    <row r="724" spans="1:9" ht="31.5" x14ac:dyDescent="0.25">
      <c r="A724" s="458" t="s">
        <v>272</v>
      </c>
      <c r="B724" s="452">
        <v>906</v>
      </c>
      <c r="C724" s="454" t="s">
        <v>264</v>
      </c>
      <c r="D724" s="454" t="s">
        <v>264</v>
      </c>
      <c r="E724" s="454" t="s">
        <v>1262</v>
      </c>
      <c r="F724" s="454" t="s">
        <v>273</v>
      </c>
      <c r="G724" s="459">
        <f>G725</f>
        <v>5745.1</v>
      </c>
      <c r="H724" s="459">
        <f>H725</f>
        <v>5745.1</v>
      </c>
      <c r="I724" s="201"/>
    </row>
    <row r="725" spans="1:9" ht="15.75" x14ac:dyDescent="0.25">
      <c r="A725" s="458" t="s">
        <v>274</v>
      </c>
      <c r="B725" s="452">
        <v>906</v>
      </c>
      <c r="C725" s="454" t="s">
        <v>264</v>
      </c>
      <c r="D725" s="454" t="s">
        <v>264</v>
      </c>
      <c r="E725" s="454" t="s">
        <v>1262</v>
      </c>
      <c r="F725" s="454" t="s">
        <v>275</v>
      </c>
      <c r="G725" s="459">
        <v>5745.1</v>
      </c>
      <c r="H725" s="459">
        <v>5745.1</v>
      </c>
      <c r="I725" s="201"/>
    </row>
    <row r="726" spans="1:9" ht="31.5" hidden="1" x14ac:dyDescent="0.25">
      <c r="A726" s="31" t="s">
        <v>1183</v>
      </c>
      <c r="B726" s="452">
        <v>906</v>
      </c>
      <c r="C726" s="454" t="s">
        <v>264</v>
      </c>
      <c r="D726" s="454" t="s">
        <v>264</v>
      </c>
      <c r="E726" s="454" t="s">
        <v>1263</v>
      </c>
      <c r="F726" s="454"/>
      <c r="G726" s="459">
        <f>G727</f>
        <v>0</v>
      </c>
      <c r="H726" s="459">
        <f>H727</f>
        <v>0</v>
      </c>
      <c r="I726" s="201"/>
    </row>
    <row r="727" spans="1:9" ht="31.5" hidden="1" x14ac:dyDescent="0.25">
      <c r="A727" s="458" t="s">
        <v>272</v>
      </c>
      <c r="B727" s="452">
        <v>906</v>
      </c>
      <c r="C727" s="454" t="s">
        <v>264</v>
      </c>
      <c r="D727" s="454" t="s">
        <v>264</v>
      </c>
      <c r="E727" s="454" t="s">
        <v>1263</v>
      </c>
      <c r="F727" s="454" t="s">
        <v>273</v>
      </c>
      <c r="G727" s="459">
        <f>G728</f>
        <v>0</v>
      </c>
      <c r="H727" s="459">
        <f>H728</f>
        <v>0</v>
      </c>
      <c r="I727" s="201"/>
    </row>
    <row r="728" spans="1:9" ht="15.75" hidden="1" x14ac:dyDescent="0.25">
      <c r="A728" s="458" t="s">
        <v>274</v>
      </c>
      <c r="B728" s="452">
        <v>906</v>
      </c>
      <c r="C728" s="454" t="s">
        <v>264</v>
      </c>
      <c r="D728" s="454" t="s">
        <v>264</v>
      </c>
      <c r="E728" s="454" t="s">
        <v>1263</v>
      </c>
      <c r="F728" s="454" t="s">
        <v>275</v>
      </c>
      <c r="G728" s="459">
        <v>0</v>
      </c>
      <c r="H728" s="459">
        <v>0</v>
      </c>
      <c r="I728" s="201"/>
    </row>
    <row r="729" spans="1:9" ht="15.75" x14ac:dyDescent="0.25">
      <c r="A729" s="456" t="s">
        <v>295</v>
      </c>
      <c r="B729" s="453">
        <v>906</v>
      </c>
      <c r="C729" s="457" t="s">
        <v>264</v>
      </c>
      <c r="D729" s="457" t="s">
        <v>219</v>
      </c>
      <c r="E729" s="457"/>
      <c r="F729" s="457"/>
      <c r="G729" s="455">
        <f>G730+G740</f>
        <v>19831.8</v>
      </c>
      <c r="H729" s="455">
        <f>H730+H740</f>
        <v>19831.8</v>
      </c>
      <c r="I729" s="201"/>
    </row>
    <row r="730" spans="1:9" ht="44.1" customHeight="1" x14ac:dyDescent="0.25">
      <c r="A730" s="456" t="s">
        <v>917</v>
      </c>
      <c r="B730" s="453">
        <v>906</v>
      </c>
      <c r="C730" s="457" t="s">
        <v>264</v>
      </c>
      <c r="D730" s="457" t="s">
        <v>219</v>
      </c>
      <c r="E730" s="457" t="s">
        <v>858</v>
      </c>
      <c r="F730" s="457"/>
      <c r="G730" s="455">
        <f>G731</f>
        <v>6048.7</v>
      </c>
      <c r="H730" s="455">
        <f>H731</f>
        <v>6048.7</v>
      </c>
      <c r="I730" s="201"/>
    </row>
    <row r="731" spans="1:9" ht="15.75" x14ac:dyDescent="0.25">
      <c r="A731" s="456" t="s">
        <v>918</v>
      </c>
      <c r="B731" s="453">
        <v>906</v>
      </c>
      <c r="C731" s="457" t="s">
        <v>264</v>
      </c>
      <c r="D731" s="457" t="s">
        <v>219</v>
      </c>
      <c r="E731" s="457" t="s">
        <v>859</v>
      </c>
      <c r="F731" s="457"/>
      <c r="G731" s="455">
        <f>G732+G737</f>
        <v>6048.7</v>
      </c>
      <c r="H731" s="455">
        <f>H732+H737</f>
        <v>6048.7</v>
      </c>
      <c r="I731" s="201"/>
    </row>
    <row r="732" spans="1:9" ht="31.5" x14ac:dyDescent="0.25">
      <c r="A732" s="458" t="s">
        <v>897</v>
      </c>
      <c r="B732" s="452">
        <v>906</v>
      </c>
      <c r="C732" s="454" t="s">
        <v>264</v>
      </c>
      <c r="D732" s="454" t="s">
        <v>219</v>
      </c>
      <c r="E732" s="454" t="s">
        <v>860</v>
      </c>
      <c r="F732" s="454"/>
      <c r="G732" s="459">
        <f>G733+G735</f>
        <v>5922.7</v>
      </c>
      <c r="H732" s="459">
        <f>H733+H735</f>
        <v>5922.7</v>
      </c>
      <c r="I732" s="201"/>
    </row>
    <row r="733" spans="1:9" ht="78.75" x14ac:dyDescent="0.25">
      <c r="A733" s="458" t="s">
        <v>127</v>
      </c>
      <c r="B733" s="452">
        <v>906</v>
      </c>
      <c r="C733" s="454" t="s">
        <v>264</v>
      </c>
      <c r="D733" s="454" t="s">
        <v>219</v>
      </c>
      <c r="E733" s="454" t="s">
        <v>860</v>
      </c>
      <c r="F733" s="454" t="s">
        <v>128</v>
      </c>
      <c r="G733" s="459">
        <f>G734</f>
        <v>5710.7</v>
      </c>
      <c r="H733" s="459">
        <f>H734</f>
        <v>5710.7</v>
      </c>
      <c r="I733" s="201"/>
    </row>
    <row r="734" spans="1:9" ht="31.5" x14ac:dyDescent="0.25">
      <c r="A734" s="458" t="s">
        <v>129</v>
      </c>
      <c r="B734" s="452">
        <v>906</v>
      </c>
      <c r="C734" s="454" t="s">
        <v>264</v>
      </c>
      <c r="D734" s="454" t="s">
        <v>219</v>
      </c>
      <c r="E734" s="454" t="s">
        <v>860</v>
      </c>
      <c r="F734" s="454" t="s">
        <v>130</v>
      </c>
      <c r="G734" s="459">
        <v>5710.7</v>
      </c>
      <c r="H734" s="459">
        <f t="shared" si="65"/>
        <v>5710.7</v>
      </c>
      <c r="I734" s="201"/>
    </row>
    <row r="735" spans="1:9" ht="31.5" x14ac:dyDescent="0.25">
      <c r="A735" s="458" t="s">
        <v>131</v>
      </c>
      <c r="B735" s="452">
        <v>906</v>
      </c>
      <c r="C735" s="454" t="s">
        <v>264</v>
      </c>
      <c r="D735" s="454" t="s">
        <v>219</v>
      </c>
      <c r="E735" s="454" t="s">
        <v>860</v>
      </c>
      <c r="F735" s="454" t="s">
        <v>132</v>
      </c>
      <c r="G735" s="459">
        <f>G736</f>
        <v>212</v>
      </c>
      <c r="H735" s="459">
        <f>H736</f>
        <v>212</v>
      </c>
      <c r="I735" s="201"/>
    </row>
    <row r="736" spans="1:9" ht="31.5" x14ac:dyDescent="0.25">
      <c r="A736" s="458" t="s">
        <v>133</v>
      </c>
      <c r="B736" s="452">
        <v>906</v>
      </c>
      <c r="C736" s="454" t="s">
        <v>264</v>
      </c>
      <c r="D736" s="454" t="s">
        <v>219</v>
      </c>
      <c r="E736" s="454" t="s">
        <v>860</v>
      </c>
      <c r="F736" s="454" t="s">
        <v>134</v>
      </c>
      <c r="G736" s="459">
        <f>212</f>
        <v>212</v>
      </c>
      <c r="H736" s="459">
        <f t="shared" si="65"/>
        <v>212</v>
      </c>
      <c r="I736" s="201"/>
    </row>
    <row r="737" spans="1:9" ht="47.25" x14ac:dyDescent="0.25">
      <c r="A737" s="458" t="s">
        <v>839</v>
      </c>
      <c r="B737" s="452">
        <v>906</v>
      </c>
      <c r="C737" s="454" t="s">
        <v>264</v>
      </c>
      <c r="D737" s="454" t="s">
        <v>219</v>
      </c>
      <c r="E737" s="454" t="s">
        <v>862</v>
      </c>
      <c r="F737" s="454"/>
      <c r="G737" s="459">
        <f>G738</f>
        <v>126</v>
      </c>
      <c r="H737" s="459">
        <f>H738</f>
        <v>126</v>
      </c>
      <c r="I737" s="201"/>
    </row>
    <row r="738" spans="1:9" ht="78.75" x14ac:dyDescent="0.25">
      <c r="A738" s="458" t="s">
        <v>127</v>
      </c>
      <c r="B738" s="452">
        <v>906</v>
      </c>
      <c r="C738" s="454" t="s">
        <v>264</v>
      </c>
      <c r="D738" s="454" t="s">
        <v>219</v>
      </c>
      <c r="E738" s="454" t="s">
        <v>862</v>
      </c>
      <c r="F738" s="454" t="s">
        <v>128</v>
      </c>
      <c r="G738" s="459">
        <f>G739</f>
        <v>126</v>
      </c>
      <c r="H738" s="459">
        <f>H739</f>
        <v>126</v>
      </c>
      <c r="I738" s="201"/>
    </row>
    <row r="739" spans="1:9" ht="31.5" x14ac:dyDescent="0.25">
      <c r="A739" s="458" t="s">
        <v>129</v>
      </c>
      <c r="B739" s="452">
        <v>906</v>
      </c>
      <c r="C739" s="454" t="s">
        <v>264</v>
      </c>
      <c r="D739" s="454" t="s">
        <v>219</v>
      </c>
      <c r="E739" s="454" t="s">
        <v>862</v>
      </c>
      <c r="F739" s="454" t="s">
        <v>130</v>
      </c>
      <c r="G739" s="459">
        <f>126</f>
        <v>126</v>
      </c>
      <c r="H739" s="459">
        <f t="shared" si="65"/>
        <v>126</v>
      </c>
      <c r="I739" s="201"/>
    </row>
    <row r="740" spans="1:9" ht="15.75" x14ac:dyDescent="0.25">
      <c r="A740" s="456" t="s">
        <v>141</v>
      </c>
      <c r="B740" s="453">
        <v>906</v>
      </c>
      <c r="C740" s="457" t="s">
        <v>264</v>
      </c>
      <c r="D740" s="457" t="s">
        <v>219</v>
      </c>
      <c r="E740" s="457" t="s">
        <v>866</v>
      </c>
      <c r="F740" s="457"/>
      <c r="G740" s="455">
        <f>G741+G745</f>
        <v>13783.1</v>
      </c>
      <c r="H740" s="455">
        <f>H741+H745</f>
        <v>13783.1</v>
      </c>
      <c r="I740" s="201"/>
    </row>
    <row r="741" spans="1:9" ht="31.5" x14ac:dyDescent="0.25">
      <c r="A741" s="456" t="s">
        <v>870</v>
      </c>
      <c r="B741" s="453">
        <v>906</v>
      </c>
      <c r="C741" s="457" t="s">
        <v>264</v>
      </c>
      <c r="D741" s="457" t="s">
        <v>219</v>
      </c>
      <c r="E741" s="457" t="s">
        <v>865</v>
      </c>
      <c r="F741" s="457"/>
      <c r="G741" s="455">
        <f t="shared" ref="G741:H743" si="68">G742</f>
        <v>300</v>
      </c>
      <c r="H741" s="455">
        <f t="shared" si="68"/>
        <v>300</v>
      </c>
      <c r="I741" s="201"/>
    </row>
    <row r="742" spans="1:9" ht="15.75" x14ac:dyDescent="0.25">
      <c r="A742" s="458" t="s">
        <v>478</v>
      </c>
      <c r="B742" s="452">
        <v>906</v>
      </c>
      <c r="C742" s="454" t="s">
        <v>264</v>
      </c>
      <c r="D742" s="454" t="s">
        <v>219</v>
      </c>
      <c r="E742" s="454" t="s">
        <v>944</v>
      </c>
      <c r="F742" s="454"/>
      <c r="G742" s="459">
        <f t="shared" si="68"/>
        <v>300</v>
      </c>
      <c r="H742" s="459">
        <f t="shared" si="68"/>
        <v>300</v>
      </c>
      <c r="I742" s="201"/>
    </row>
    <row r="743" spans="1:9" ht="31.5" x14ac:dyDescent="0.25">
      <c r="A743" s="458" t="s">
        <v>131</v>
      </c>
      <c r="B743" s="452">
        <v>906</v>
      </c>
      <c r="C743" s="454" t="s">
        <v>264</v>
      </c>
      <c r="D743" s="454" t="s">
        <v>219</v>
      </c>
      <c r="E743" s="454" t="s">
        <v>944</v>
      </c>
      <c r="F743" s="454" t="s">
        <v>132</v>
      </c>
      <c r="G743" s="459">
        <f t="shared" si="68"/>
        <v>300</v>
      </c>
      <c r="H743" s="459">
        <f t="shared" si="68"/>
        <v>300</v>
      </c>
      <c r="I743" s="201"/>
    </row>
    <row r="744" spans="1:9" ht="33.950000000000003" customHeight="1" x14ac:dyDescent="0.25">
      <c r="A744" s="458" t="s">
        <v>133</v>
      </c>
      <c r="B744" s="452">
        <v>906</v>
      </c>
      <c r="C744" s="454" t="s">
        <v>264</v>
      </c>
      <c r="D744" s="454" t="s">
        <v>219</v>
      </c>
      <c r="E744" s="454" t="s">
        <v>944</v>
      </c>
      <c r="F744" s="454" t="s">
        <v>134</v>
      </c>
      <c r="G744" s="459">
        <v>300</v>
      </c>
      <c r="H744" s="459">
        <f t="shared" si="65"/>
        <v>300</v>
      </c>
      <c r="I744" s="201"/>
    </row>
    <row r="745" spans="1:9" ht="31.5" x14ac:dyDescent="0.25">
      <c r="A745" s="456" t="s">
        <v>929</v>
      </c>
      <c r="B745" s="453">
        <v>906</v>
      </c>
      <c r="C745" s="457" t="s">
        <v>264</v>
      </c>
      <c r="D745" s="457" t="s">
        <v>219</v>
      </c>
      <c r="E745" s="457" t="s">
        <v>914</v>
      </c>
      <c r="F745" s="457"/>
      <c r="G745" s="455">
        <f>G746+G753</f>
        <v>13483.1</v>
      </c>
      <c r="H745" s="455">
        <f>H746+H753</f>
        <v>13483.1</v>
      </c>
      <c r="I745" s="201"/>
    </row>
    <row r="746" spans="1:9" ht="31.5" x14ac:dyDescent="0.25">
      <c r="A746" s="458" t="s">
        <v>1084</v>
      </c>
      <c r="B746" s="452">
        <v>906</v>
      </c>
      <c r="C746" s="454" t="s">
        <v>264</v>
      </c>
      <c r="D746" s="454" t="s">
        <v>219</v>
      </c>
      <c r="E746" s="454" t="s">
        <v>915</v>
      </c>
      <c r="F746" s="454"/>
      <c r="G746" s="459">
        <f>G747+G749+G751</f>
        <v>12977.1</v>
      </c>
      <c r="H746" s="459">
        <f>H747+H749+H751</f>
        <v>12977.1</v>
      </c>
      <c r="I746" s="201"/>
    </row>
    <row r="747" spans="1:9" ht="78.75" x14ac:dyDescent="0.25">
      <c r="A747" s="458" t="s">
        <v>127</v>
      </c>
      <c r="B747" s="452">
        <v>906</v>
      </c>
      <c r="C747" s="454" t="s">
        <v>264</v>
      </c>
      <c r="D747" s="454" t="s">
        <v>219</v>
      </c>
      <c r="E747" s="454" t="s">
        <v>915</v>
      </c>
      <c r="F747" s="454" t="s">
        <v>128</v>
      </c>
      <c r="G747" s="459">
        <f>G748</f>
        <v>11885.1</v>
      </c>
      <c r="H747" s="459">
        <f t="shared" si="65"/>
        <v>11885.1</v>
      </c>
      <c r="I747" s="201"/>
    </row>
    <row r="748" spans="1:9" ht="31.5" x14ac:dyDescent="0.25">
      <c r="A748" s="458" t="s">
        <v>342</v>
      </c>
      <c r="B748" s="452">
        <v>906</v>
      </c>
      <c r="C748" s="454" t="s">
        <v>264</v>
      </c>
      <c r="D748" s="454" t="s">
        <v>219</v>
      </c>
      <c r="E748" s="454" t="s">
        <v>915</v>
      </c>
      <c r="F748" s="454" t="s">
        <v>209</v>
      </c>
      <c r="G748" s="459">
        <v>11885.1</v>
      </c>
      <c r="H748" s="459">
        <f t="shared" si="65"/>
        <v>11885.1</v>
      </c>
      <c r="I748" s="201"/>
    </row>
    <row r="749" spans="1:9" ht="31.5" x14ac:dyDescent="0.25">
      <c r="A749" s="458" t="s">
        <v>131</v>
      </c>
      <c r="B749" s="452">
        <v>906</v>
      </c>
      <c r="C749" s="454" t="s">
        <v>264</v>
      </c>
      <c r="D749" s="454" t="s">
        <v>219</v>
      </c>
      <c r="E749" s="454" t="s">
        <v>915</v>
      </c>
      <c r="F749" s="454" t="s">
        <v>132</v>
      </c>
      <c r="G749" s="459">
        <f>G750</f>
        <v>1077</v>
      </c>
      <c r="H749" s="459">
        <f t="shared" si="65"/>
        <v>1077</v>
      </c>
      <c r="I749" s="201"/>
    </row>
    <row r="750" spans="1:9" ht="31.5" x14ac:dyDescent="0.25">
      <c r="A750" s="458" t="s">
        <v>133</v>
      </c>
      <c r="B750" s="452">
        <v>906</v>
      </c>
      <c r="C750" s="454" t="s">
        <v>264</v>
      </c>
      <c r="D750" s="454" t="s">
        <v>219</v>
      </c>
      <c r="E750" s="454" t="s">
        <v>915</v>
      </c>
      <c r="F750" s="454" t="s">
        <v>134</v>
      </c>
      <c r="G750" s="459">
        <f>1077</f>
        <v>1077</v>
      </c>
      <c r="H750" s="459">
        <f t="shared" si="65"/>
        <v>1077</v>
      </c>
      <c r="I750" s="201"/>
    </row>
    <row r="751" spans="1:9" ht="15.75" x14ac:dyDescent="0.25">
      <c r="A751" s="458" t="s">
        <v>135</v>
      </c>
      <c r="B751" s="452">
        <v>906</v>
      </c>
      <c r="C751" s="454" t="s">
        <v>264</v>
      </c>
      <c r="D751" s="454" t="s">
        <v>219</v>
      </c>
      <c r="E751" s="454" t="s">
        <v>915</v>
      </c>
      <c r="F751" s="454" t="s">
        <v>145</v>
      </c>
      <c r="G751" s="459">
        <f>G752</f>
        <v>15</v>
      </c>
      <c r="H751" s="459">
        <f t="shared" si="65"/>
        <v>15</v>
      </c>
      <c r="I751" s="201"/>
    </row>
    <row r="752" spans="1:9" ht="15.75" x14ac:dyDescent="0.25">
      <c r="A752" s="458" t="s">
        <v>568</v>
      </c>
      <c r="B752" s="452">
        <v>906</v>
      </c>
      <c r="C752" s="454" t="s">
        <v>264</v>
      </c>
      <c r="D752" s="454" t="s">
        <v>219</v>
      </c>
      <c r="E752" s="454" t="s">
        <v>915</v>
      </c>
      <c r="F752" s="454" t="s">
        <v>138</v>
      </c>
      <c r="G752" s="459">
        <f>15</f>
        <v>15</v>
      </c>
      <c r="H752" s="459">
        <f t="shared" si="65"/>
        <v>15</v>
      </c>
      <c r="I752" s="201"/>
    </row>
    <row r="753" spans="1:9" ht="47.25" x14ac:dyDescent="0.25">
      <c r="A753" s="458" t="s">
        <v>839</v>
      </c>
      <c r="B753" s="452">
        <v>906</v>
      </c>
      <c r="C753" s="454" t="s">
        <v>264</v>
      </c>
      <c r="D753" s="454" t="s">
        <v>219</v>
      </c>
      <c r="E753" s="454" t="s">
        <v>916</v>
      </c>
      <c r="F753" s="454"/>
      <c r="G753" s="459">
        <f>G754</f>
        <v>506</v>
      </c>
      <c r="H753" s="459">
        <f>H754</f>
        <v>506</v>
      </c>
      <c r="I753" s="201"/>
    </row>
    <row r="754" spans="1:9" ht="78.75" x14ac:dyDescent="0.25">
      <c r="A754" s="458" t="s">
        <v>127</v>
      </c>
      <c r="B754" s="452">
        <v>906</v>
      </c>
      <c r="C754" s="454" t="s">
        <v>264</v>
      </c>
      <c r="D754" s="454" t="s">
        <v>219</v>
      </c>
      <c r="E754" s="454" t="s">
        <v>916</v>
      </c>
      <c r="F754" s="454" t="s">
        <v>128</v>
      </c>
      <c r="G754" s="459">
        <f>G755</f>
        <v>506</v>
      </c>
      <c r="H754" s="459">
        <f>H755</f>
        <v>506</v>
      </c>
      <c r="I754" s="201"/>
    </row>
    <row r="755" spans="1:9" ht="31.5" x14ac:dyDescent="0.25">
      <c r="A755" s="458" t="s">
        <v>342</v>
      </c>
      <c r="B755" s="452">
        <v>906</v>
      </c>
      <c r="C755" s="454" t="s">
        <v>264</v>
      </c>
      <c r="D755" s="454" t="s">
        <v>219</v>
      </c>
      <c r="E755" s="454" t="s">
        <v>916</v>
      </c>
      <c r="F755" s="454" t="s">
        <v>209</v>
      </c>
      <c r="G755" s="459">
        <v>506</v>
      </c>
      <c r="H755" s="459">
        <v>506</v>
      </c>
      <c r="I755" s="201"/>
    </row>
    <row r="756" spans="1:9" ht="31.5" x14ac:dyDescent="0.25">
      <c r="A756" s="453" t="s">
        <v>1371</v>
      </c>
      <c r="B756" s="453">
        <v>907</v>
      </c>
      <c r="C756" s="454"/>
      <c r="D756" s="454"/>
      <c r="E756" s="454"/>
      <c r="F756" s="454"/>
      <c r="G756" s="455">
        <f>G764+G757</f>
        <v>64081.399999999994</v>
      </c>
      <c r="H756" s="455">
        <f>H764+H757</f>
        <v>64012.600000000006</v>
      </c>
      <c r="I756" s="201"/>
    </row>
    <row r="757" spans="1:9" ht="15.75" x14ac:dyDescent="0.25">
      <c r="A757" s="456" t="s">
        <v>117</v>
      </c>
      <c r="B757" s="453">
        <v>907</v>
      </c>
      <c r="C757" s="457" t="s">
        <v>118</v>
      </c>
      <c r="D757" s="457"/>
      <c r="E757" s="457"/>
      <c r="F757" s="457"/>
      <c r="G757" s="455">
        <f t="shared" ref="G757:H762" si="69">G758</f>
        <v>100</v>
      </c>
      <c r="H757" s="455">
        <f t="shared" si="69"/>
        <v>0</v>
      </c>
      <c r="I757" s="201"/>
    </row>
    <row r="758" spans="1:9" ht="15.75" x14ac:dyDescent="0.25">
      <c r="A758" s="34" t="s">
        <v>139</v>
      </c>
      <c r="B758" s="453">
        <v>907</v>
      </c>
      <c r="C758" s="457" t="s">
        <v>118</v>
      </c>
      <c r="D758" s="457" t="s">
        <v>140</v>
      </c>
      <c r="E758" s="457"/>
      <c r="F758" s="457"/>
      <c r="G758" s="455">
        <f t="shared" si="69"/>
        <v>100</v>
      </c>
      <c r="H758" s="455">
        <f t="shared" si="69"/>
        <v>0</v>
      </c>
      <c r="I758" s="201"/>
    </row>
    <row r="759" spans="1:9" ht="47.25" x14ac:dyDescent="0.25">
      <c r="A759" s="456" t="s">
        <v>1352</v>
      </c>
      <c r="B759" s="453">
        <v>907</v>
      </c>
      <c r="C759" s="457" t="s">
        <v>118</v>
      </c>
      <c r="D759" s="457" t="s">
        <v>140</v>
      </c>
      <c r="E759" s="457" t="s">
        <v>335</v>
      </c>
      <c r="F759" s="457"/>
      <c r="G759" s="455">
        <f t="shared" si="69"/>
        <v>100</v>
      </c>
      <c r="H759" s="455">
        <f t="shared" si="69"/>
        <v>0</v>
      </c>
      <c r="I759" s="201"/>
    </row>
    <row r="760" spans="1:9" ht="31.5" x14ac:dyDescent="0.25">
      <c r="A760" s="208" t="s">
        <v>1050</v>
      </c>
      <c r="B760" s="453">
        <v>907</v>
      </c>
      <c r="C760" s="457" t="s">
        <v>118</v>
      </c>
      <c r="D760" s="457" t="s">
        <v>140</v>
      </c>
      <c r="E760" s="457" t="s">
        <v>1051</v>
      </c>
      <c r="F760" s="457"/>
      <c r="G760" s="455">
        <f t="shared" si="69"/>
        <v>100</v>
      </c>
      <c r="H760" s="455">
        <f t="shared" si="69"/>
        <v>0</v>
      </c>
      <c r="I760" s="201"/>
    </row>
    <row r="761" spans="1:9" ht="31.5" x14ac:dyDescent="0.25">
      <c r="A761" s="97" t="s">
        <v>336</v>
      </c>
      <c r="B761" s="452">
        <v>907</v>
      </c>
      <c r="C761" s="454" t="s">
        <v>118</v>
      </c>
      <c r="D761" s="454" t="s">
        <v>140</v>
      </c>
      <c r="E761" s="454" t="s">
        <v>1052</v>
      </c>
      <c r="F761" s="454"/>
      <c r="G761" s="459">
        <f t="shared" si="69"/>
        <v>100</v>
      </c>
      <c r="H761" s="459">
        <f t="shared" si="69"/>
        <v>0</v>
      </c>
      <c r="I761" s="201"/>
    </row>
    <row r="762" spans="1:9" ht="31.5" x14ac:dyDescent="0.25">
      <c r="A762" s="458" t="s">
        <v>131</v>
      </c>
      <c r="B762" s="452">
        <v>907</v>
      </c>
      <c r="C762" s="454" t="s">
        <v>118</v>
      </c>
      <c r="D762" s="454" t="s">
        <v>140</v>
      </c>
      <c r="E762" s="454" t="s">
        <v>1052</v>
      </c>
      <c r="F762" s="454" t="s">
        <v>132</v>
      </c>
      <c r="G762" s="459">
        <f t="shared" si="69"/>
        <v>100</v>
      </c>
      <c r="H762" s="459">
        <f t="shared" si="69"/>
        <v>0</v>
      </c>
      <c r="I762" s="201"/>
    </row>
    <row r="763" spans="1:9" ht="31.5" x14ac:dyDescent="0.25">
      <c r="A763" s="458" t="s">
        <v>133</v>
      </c>
      <c r="B763" s="452">
        <v>907</v>
      </c>
      <c r="C763" s="454" t="s">
        <v>118</v>
      </c>
      <c r="D763" s="454" t="s">
        <v>140</v>
      </c>
      <c r="E763" s="454" t="s">
        <v>1052</v>
      </c>
      <c r="F763" s="454" t="s">
        <v>134</v>
      </c>
      <c r="G763" s="459">
        <v>100</v>
      </c>
      <c r="H763" s="459">
        <v>0</v>
      </c>
      <c r="I763" s="201"/>
    </row>
    <row r="764" spans="1:9" ht="15.75" x14ac:dyDescent="0.25">
      <c r="A764" s="456" t="s">
        <v>490</v>
      </c>
      <c r="B764" s="453">
        <v>907</v>
      </c>
      <c r="C764" s="457" t="s">
        <v>491</v>
      </c>
      <c r="D764" s="454"/>
      <c r="E764" s="454"/>
      <c r="F764" s="454"/>
      <c r="G764" s="455">
        <f>G765+G803</f>
        <v>63981.399999999994</v>
      </c>
      <c r="H764" s="455">
        <f>H765+H803</f>
        <v>64012.600000000006</v>
      </c>
      <c r="I764" s="201"/>
    </row>
    <row r="765" spans="1:9" ht="15.75" x14ac:dyDescent="0.25">
      <c r="A765" s="456" t="s">
        <v>492</v>
      </c>
      <c r="B765" s="453">
        <v>907</v>
      </c>
      <c r="C765" s="457" t="s">
        <v>491</v>
      </c>
      <c r="D765" s="457" t="s">
        <v>118</v>
      </c>
      <c r="E765" s="454"/>
      <c r="F765" s="454"/>
      <c r="G765" s="455">
        <f>G766+G798+G793</f>
        <v>50452.2</v>
      </c>
      <c r="H765" s="455">
        <f>H766+H798+H793</f>
        <v>50483.4</v>
      </c>
      <c r="I765" s="201"/>
    </row>
    <row r="766" spans="1:9" ht="47.25" x14ac:dyDescent="0.25">
      <c r="A766" s="456" t="s">
        <v>1372</v>
      </c>
      <c r="B766" s="453">
        <v>907</v>
      </c>
      <c r="C766" s="457" t="s">
        <v>491</v>
      </c>
      <c r="D766" s="457" t="s">
        <v>118</v>
      </c>
      <c r="E766" s="457" t="s">
        <v>482</v>
      </c>
      <c r="F766" s="457"/>
      <c r="G766" s="455">
        <f>G767+G778+G782+G789</f>
        <v>49873.1</v>
      </c>
      <c r="H766" s="455">
        <f>H767+H778+H782+H789</f>
        <v>49873.1</v>
      </c>
      <c r="I766" s="201"/>
    </row>
    <row r="767" spans="1:9" ht="31.5" x14ac:dyDescent="0.25">
      <c r="A767" s="456" t="s">
        <v>937</v>
      </c>
      <c r="B767" s="453">
        <v>907</v>
      </c>
      <c r="C767" s="457" t="s">
        <v>491</v>
      </c>
      <c r="D767" s="457" t="s">
        <v>118</v>
      </c>
      <c r="E767" s="457" t="s">
        <v>1264</v>
      </c>
      <c r="F767" s="457"/>
      <c r="G767" s="455">
        <f t="shared" ref="G767:H769" si="70">G768</f>
        <v>47819.6</v>
      </c>
      <c r="H767" s="455">
        <f t="shared" si="70"/>
        <v>47819.6</v>
      </c>
      <c r="I767" s="201"/>
    </row>
    <row r="768" spans="1:9" ht="31.5" x14ac:dyDescent="0.25">
      <c r="A768" s="458" t="s">
        <v>1294</v>
      </c>
      <c r="B768" s="452">
        <v>907</v>
      </c>
      <c r="C768" s="454" t="s">
        <v>491</v>
      </c>
      <c r="D768" s="454" t="s">
        <v>118</v>
      </c>
      <c r="E768" s="454" t="s">
        <v>1265</v>
      </c>
      <c r="F768" s="454"/>
      <c r="G768" s="459">
        <f t="shared" si="70"/>
        <v>47819.6</v>
      </c>
      <c r="H768" s="459">
        <f t="shared" si="70"/>
        <v>47819.6</v>
      </c>
      <c r="I768" s="201"/>
    </row>
    <row r="769" spans="1:9" ht="31.5" x14ac:dyDescent="0.25">
      <c r="A769" s="458" t="s">
        <v>272</v>
      </c>
      <c r="B769" s="452">
        <v>907</v>
      </c>
      <c r="C769" s="454" t="s">
        <v>491</v>
      </c>
      <c r="D769" s="454" t="s">
        <v>118</v>
      </c>
      <c r="E769" s="454" t="s">
        <v>1265</v>
      </c>
      <c r="F769" s="454" t="s">
        <v>273</v>
      </c>
      <c r="G769" s="459">
        <f t="shared" si="70"/>
        <v>47819.6</v>
      </c>
      <c r="H769" s="459">
        <f t="shared" si="70"/>
        <v>47819.6</v>
      </c>
      <c r="I769" s="201"/>
    </row>
    <row r="770" spans="1:9" ht="15.75" x14ac:dyDescent="0.25">
      <c r="A770" s="458" t="s">
        <v>274</v>
      </c>
      <c r="B770" s="452">
        <v>907</v>
      </c>
      <c r="C770" s="454" t="s">
        <v>491</v>
      </c>
      <c r="D770" s="454" t="s">
        <v>118</v>
      </c>
      <c r="E770" s="454" t="s">
        <v>1265</v>
      </c>
      <c r="F770" s="454" t="s">
        <v>275</v>
      </c>
      <c r="G770" s="459">
        <v>47819.6</v>
      </c>
      <c r="H770" s="459">
        <f t="shared" si="65"/>
        <v>47819.6</v>
      </c>
      <c r="I770" s="201"/>
    </row>
    <row r="771" spans="1:9" ht="31.5" x14ac:dyDescent="0.25">
      <c r="A771" s="456" t="s">
        <v>945</v>
      </c>
      <c r="B771" s="453">
        <v>907</v>
      </c>
      <c r="C771" s="457" t="s">
        <v>491</v>
      </c>
      <c r="D771" s="457" t="s">
        <v>118</v>
      </c>
      <c r="E771" s="457" t="s">
        <v>946</v>
      </c>
      <c r="F771" s="457"/>
      <c r="G771" s="44">
        <f>G772+G775+G779</f>
        <v>36</v>
      </c>
      <c r="H771" s="44">
        <f>H772+H775+H779</f>
        <v>36</v>
      </c>
      <c r="I771" s="201"/>
    </row>
    <row r="772" spans="1:9" ht="31.5" hidden="1" x14ac:dyDescent="0.25">
      <c r="A772" s="458" t="s">
        <v>278</v>
      </c>
      <c r="B772" s="452">
        <v>907</v>
      </c>
      <c r="C772" s="454" t="s">
        <v>491</v>
      </c>
      <c r="D772" s="454" t="s">
        <v>118</v>
      </c>
      <c r="E772" s="454" t="s">
        <v>949</v>
      </c>
      <c r="F772" s="454"/>
      <c r="G772" s="459">
        <f>'[1]Пр.5 ведом.21'!G761</f>
        <v>0</v>
      </c>
      <c r="H772" s="459">
        <f t="shared" ref="H772:H830" si="71">G772</f>
        <v>0</v>
      </c>
      <c r="I772" s="201"/>
    </row>
    <row r="773" spans="1:9" ht="31.5" hidden="1" x14ac:dyDescent="0.25">
      <c r="A773" s="458" t="s">
        <v>272</v>
      </c>
      <c r="B773" s="452">
        <v>907</v>
      </c>
      <c r="C773" s="454" t="s">
        <v>491</v>
      </c>
      <c r="D773" s="454" t="s">
        <v>118</v>
      </c>
      <c r="E773" s="454" t="s">
        <v>949</v>
      </c>
      <c r="F773" s="454" t="s">
        <v>273</v>
      </c>
      <c r="G773" s="459">
        <f>'[1]Пр.5 ведом.21'!G762</f>
        <v>0</v>
      </c>
      <c r="H773" s="459">
        <f t="shared" si="71"/>
        <v>0</v>
      </c>
      <c r="I773" s="201"/>
    </row>
    <row r="774" spans="1:9" ht="15.75" hidden="1" x14ac:dyDescent="0.25">
      <c r="A774" s="458" t="s">
        <v>274</v>
      </c>
      <c r="B774" s="452">
        <v>907</v>
      </c>
      <c r="C774" s="454" t="s">
        <v>491</v>
      </c>
      <c r="D774" s="454" t="s">
        <v>118</v>
      </c>
      <c r="E774" s="454" t="s">
        <v>949</v>
      </c>
      <c r="F774" s="454" t="s">
        <v>275</v>
      </c>
      <c r="G774" s="459">
        <f>'[1]Пр.5 ведом.21'!G763</f>
        <v>0</v>
      </c>
      <c r="H774" s="459">
        <f t="shared" si="71"/>
        <v>0</v>
      </c>
      <c r="I774" s="201"/>
    </row>
    <row r="775" spans="1:9" ht="31.5" hidden="1" x14ac:dyDescent="0.25">
      <c r="A775" s="458" t="s">
        <v>280</v>
      </c>
      <c r="B775" s="452">
        <v>907</v>
      </c>
      <c r="C775" s="454" t="s">
        <v>491</v>
      </c>
      <c r="D775" s="454" t="s">
        <v>118</v>
      </c>
      <c r="E775" s="454" t="s">
        <v>950</v>
      </c>
      <c r="F775" s="454"/>
      <c r="G775" s="459">
        <f>G776</f>
        <v>0</v>
      </c>
      <c r="H775" s="459">
        <f>H776</f>
        <v>0</v>
      </c>
      <c r="I775" s="201"/>
    </row>
    <row r="776" spans="1:9" ht="31.5" hidden="1" x14ac:dyDescent="0.25">
      <c r="A776" s="458" t="s">
        <v>272</v>
      </c>
      <c r="B776" s="452">
        <v>907</v>
      </c>
      <c r="C776" s="454" t="s">
        <v>491</v>
      </c>
      <c r="D776" s="454" t="s">
        <v>118</v>
      </c>
      <c r="E776" s="454" t="s">
        <v>950</v>
      </c>
      <c r="F776" s="454" t="s">
        <v>273</v>
      </c>
      <c r="G776" s="459">
        <f>G777</f>
        <v>0</v>
      </c>
      <c r="H776" s="459">
        <f>H777</f>
        <v>0</v>
      </c>
      <c r="I776" s="201"/>
    </row>
    <row r="777" spans="1:9" ht="15.75" hidden="1" x14ac:dyDescent="0.25">
      <c r="A777" s="458" t="s">
        <v>274</v>
      </c>
      <c r="B777" s="452">
        <v>907</v>
      </c>
      <c r="C777" s="454" t="s">
        <v>491</v>
      </c>
      <c r="D777" s="454" t="s">
        <v>118</v>
      </c>
      <c r="E777" s="454" t="s">
        <v>950</v>
      </c>
      <c r="F777" s="454" t="s">
        <v>275</v>
      </c>
      <c r="G777" s="459">
        <v>0</v>
      </c>
      <c r="H777" s="459">
        <f t="shared" si="71"/>
        <v>0</v>
      </c>
      <c r="I777" s="201"/>
    </row>
    <row r="778" spans="1:9" ht="31.5" x14ac:dyDescent="0.25">
      <c r="A778" s="456" t="s">
        <v>945</v>
      </c>
      <c r="B778" s="453">
        <v>907</v>
      </c>
      <c r="C778" s="457" t="s">
        <v>491</v>
      </c>
      <c r="D778" s="457" t="s">
        <v>118</v>
      </c>
      <c r="E778" s="457" t="s">
        <v>1266</v>
      </c>
      <c r="F778" s="454"/>
      <c r="G778" s="455">
        <f t="shared" ref="G778:H780" si="72">G779</f>
        <v>36</v>
      </c>
      <c r="H778" s="455">
        <f t="shared" si="72"/>
        <v>36</v>
      </c>
      <c r="I778" s="201"/>
    </row>
    <row r="779" spans="1:9" ht="15.75" x14ac:dyDescent="0.25">
      <c r="A779" s="458" t="s">
        <v>830</v>
      </c>
      <c r="B779" s="452">
        <v>907</v>
      </c>
      <c r="C779" s="454" t="s">
        <v>491</v>
      </c>
      <c r="D779" s="454" t="s">
        <v>118</v>
      </c>
      <c r="E779" s="454" t="s">
        <v>1267</v>
      </c>
      <c r="F779" s="454"/>
      <c r="G779" s="459">
        <f t="shared" si="72"/>
        <v>36</v>
      </c>
      <c r="H779" s="459">
        <f t="shared" si="72"/>
        <v>36</v>
      </c>
      <c r="I779" s="201"/>
    </row>
    <row r="780" spans="1:9" ht="31.5" x14ac:dyDescent="0.25">
      <c r="A780" s="458" t="s">
        <v>272</v>
      </c>
      <c r="B780" s="452">
        <v>907</v>
      </c>
      <c r="C780" s="454" t="s">
        <v>491</v>
      </c>
      <c r="D780" s="454" t="s">
        <v>118</v>
      </c>
      <c r="E780" s="454" t="s">
        <v>1267</v>
      </c>
      <c r="F780" s="454" t="s">
        <v>273</v>
      </c>
      <c r="G780" s="459">
        <f t="shared" si="72"/>
        <v>36</v>
      </c>
      <c r="H780" s="459">
        <f t="shared" si="72"/>
        <v>36</v>
      </c>
      <c r="I780" s="201"/>
    </row>
    <row r="781" spans="1:9" ht="15.75" x14ac:dyDescent="0.25">
      <c r="A781" s="458" t="s">
        <v>274</v>
      </c>
      <c r="B781" s="452">
        <v>907</v>
      </c>
      <c r="C781" s="454" t="s">
        <v>491</v>
      </c>
      <c r="D781" s="454" t="s">
        <v>118</v>
      </c>
      <c r="E781" s="454" t="s">
        <v>1267</v>
      </c>
      <c r="F781" s="454" t="s">
        <v>275</v>
      </c>
      <c r="G781" s="459">
        <f>36</f>
        <v>36</v>
      </c>
      <c r="H781" s="459">
        <f t="shared" si="71"/>
        <v>36</v>
      </c>
      <c r="I781" s="201"/>
    </row>
    <row r="782" spans="1:9" ht="31.5" x14ac:dyDescent="0.25">
      <c r="A782" s="456" t="s">
        <v>947</v>
      </c>
      <c r="B782" s="453">
        <v>907</v>
      </c>
      <c r="C782" s="457" t="s">
        <v>491</v>
      </c>
      <c r="D782" s="457" t="s">
        <v>118</v>
      </c>
      <c r="E782" s="457" t="s">
        <v>1268</v>
      </c>
      <c r="F782" s="457"/>
      <c r="G782" s="455">
        <f>G783+G786</f>
        <v>1204</v>
      </c>
      <c r="H782" s="455">
        <f>H783+H786</f>
        <v>1204</v>
      </c>
      <c r="I782" s="201"/>
    </row>
    <row r="783" spans="1:9" ht="31.5" hidden="1" x14ac:dyDescent="0.25">
      <c r="A783" s="458" t="s">
        <v>791</v>
      </c>
      <c r="B783" s="452">
        <v>907</v>
      </c>
      <c r="C783" s="454" t="s">
        <v>491</v>
      </c>
      <c r="D783" s="454" t="s">
        <v>118</v>
      </c>
      <c r="E783" s="454" t="s">
        <v>1306</v>
      </c>
      <c r="F783" s="454"/>
      <c r="G783" s="459">
        <f>'[1]Пр.5 ведом.21'!G771</f>
        <v>0</v>
      </c>
      <c r="H783" s="459">
        <f t="shared" si="71"/>
        <v>0</v>
      </c>
      <c r="I783" s="201"/>
    </row>
    <row r="784" spans="1:9" ht="31.5" hidden="1" x14ac:dyDescent="0.25">
      <c r="A784" s="458" t="s">
        <v>272</v>
      </c>
      <c r="B784" s="452">
        <v>907</v>
      </c>
      <c r="C784" s="454" t="s">
        <v>491</v>
      </c>
      <c r="D784" s="454" t="s">
        <v>118</v>
      </c>
      <c r="E784" s="454" t="s">
        <v>1306</v>
      </c>
      <c r="F784" s="454" t="s">
        <v>273</v>
      </c>
      <c r="G784" s="459">
        <f>'[1]Пр.5 ведом.21'!G772</f>
        <v>0</v>
      </c>
      <c r="H784" s="459">
        <f t="shared" si="71"/>
        <v>0</v>
      </c>
      <c r="I784" s="201"/>
    </row>
    <row r="785" spans="1:9" ht="15.75" hidden="1" x14ac:dyDescent="0.25">
      <c r="A785" s="458" t="s">
        <v>274</v>
      </c>
      <c r="B785" s="452">
        <v>907</v>
      </c>
      <c r="C785" s="454" t="s">
        <v>491</v>
      </c>
      <c r="D785" s="454" t="s">
        <v>118</v>
      </c>
      <c r="E785" s="454" t="s">
        <v>1306</v>
      </c>
      <c r="F785" s="454" t="s">
        <v>275</v>
      </c>
      <c r="G785" s="459">
        <f>'[1]Пр.5 ведом.21'!G773</f>
        <v>0</v>
      </c>
      <c r="H785" s="459">
        <f t="shared" si="71"/>
        <v>0</v>
      </c>
      <c r="I785" s="201"/>
    </row>
    <row r="786" spans="1:9" ht="31.5" x14ac:dyDescent="0.25">
      <c r="A786" s="45" t="s">
        <v>764</v>
      </c>
      <c r="B786" s="452">
        <v>907</v>
      </c>
      <c r="C786" s="454" t="s">
        <v>491</v>
      </c>
      <c r="D786" s="454" t="s">
        <v>118</v>
      </c>
      <c r="E786" s="454" t="s">
        <v>1269</v>
      </c>
      <c r="F786" s="454"/>
      <c r="G786" s="459">
        <f>G787</f>
        <v>1204</v>
      </c>
      <c r="H786" s="459">
        <f>H787</f>
        <v>1204</v>
      </c>
      <c r="I786" s="201"/>
    </row>
    <row r="787" spans="1:9" ht="31.5" x14ac:dyDescent="0.25">
      <c r="A787" s="31" t="s">
        <v>272</v>
      </c>
      <c r="B787" s="452">
        <v>907</v>
      </c>
      <c r="C787" s="454" t="s">
        <v>491</v>
      </c>
      <c r="D787" s="454" t="s">
        <v>118</v>
      </c>
      <c r="E787" s="454" t="s">
        <v>1269</v>
      </c>
      <c r="F787" s="454" t="s">
        <v>273</v>
      </c>
      <c r="G787" s="459">
        <f>G788</f>
        <v>1204</v>
      </c>
      <c r="H787" s="459">
        <f>H788</f>
        <v>1204</v>
      </c>
      <c r="I787" s="201"/>
    </row>
    <row r="788" spans="1:9" ht="15.75" x14ac:dyDescent="0.25">
      <c r="A788" s="31" t="s">
        <v>274</v>
      </c>
      <c r="B788" s="452">
        <v>907</v>
      </c>
      <c r="C788" s="454" t="s">
        <v>491</v>
      </c>
      <c r="D788" s="454" t="s">
        <v>118</v>
      </c>
      <c r="E788" s="454" t="s">
        <v>1269</v>
      </c>
      <c r="F788" s="454" t="s">
        <v>275</v>
      </c>
      <c r="G788" s="459">
        <v>1204</v>
      </c>
      <c r="H788" s="459">
        <f t="shared" si="71"/>
        <v>1204</v>
      </c>
      <c r="I788" s="201"/>
    </row>
    <row r="789" spans="1:9" ht="47.25" x14ac:dyDescent="0.25">
      <c r="A789" s="456" t="s">
        <v>900</v>
      </c>
      <c r="B789" s="453">
        <v>907</v>
      </c>
      <c r="C789" s="457" t="s">
        <v>491</v>
      </c>
      <c r="D789" s="457" t="s">
        <v>118</v>
      </c>
      <c r="E789" s="457" t="s">
        <v>1270</v>
      </c>
      <c r="F789" s="457"/>
      <c r="G789" s="455">
        <f>G790</f>
        <v>813.5</v>
      </c>
      <c r="H789" s="455">
        <f>H790</f>
        <v>813.5</v>
      </c>
      <c r="I789" s="201"/>
    </row>
    <row r="790" spans="1:9" ht="94.5" x14ac:dyDescent="0.25">
      <c r="A790" s="31" t="s">
        <v>464</v>
      </c>
      <c r="B790" s="452">
        <v>907</v>
      </c>
      <c r="C790" s="454" t="s">
        <v>491</v>
      </c>
      <c r="D790" s="454" t="s">
        <v>118</v>
      </c>
      <c r="E790" s="454" t="s">
        <v>1405</v>
      </c>
      <c r="F790" s="454"/>
      <c r="G790" s="459">
        <f t="shared" ref="G790:H791" si="73">G791</f>
        <v>813.5</v>
      </c>
      <c r="H790" s="459">
        <f t="shared" si="73"/>
        <v>813.5</v>
      </c>
      <c r="I790" s="201"/>
    </row>
    <row r="791" spans="1:9" ht="31.5" x14ac:dyDescent="0.25">
      <c r="A791" s="458" t="s">
        <v>272</v>
      </c>
      <c r="B791" s="452">
        <v>907</v>
      </c>
      <c r="C791" s="454" t="s">
        <v>491</v>
      </c>
      <c r="D791" s="454" t="s">
        <v>118</v>
      </c>
      <c r="E791" s="454" t="s">
        <v>1405</v>
      </c>
      <c r="F791" s="454" t="s">
        <v>273</v>
      </c>
      <c r="G791" s="459">
        <f t="shared" si="73"/>
        <v>813.5</v>
      </c>
      <c r="H791" s="459">
        <f t="shared" si="73"/>
        <v>813.5</v>
      </c>
      <c r="I791" s="201"/>
    </row>
    <row r="792" spans="1:9" ht="15.75" x14ac:dyDescent="0.25">
      <c r="A792" s="458" t="s">
        <v>274</v>
      </c>
      <c r="B792" s="452">
        <v>907</v>
      </c>
      <c r="C792" s="454" t="s">
        <v>491</v>
      </c>
      <c r="D792" s="454" t="s">
        <v>118</v>
      </c>
      <c r="E792" s="454" t="s">
        <v>1405</v>
      </c>
      <c r="F792" s="454" t="s">
        <v>275</v>
      </c>
      <c r="G792" s="459">
        <f>813.5</f>
        <v>813.5</v>
      </c>
      <c r="H792" s="459">
        <f t="shared" si="71"/>
        <v>813.5</v>
      </c>
      <c r="I792" s="252">
        <f>12177.1/11326*870.2</f>
        <v>935.59177291188428</v>
      </c>
    </row>
    <row r="793" spans="1:9" ht="47.25" x14ac:dyDescent="0.25">
      <c r="A793" s="34" t="s">
        <v>1360</v>
      </c>
      <c r="B793" s="453">
        <v>907</v>
      </c>
      <c r="C793" s="457" t="s">
        <v>491</v>
      </c>
      <c r="D793" s="457" t="s">
        <v>118</v>
      </c>
      <c r="E793" s="457" t="s">
        <v>324</v>
      </c>
      <c r="F793" s="457"/>
      <c r="G793" s="455">
        <f t="shared" ref="G793:H796" si="74">G794</f>
        <v>0</v>
      </c>
      <c r="H793" s="455">
        <f t="shared" si="74"/>
        <v>8</v>
      </c>
      <c r="I793" s="252"/>
    </row>
    <row r="794" spans="1:9" ht="63" x14ac:dyDescent="0.25">
      <c r="A794" s="34" t="s">
        <v>1009</v>
      </c>
      <c r="B794" s="453">
        <v>907</v>
      </c>
      <c r="C794" s="457" t="s">
        <v>491</v>
      </c>
      <c r="D794" s="457" t="s">
        <v>118</v>
      </c>
      <c r="E794" s="457" t="s">
        <v>934</v>
      </c>
      <c r="F794" s="457"/>
      <c r="G794" s="455">
        <f t="shared" si="74"/>
        <v>0</v>
      </c>
      <c r="H794" s="455">
        <f t="shared" si="74"/>
        <v>8</v>
      </c>
      <c r="I794" s="252"/>
    </row>
    <row r="795" spans="1:9" ht="47.25" x14ac:dyDescent="0.25">
      <c r="A795" s="31" t="s">
        <v>1082</v>
      </c>
      <c r="B795" s="452">
        <v>907</v>
      </c>
      <c r="C795" s="454" t="s">
        <v>491</v>
      </c>
      <c r="D795" s="454" t="s">
        <v>118</v>
      </c>
      <c r="E795" s="454" t="s">
        <v>935</v>
      </c>
      <c r="F795" s="454"/>
      <c r="G795" s="459">
        <f t="shared" si="74"/>
        <v>0</v>
      </c>
      <c r="H795" s="459">
        <f t="shared" si="74"/>
        <v>8</v>
      </c>
      <c r="I795" s="252"/>
    </row>
    <row r="796" spans="1:9" ht="31.5" x14ac:dyDescent="0.25">
      <c r="A796" s="458" t="s">
        <v>131</v>
      </c>
      <c r="B796" s="452">
        <v>907</v>
      </c>
      <c r="C796" s="454" t="s">
        <v>491</v>
      </c>
      <c r="D796" s="454" t="s">
        <v>118</v>
      </c>
      <c r="E796" s="454" t="s">
        <v>935</v>
      </c>
      <c r="F796" s="454" t="s">
        <v>273</v>
      </c>
      <c r="G796" s="459">
        <f t="shared" si="74"/>
        <v>0</v>
      </c>
      <c r="H796" s="459">
        <f t="shared" si="74"/>
        <v>8</v>
      </c>
      <c r="I796" s="252"/>
    </row>
    <row r="797" spans="1:9" ht="31.5" x14ac:dyDescent="0.25">
      <c r="A797" s="458" t="s">
        <v>133</v>
      </c>
      <c r="B797" s="452">
        <v>907</v>
      </c>
      <c r="C797" s="454" t="s">
        <v>491</v>
      </c>
      <c r="D797" s="454" t="s">
        <v>118</v>
      </c>
      <c r="E797" s="454" t="s">
        <v>935</v>
      </c>
      <c r="F797" s="454" t="s">
        <v>275</v>
      </c>
      <c r="G797" s="459">
        <v>0</v>
      </c>
      <c r="H797" s="459">
        <v>8</v>
      </c>
      <c r="I797" s="252"/>
    </row>
    <row r="798" spans="1:9" ht="47.25" x14ac:dyDescent="0.25">
      <c r="A798" s="462" t="s">
        <v>1355</v>
      </c>
      <c r="B798" s="453">
        <v>907</v>
      </c>
      <c r="C798" s="457" t="s">
        <v>491</v>
      </c>
      <c r="D798" s="457" t="s">
        <v>118</v>
      </c>
      <c r="E798" s="457" t="s">
        <v>705</v>
      </c>
      <c r="F798" s="465"/>
      <c r="G798" s="455">
        <f t="shared" ref="G798:H801" si="75">G799</f>
        <v>579.1</v>
      </c>
      <c r="H798" s="455">
        <f t="shared" si="75"/>
        <v>602.29999999999995</v>
      </c>
      <c r="I798" s="201"/>
    </row>
    <row r="799" spans="1:9" ht="47.25" x14ac:dyDescent="0.25">
      <c r="A799" s="462" t="s">
        <v>890</v>
      </c>
      <c r="B799" s="453">
        <v>907</v>
      </c>
      <c r="C799" s="457" t="s">
        <v>491</v>
      </c>
      <c r="D799" s="457" t="s">
        <v>118</v>
      </c>
      <c r="E799" s="457" t="s">
        <v>888</v>
      </c>
      <c r="F799" s="465"/>
      <c r="G799" s="455">
        <f t="shared" si="75"/>
        <v>579.1</v>
      </c>
      <c r="H799" s="455">
        <f t="shared" si="75"/>
        <v>602.29999999999995</v>
      </c>
      <c r="I799" s="201"/>
    </row>
    <row r="800" spans="1:9" ht="47.25" x14ac:dyDescent="0.25">
      <c r="A800" s="98" t="s">
        <v>780</v>
      </c>
      <c r="B800" s="452">
        <v>907</v>
      </c>
      <c r="C800" s="454" t="s">
        <v>491</v>
      </c>
      <c r="D800" s="454" t="s">
        <v>118</v>
      </c>
      <c r="E800" s="454" t="s">
        <v>936</v>
      </c>
      <c r="F800" s="460"/>
      <c r="G800" s="459">
        <f t="shared" si="75"/>
        <v>579.1</v>
      </c>
      <c r="H800" s="459">
        <f t="shared" si="75"/>
        <v>602.29999999999995</v>
      </c>
      <c r="I800" s="201"/>
    </row>
    <row r="801" spans="1:9" ht="31.5" x14ac:dyDescent="0.25">
      <c r="A801" s="29" t="s">
        <v>272</v>
      </c>
      <c r="B801" s="452">
        <v>907</v>
      </c>
      <c r="C801" s="454" t="s">
        <v>491</v>
      </c>
      <c r="D801" s="454" t="s">
        <v>118</v>
      </c>
      <c r="E801" s="454" t="s">
        <v>936</v>
      </c>
      <c r="F801" s="460" t="s">
        <v>273</v>
      </c>
      <c r="G801" s="459">
        <f t="shared" si="75"/>
        <v>579.1</v>
      </c>
      <c r="H801" s="459">
        <f t="shared" si="75"/>
        <v>602.29999999999995</v>
      </c>
      <c r="I801" s="201"/>
    </row>
    <row r="802" spans="1:9" ht="15.75" x14ac:dyDescent="0.25">
      <c r="A802" s="182" t="s">
        <v>274</v>
      </c>
      <c r="B802" s="452">
        <v>907</v>
      </c>
      <c r="C802" s="454" t="s">
        <v>491</v>
      </c>
      <c r="D802" s="454" t="s">
        <v>118</v>
      </c>
      <c r="E802" s="454" t="s">
        <v>936</v>
      </c>
      <c r="F802" s="460" t="s">
        <v>275</v>
      </c>
      <c r="G802" s="459">
        <v>579.1</v>
      </c>
      <c r="H802" s="459">
        <v>602.29999999999995</v>
      </c>
      <c r="I802" s="201"/>
    </row>
    <row r="803" spans="1:9" ht="31.5" x14ac:dyDescent="0.25">
      <c r="A803" s="456" t="s">
        <v>500</v>
      </c>
      <c r="B803" s="453">
        <v>907</v>
      </c>
      <c r="C803" s="457" t="s">
        <v>491</v>
      </c>
      <c r="D803" s="457" t="s">
        <v>234</v>
      </c>
      <c r="E803" s="457"/>
      <c r="F803" s="457"/>
      <c r="G803" s="455">
        <f>G804+G812+G824</f>
        <v>13529.2</v>
      </c>
      <c r="H803" s="455">
        <f>H804+H812+H824</f>
        <v>13529.2</v>
      </c>
      <c r="I803" s="201"/>
    </row>
    <row r="804" spans="1:9" ht="31.5" x14ac:dyDescent="0.25">
      <c r="A804" s="456" t="s">
        <v>917</v>
      </c>
      <c r="B804" s="453">
        <v>907</v>
      </c>
      <c r="C804" s="457" t="s">
        <v>491</v>
      </c>
      <c r="D804" s="457" t="s">
        <v>234</v>
      </c>
      <c r="E804" s="457" t="s">
        <v>858</v>
      </c>
      <c r="F804" s="457"/>
      <c r="G804" s="455">
        <f>G805</f>
        <v>5224.5</v>
      </c>
      <c r="H804" s="455">
        <f>H805</f>
        <v>5224.5</v>
      </c>
      <c r="I804" s="201"/>
    </row>
    <row r="805" spans="1:9" ht="15.75" x14ac:dyDescent="0.25">
      <c r="A805" s="456" t="s">
        <v>918</v>
      </c>
      <c r="B805" s="453">
        <v>907</v>
      </c>
      <c r="C805" s="457" t="s">
        <v>491</v>
      </c>
      <c r="D805" s="457" t="s">
        <v>234</v>
      </c>
      <c r="E805" s="457" t="s">
        <v>859</v>
      </c>
      <c r="F805" s="457"/>
      <c r="G805" s="455">
        <f>G806+G809</f>
        <v>5224.5</v>
      </c>
      <c r="H805" s="455">
        <f>H806+H809</f>
        <v>5224.5</v>
      </c>
      <c r="I805" s="201"/>
    </row>
    <row r="806" spans="1:9" ht="31.5" x14ac:dyDescent="0.25">
      <c r="A806" s="458" t="s">
        <v>897</v>
      </c>
      <c r="B806" s="452">
        <v>907</v>
      </c>
      <c r="C806" s="454" t="s">
        <v>491</v>
      </c>
      <c r="D806" s="454" t="s">
        <v>234</v>
      </c>
      <c r="E806" s="454" t="s">
        <v>860</v>
      </c>
      <c r="F806" s="454"/>
      <c r="G806" s="459">
        <f>G807</f>
        <v>4888.5</v>
      </c>
      <c r="H806" s="459">
        <f>H807</f>
        <v>4888.5</v>
      </c>
      <c r="I806" s="201"/>
    </row>
    <row r="807" spans="1:9" ht="78.75" x14ac:dyDescent="0.25">
      <c r="A807" s="458" t="s">
        <v>127</v>
      </c>
      <c r="B807" s="452">
        <v>907</v>
      </c>
      <c r="C807" s="454" t="s">
        <v>491</v>
      </c>
      <c r="D807" s="454" t="s">
        <v>234</v>
      </c>
      <c r="E807" s="454" t="s">
        <v>860</v>
      </c>
      <c r="F807" s="454" t="s">
        <v>128</v>
      </c>
      <c r="G807" s="459">
        <f>G808</f>
        <v>4888.5</v>
      </c>
      <c r="H807" s="459">
        <f>H808</f>
        <v>4888.5</v>
      </c>
      <c r="I807" s="201"/>
    </row>
    <row r="808" spans="1:9" ht="31.5" x14ac:dyDescent="0.25">
      <c r="A808" s="458" t="s">
        <v>129</v>
      </c>
      <c r="B808" s="452">
        <v>907</v>
      </c>
      <c r="C808" s="454" t="s">
        <v>491</v>
      </c>
      <c r="D808" s="454" t="s">
        <v>234</v>
      </c>
      <c r="E808" s="454" t="s">
        <v>860</v>
      </c>
      <c r="F808" s="454" t="s">
        <v>130</v>
      </c>
      <c r="G808" s="459">
        <v>4888.5</v>
      </c>
      <c r="H808" s="459">
        <f t="shared" si="71"/>
        <v>4888.5</v>
      </c>
      <c r="I808" s="201"/>
    </row>
    <row r="809" spans="1:9" ht="47.25" x14ac:dyDescent="0.25">
      <c r="A809" s="458" t="s">
        <v>839</v>
      </c>
      <c r="B809" s="452">
        <v>907</v>
      </c>
      <c r="C809" s="454" t="s">
        <v>491</v>
      </c>
      <c r="D809" s="454" t="s">
        <v>234</v>
      </c>
      <c r="E809" s="454" t="s">
        <v>862</v>
      </c>
      <c r="F809" s="454"/>
      <c r="G809" s="459">
        <f>G810</f>
        <v>336</v>
      </c>
      <c r="H809" s="459">
        <f>H810</f>
        <v>336</v>
      </c>
      <c r="I809" s="201"/>
    </row>
    <row r="810" spans="1:9" ht="78.75" x14ac:dyDescent="0.25">
      <c r="A810" s="458" t="s">
        <v>127</v>
      </c>
      <c r="B810" s="452">
        <v>907</v>
      </c>
      <c r="C810" s="454" t="s">
        <v>491</v>
      </c>
      <c r="D810" s="454" t="s">
        <v>234</v>
      </c>
      <c r="E810" s="454" t="s">
        <v>862</v>
      </c>
      <c r="F810" s="454" t="s">
        <v>128</v>
      </c>
      <c r="G810" s="459">
        <f>G811</f>
        <v>336</v>
      </c>
      <c r="H810" s="459">
        <f>H811</f>
        <v>336</v>
      </c>
      <c r="I810" s="201"/>
    </row>
    <row r="811" spans="1:9" ht="31.5" x14ac:dyDescent="0.25">
      <c r="A811" s="458" t="s">
        <v>129</v>
      </c>
      <c r="B811" s="452">
        <v>907</v>
      </c>
      <c r="C811" s="454" t="s">
        <v>491</v>
      </c>
      <c r="D811" s="454" t="s">
        <v>234</v>
      </c>
      <c r="E811" s="454" t="s">
        <v>862</v>
      </c>
      <c r="F811" s="454" t="s">
        <v>130</v>
      </c>
      <c r="G811" s="459">
        <v>336</v>
      </c>
      <c r="H811" s="459">
        <f t="shared" si="71"/>
        <v>336</v>
      </c>
      <c r="I811" s="201"/>
    </row>
    <row r="812" spans="1:9" ht="15.75" x14ac:dyDescent="0.25">
      <c r="A812" s="456" t="s">
        <v>141</v>
      </c>
      <c r="B812" s="453">
        <v>907</v>
      </c>
      <c r="C812" s="457" t="s">
        <v>491</v>
      </c>
      <c r="D812" s="457" t="s">
        <v>234</v>
      </c>
      <c r="E812" s="457" t="s">
        <v>866</v>
      </c>
      <c r="F812" s="457"/>
      <c r="G812" s="455">
        <f>G813</f>
        <v>5304.7</v>
      </c>
      <c r="H812" s="455">
        <f>H813</f>
        <v>5304.7</v>
      </c>
      <c r="I812" s="201"/>
    </row>
    <row r="813" spans="1:9" ht="31.5" x14ac:dyDescent="0.25">
      <c r="A813" s="456" t="s">
        <v>929</v>
      </c>
      <c r="B813" s="453">
        <v>907</v>
      </c>
      <c r="C813" s="457" t="s">
        <v>491</v>
      </c>
      <c r="D813" s="457" t="s">
        <v>234</v>
      </c>
      <c r="E813" s="457" t="s">
        <v>914</v>
      </c>
      <c r="F813" s="457"/>
      <c r="G813" s="455">
        <f>G814+G821</f>
        <v>5304.7</v>
      </c>
      <c r="H813" s="455">
        <f>H814+H821</f>
        <v>5304.7</v>
      </c>
      <c r="I813" s="201"/>
    </row>
    <row r="814" spans="1:9" ht="31.5" x14ac:dyDescent="0.25">
      <c r="A814" s="458" t="s">
        <v>903</v>
      </c>
      <c r="B814" s="452">
        <v>907</v>
      </c>
      <c r="C814" s="454" t="s">
        <v>491</v>
      </c>
      <c r="D814" s="454" t="s">
        <v>234</v>
      </c>
      <c r="E814" s="454" t="s">
        <v>915</v>
      </c>
      <c r="F814" s="454"/>
      <c r="G814" s="459">
        <f>G815+G817+G819</f>
        <v>5089.7</v>
      </c>
      <c r="H814" s="459">
        <f>H815+H817+H819</f>
        <v>5089.7</v>
      </c>
      <c r="I814" s="201"/>
    </row>
    <row r="815" spans="1:9" ht="78.75" x14ac:dyDescent="0.25">
      <c r="A815" s="458" t="s">
        <v>127</v>
      </c>
      <c r="B815" s="452">
        <v>907</v>
      </c>
      <c r="C815" s="454" t="s">
        <v>491</v>
      </c>
      <c r="D815" s="454" t="s">
        <v>234</v>
      </c>
      <c r="E815" s="454" t="s">
        <v>915</v>
      </c>
      <c r="F815" s="454" t="s">
        <v>128</v>
      </c>
      <c r="G815" s="459">
        <f>G816</f>
        <v>4695.3999999999996</v>
      </c>
      <c r="H815" s="459">
        <f>H816</f>
        <v>4695.3999999999996</v>
      </c>
      <c r="I815" s="201"/>
    </row>
    <row r="816" spans="1:9" ht="19.5" customHeight="1" x14ac:dyDescent="0.25">
      <c r="A816" s="458" t="s">
        <v>342</v>
      </c>
      <c r="B816" s="452">
        <v>907</v>
      </c>
      <c r="C816" s="454" t="s">
        <v>491</v>
      </c>
      <c r="D816" s="454" t="s">
        <v>234</v>
      </c>
      <c r="E816" s="454" t="s">
        <v>915</v>
      </c>
      <c r="F816" s="454" t="s">
        <v>209</v>
      </c>
      <c r="G816" s="459">
        <v>4695.3999999999996</v>
      </c>
      <c r="H816" s="459">
        <f t="shared" si="71"/>
        <v>4695.3999999999996</v>
      </c>
      <c r="I816" s="201"/>
    </row>
    <row r="817" spans="1:13" ht="31.5" x14ac:dyDescent="0.25">
      <c r="A817" s="458" t="s">
        <v>131</v>
      </c>
      <c r="B817" s="452">
        <v>907</v>
      </c>
      <c r="C817" s="454" t="s">
        <v>491</v>
      </c>
      <c r="D817" s="454" t="s">
        <v>234</v>
      </c>
      <c r="E817" s="454" t="s">
        <v>915</v>
      </c>
      <c r="F817" s="454" t="s">
        <v>132</v>
      </c>
      <c r="G817" s="459">
        <f>G818</f>
        <v>343.3</v>
      </c>
      <c r="H817" s="459">
        <f>H818</f>
        <v>343.3</v>
      </c>
      <c r="I817" s="201"/>
    </row>
    <row r="818" spans="1:13" ht="31.5" x14ac:dyDescent="0.25">
      <c r="A818" s="458" t="s">
        <v>133</v>
      </c>
      <c r="B818" s="452">
        <v>907</v>
      </c>
      <c r="C818" s="454" t="s">
        <v>491</v>
      </c>
      <c r="D818" s="454" t="s">
        <v>234</v>
      </c>
      <c r="E818" s="454" t="s">
        <v>915</v>
      </c>
      <c r="F818" s="454" t="s">
        <v>134</v>
      </c>
      <c r="G818" s="459">
        <v>343.3</v>
      </c>
      <c r="H818" s="459">
        <f t="shared" si="71"/>
        <v>343.3</v>
      </c>
      <c r="I818" s="201"/>
    </row>
    <row r="819" spans="1:13" ht="15.75" x14ac:dyDescent="0.25">
      <c r="A819" s="458" t="s">
        <v>135</v>
      </c>
      <c r="B819" s="452">
        <v>907</v>
      </c>
      <c r="C819" s="454" t="s">
        <v>491</v>
      </c>
      <c r="D819" s="454" t="s">
        <v>234</v>
      </c>
      <c r="E819" s="454" t="s">
        <v>915</v>
      </c>
      <c r="F819" s="454" t="s">
        <v>145</v>
      </c>
      <c r="G819" s="459">
        <f>G820</f>
        <v>51</v>
      </c>
      <c r="H819" s="459">
        <f>H820</f>
        <v>51</v>
      </c>
      <c r="I819" s="201"/>
    </row>
    <row r="820" spans="1:13" ht="15.75" x14ac:dyDescent="0.25">
      <c r="A820" s="458" t="s">
        <v>568</v>
      </c>
      <c r="B820" s="452">
        <v>907</v>
      </c>
      <c r="C820" s="454" t="s">
        <v>491</v>
      </c>
      <c r="D820" s="454" t="s">
        <v>234</v>
      </c>
      <c r="E820" s="454" t="s">
        <v>915</v>
      </c>
      <c r="F820" s="454" t="s">
        <v>138</v>
      </c>
      <c r="G820" s="459">
        <f>51</f>
        <v>51</v>
      </c>
      <c r="H820" s="459">
        <f t="shared" si="71"/>
        <v>51</v>
      </c>
      <c r="I820" s="201"/>
    </row>
    <row r="821" spans="1:13" ht="47.25" x14ac:dyDescent="0.25">
      <c r="A821" s="458" t="s">
        <v>839</v>
      </c>
      <c r="B821" s="452">
        <v>907</v>
      </c>
      <c r="C821" s="454" t="s">
        <v>491</v>
      </c>
      <c r="D821" s="454" t="s">
        <v>234</v>
      </c>
      <c r="E821" s="454" t="s">
        <v>916</v>
      </c>
      <c r="F821" s="454"/>
      <c r="G821" s="459">
        <f>G822</f>
        <v>215</v>
      </c>
      <c r="H821" s="459">
        <f>H822</f>
        <v>215</v>
      </c>
      <c r="I821" s="201"/>
    </row>
    <row r="822" spans="1:13" ht="78.75" x14ac:dyDescent="0.25">
      <c r="A822" s="458" t="s">
        <v>127</v>
      </c>
      <c r="B822" s="452">
        <v>907</v>
      </c>
      <c r="C822" s="454" t="s">
        <v>491</v>
      </c>
      <c r="D822" s="454" t="s">
        <v>234</v>
      </c>
      <c r="E822" s="454" t="s">
        <v>916</v>
      </c>
      <c r="F822" s="454" t="s">
        <v>128</v>
      </c>
      <c r="G822" s="459">
        <f>G823</f>
        <v>215</v>
      </c>
      <c r="H822" s="459">
        <f>H823</f>
        <v>215</v>
      </c>
      <c r="I822" s="201"/>
    </row>
    <row r="823" spans="1:13" ht="19.5" customHeight="1" x14ac:dyDescent="0.25">
      <c r="A823" s="458" t="s">
        <v>342</v>
      </c>
      <c r="B823" s="452">
        <v>907</v>
      </c>
      <c r="C823" s="454" t="s">
        <v>491</v>
      </c>
      <c r="D823" s="454" t="s">
        <v>234</v>
      </c>
      <c r="E823" s="454" t="s">
        <v>916</v>
      </c>
      <c r="F823" s="454" t="s">
        <v>209</v>
      </c>
      <c r="G823" s="459">
        <v>215</v>
      </c>
      <c r="H823" s="459">
        <f t="shared" si="71"/>
        <v>215</v>
      </c>
      <c r="I823" s="201"/>
    </row>
    <row r="824" spans="1:13" ht="47.25" x14ac:dyDescent="0.25">
      <c r="A824" s="462" t="s">
        <v>1372</v>
      </c>
      <c r="B824" s="453">
        <v>907</v>
      </c>
      <c r="C824" s="457" t="s">
        <v>491</v>
      </c>
      <c r="D824" s="457" t="s">
        <v>234</v>
      </c>
      <c r="E824" s="7" t="s">
        <v>482</v>
      </c>
      <c r="F824" s="457"/>
      <c r="G824" s="455">
        <f>G825</f>
        <v>3000</v>
      </c>
      <c r="H824" s="455">
        <f>H825</f>
        <v>3000</v>
      </c>
      <c r="I824" s="201"/>
    </row>
    <row r="825" spans="1:13" ht="31.5" x14ac:dyDescent="0.25">
      <c r="A825" s="58" t="s">
        <v>951</v>
      </c>
      <c r="B825" s="453">
        <v>907</v>
      </c>
      <c r="C825" s="457" t="s">
        <v>491</v>
      </c>
      <c r="D825" s="457" t="s">
        <v>234</v>
      </c>
      <c r="E825" s="7" t="s">
        <v>1272</v>
      </c>
      <c r="F825" s="457"/>
      <c r="G825" s="455">
        <f t="shared" ref="G825:H825" si="76">G826</f>
        <v>3000</v>
      </c>
      <c r="H825" s="455">
        <f t="shared" si="76"/>
        <v>3000</v>
      </c>
      <c r="I825" s="201"/>
    </row>
    <row r="826" spans="1:13" ht="15.75" x14ac:dyDescent="0.25">
      <c r="A826" s="29" t="s">
        <v>952</v>
      </c>
      <c r="B826" s="452">
        <v>907</v>
      </c>
      <c r="C826" s="454" t="s">
        <v>491</v>
      </c>
      <c r="D826" s="454" t="s">
        <v>234</v>
      </c>
      <c r="E826" s="461" t="s">
        <v>1273</v>
      </c>
      <c r="F826" s="454"/>
      <c r="G826" s="459">
        <f>G827+G829</f>
        <v>3000</v>
      </c>
      <c r="H826" s="459">
        <f>H827+H829</f>
        <v>3000</v>
      </c>
      <c r="I826" s="201"/>
    </row>
    <row r="827" spans="1:13" ht="78.75" x14ac:dyDescent="0.25">
      <c r="A827" s="458" t="s">
        <v>127</v>
      </c>
      <c r="B827" s="452">
        <v>907</v>
      </c>
      <c r="C827" s="454" t="s">
        <v>491</v>
      </c>
      <c r="D827" s="454" t="s">
        <v>234</v>
      </c>
      <c r="E827" s="461" t="s">
        <v>1273</v>
      </c>
      <c r="F827" s="454" t="s">
        <v>128</v>
      </c>
      <c r="G827" s="459">
        <f>G828</f>
        <v>2500</v>
      </c>
      <c r="H827" s="459">
        <f>H828</f>
        <v>2500</v>
      </c>
      <c r="I827" s="201"/>
    </row>
    <row r="828" spans="1:13" ht="31.5" x14ac:dyDescent="0.25">
      <c r="A828" s="458" t="s">
        <v>342</v>
      </c>
      <c r="B828" s="452">
        <v>907</v>
      </c>
      <c r="C828" s="454" t="s">
        <v>491</v>
      </c>
      <c r="D828" s="454" t="s">
        <v>234</v>
      </c>
      <c r="E828" s="461" t="s">
        <v>1273</v>
      </c>
      <c r="F828" s="454" t="s">
        <v>209</v>
      </c>
      <c r="G828" s="459">
        <v>2500</v>
      </c>
      <c r="H828" s="459">
        <v>2500</v>
      </c>
      <c r="I828" s="201"/>
    </row>
    <row r="829" spans="1:13" ht="31.5" x14ac:dyDescent="0.25">
      <c r="A829" s="29" t="s">
        <v>131</v>
      </c>
      <c r="B829" s="452">
        <v>907</v>
      </c>
      <c r="C829" s="454" t="s">
        <v>491</v>
      </c>
      <c r="D829" s="454" t="s">
        <v>234</v>
      </c>
      <c r="E829" s="461" t="s">
        <v>1273</v>
      </c>
      <c r="F829" s="454" t="s">
        <v>132</v>
      </c>
      <c r="G829" s="459">
        <f>G830</f>
        <v>500</v>
      </c>
      <c r="H829" s="459">
        <f>H830</f>
        <v>500</v>
      </c>
      <c r="I829" s="201"/>
    </row>
    <row r="830" spans="1:13" ht="31.5" x14ac:dyDescent="0.25">
      <c r="A830" s="29" t="s">
        <v>133</v>
      </c>
      <c r="B830" s="452">
        <v>907</v>
      </c>
      <c r="C830" s="454" t="s">
        <v>491</v>
      </c>
      <c r="D830" s="454" t="s">
        <v>234</v>
      </c>
      <c r="E830" s="461" t="s">
        <v>1273</v>
      </c>
      <c r="F830" s="454" t="s">
        <v>134</v>
      </c>
      <c r="G830" s="459">
        <f>500</f>
        <v>500</v>
      </c>
      <c r="H830" s="459">
        <f t="shared" si="71"/>
        <v>500</v>
      </c>
      <c r="I830" s="201"/>
    </row>
    <row r="831" spans="1:13" ht="31.5" x14ac:dyDescent="0.25">
      <c r="A831" s="453" t="s">
        <v>504</v>
      </c>
      <c r="B831" s="453">
        <v>908</v>
      </c>
      <c r="C831" s="454"/>
      <c r="D831" s="454"/>
      <c r="E831" s="454"/>
      <c r="F831" s="454"/>
      <c r="G831" s="455">
        <f>G846+G853+G874+G1038+G832</f>
        <v>88568.8</v>
      </c>
      <c r="H831" s="455">
        <f>H846+H853+H874+H1038+H832</f>
        <v>96681.150000000009</v>
      </c>
      <c r="I831" s="201"/>
      <c r="M831" s="22"/>
    </row>
    <row r="832" spans="1:13" ht="15.75" x14ac:dyDescent="0.25">
      <c r="A832" s="34" t="s">
        <v>117</v>
      </c>
      <c r="B832" s="453">
        <v>908</v>
      </c>
      <c r="C832" s="457" t="s">
        <v>118</v>
      </c>
      <c r="D832" s="454"/>
      <c r="E832" s="454"/>
      <c r="F832" s="454"/>
      <c r="G832" s="455">
        <f>G833</f>
        <v>41282.100000000006</v>
      </c>
      <c r="H832" s="455">
        <f t="shared" ref="G832:H834" si="77">H833</f>
        <v>41282.100000000006</v>
      </c>
      <c r="I832" s="201"/>
    </row>
    <row r="833" spans="1:9" ht="15.75" x14ac:dyDescent="0.25">
      <c r="A833" s="34" t="s">
        <v>139</v>
      </c>
      <c r="B833" s="453">
        <v>908</v>
      </c>
      <c r="C833" s="457" t="s">
        <v>118</v>
      </c>
      <c r="D833" s="457" t="s">
        <v>140</v>
      </c>
      <c r="E833" s="454"/>
      <c r="F833" s="454"/>
      <c r="G833" s="455">
        <f t="shared" si="77"/>
        <v>41282.100000000006</v>
      </c>
      <c r="H833" s="455">
        <f t="shared" si="77"/>
        <v>41282.100000000006</v>
      </c>
      <c r="I833" s="201"/>
    </row>
    <row r="834" spans="1:9" ht="15.75" x14ac:dyDescent="0.25">
      <c r="A834" s="456" t="s">
        <v>141</v>
      </c>
      <c r="B834" s="453">
        <v>908</v>
      </c>
      <c r="C834" s="457" t="s">
        <v>118</v>
      </c>
      <c r="D834" s="457" t="s">
        <v>140</v>
      </c>
      <c r="E834" s="457" t="s">
        <v>866</v>
      </c>
      <c r="F834" s="457"/>
      <c r="G834" s="44">
        <f t="shared" si="77"/>
        <v>41282.100000000006</v>
      </c>
      <c r="H834" s="44">
        <f t="shared" si="77"/>
        <v>41282.100000000006</v>
      </c>
      <c r="I834" s="201"/>
    </row>
    <row r="835" spans="1:9" ht="15.75" x14ac:dyDescent="0.25">
      <c r="A835" s="456" t="s">
        <v>954</v>
      </c>
      <c r="B835" s="453">
        <v>908</v>
      </c>
      <c r="C835" s="457" t="s">
        <v>118</v>
      </c>
      <c r="D835" s="457" t="s">
        <v>140</v>
      </c>
      <c r="E835" s="457" t="s">
        <v>953</v>
      </c>
      <c r="F835" s="457"/>
      <c r="G835" s="44">
        <f>G839+G836</f>
        <v>41282.100000000006</v>
      </c>
      <c r="H835" s="44">
        <f>H839+H836</f>
        <v>41282.100000000006</v>
      </c>
      <c r="I835" s="201"/>
    </row>
    <row r="836" spans="1:9" ht="47.25" x14ac:dyDescent="0.25">
      <c r="A836" s="458" t="s">
        <v>839</v>
      </c>
      <c r="B836" s="452">
        <v>908</v>
      </c>
      <c r="C836" s="454" t="s">
        <v>118</v>
      </c>
      <c r="D836" s="454" t="s">
        <v>140</v>
      </c>
      <c r="E836" s="454" t="s">
        <v>956</v>
      </c>
      <c r="F836" s="454"/>
      <c r="G836" s="459">
        <f>G837</f>
        <v>1072</v>
      </c>
      <c r="H836" s="459">
        <f>H837</f>
        <v>1072</v>
      </c>
      <c r="I836" s="201"/>
    </row>
    <row r="837" spans="1:9" ht="78.75" x14ac:dyDescent="0.25">
      <c r="A837" s="458" t="s">
        <v>127</v>
      </c>
      <c r="B837" s="452">
        <v>908</v>
      </c>
      <c r="C837" s="454" t="s">
        <v>118</v>
      </c>
      <c r="D837" s="454" t="s">
        <v>140</v>
      </c>
      <c r="E837" s="454" t="s">
        <v>956</v>
      </c>
      <c r="F837" s="454" t="s">
        <v>128</v>
      </c>
      <c r="G837" s="459">
        <f>G838</f>
        <v>1072</v>
      </c>
      <c r="H837" s="459">
        <f>H838</f>
        <v>1072</v>
      </c>
      <c r="I837" s="201"/>
    </row>
    <row r="838" spans="1:9" ht="31.5" x14ac:dyDescent="0.25">
      <c r="A838" s="458" t="s">
        <v>129</v>
      </c>
      <c r="B838" s="452">
        <v>908</v>
      </c>
      <c r="C838" s="454" t="s">
        <v>118</v>
      </c>
      <c r="D838" s="454" t="s">
        <v>140</v>
      </c>
      <c r="E838" s="454" t="s">
        <v>956</v>
      </c>
      <c r="F838" s="454" t="s">
        <v>209</v>
      </c>
      <c r="G838" s="459">
        <v>1072</v>
      </c>
      <c r="H838" s="459">
        <f t="shared" ref="H838:H901" si="78">G838</f>
        <v>1072</v>
      </c>
      <c r="I838" s="201"/>
    </row>
    <row r="839" spans="1:9" ht="15.75" x14ac:dyDescent="0.25">
      <c r="A839" s="458" t="s">
        <v>801</v>
      </c>
      <c r="B839" s="452">
        <v>908</v>
      </c>
      <c r="C839" s="454" t="s">
        <v>118</v>
      </c>
      <c r="D839" s="454" t="s">
        <v>140</v>
      </c>
      <c r="E839" s="454" t="s">
        <v>955</v>
      </c>
      <c r="F839" s="454"/>
      <c r="G839" s="459">
        <f>G840+G844+G842</f>
        <v>40210.100000000006</v>
      </c>
      <c r="H839" s="459">
        <f>H840+H844+H842</f>
        <v>40210.100000000006</v>
      </c>
      <c r="I839" s="201"/>
    </row>
    <row r="840" spans="1:9" ht="78.75" x14ac:dyDescent="0.25">
      <c r="A840" s="458" t="s">
        <v>127</v>
      </c>
      <c r="B840" s="452">
        <v>908</v>
      </c>
      <c r="C840" s="454" t="s">
        <v>118</v>
      </c>
      <c r="D840" s="454" t="s">
        <v>140</v>
      </c>
      <c r="E840" s="454" t="s">
        <v>955</v>
      </c>
      <c r="F840" s="454" t="s">
        <v>128</v>
      </c>
      <c r="G840" s="459">
        <f>G841</f>
        <v>32825.800000000003</v>
      </c>
      <c r="H840" s="459">
        <f>H841</f>
        <v>32825.800000000003</v>
      </c>
      <c r="I840" s="201"/>
    </row>
    <row r="841" spans="1:9" ht="31.5" x14ac:dyDescent="0.25">
      <c r="A841" s="46" t="s">
        <v>342</v>
      </c>
      <c r="B841" s="452">
        <v>908</v>
      </c>
      <c r="C841" s="454" t="s">
        <v>118</v>
      </c>
      <c r="D841" s="454" t="s">
        <v>140</v>
      </c>
      <c r="E841" s="454" t="s">
        <v>955</v>
      </c>
      <c r="F841" s="454" t="s">
        <v>209</v>
      </c>
      <c r="G841" s="459">
        <v>32825.800000000003</v>
      </c>
      <c r="H841" s="459">
        <f t="shared" si="78"/>
        <v>32825.800000000003</v>
      </c>
      <c r="I841" s="201"/>
    </row>
    <row r="842" spans="1:9" ht="31.5" x14ac:dyDescent="0.25">
      <c r="A842" s="458" t="s">
        <v>131</v>
      </c>
      <c r="B842" s="452">
        <v>908</v>
      </c>
      <c r="C842" s="454" t="s">
        <v>118</v>
      </c>
      <c r="D842" s="454" t="s">
        <v>140</v>
      </c>
      <c r="E842" s="454" t="s">
        <v>955</v>
      </c>
      <c r="F842" s="454" t="s">
        <v>132</v>
      </c>
      <c r="G842" s="459">
        <f>G843</f>
        <v>6963.3</v>
      </c>
      <c r="H842" s="459">
        <f>H843</f>
        <v>6963.3</v>
      </c>
      <c r="I842" s="201"/>
    </row>
    <row r="843" spans="1:9" ht="31.5" x14ac:dyDescent="0.25">
      <c r="A843" s="458" t="s">
        <v>133</v>
      </c>
      <c r="B843" s="452">
        <v>908</v>
      </c>
      <c r="C843" s="454" t="s">
        <v>118</v>
      </c>
      <c r="D843" s="454" t="s">
        <v>140</v>
      </c>
      <c r="E843" s="454" t="s">
        <v>955</v>
      </c>
      <c r="F843" s="454" t="s">
        <v>134</v>
      </c>
      <c r="G843" s="459">
        <v>6963.3</v>
      </c>
      <c r="H843" s="459">
        <f t="shared" si="78"/>
        <v>6963.3</v>
      </c>
      <c r="I843" s="201"/>
    </row>
    <row r="844" spans="1:9" ht="15.75" x14ac:dyDescent="0.25">
      <c r="A844" s="458" t="s">
        <v>135</v>
      </c>
      <c r="B844" s="452">
        <v>908</v>
      </c>
      <c r="C844" s="454" t="s">
        <v>118</v>
      </c>
      <c r="D844" s="454" t="s">
        <v>140</v>
      </c>
      <c r="E844" s="454" t="s">
        <v>955</v>
      </c>
      <c r="F844" s="454" t="s">
        <v>145</v>
      </c>
      <c r="G844" s="459">
        <f>G845</f>
        <v>421</v>
      </c>
      <c r="H844" s="459">
        <f>H845</f>
        <v>421</v>
      </c>
      <c r="I844" s="201"/>
    </row>
    <row r="845" spans="1:9" ht="15.75" x14ac:dyDescent="0.25">
      <c r="A845" s="458" t="s">
        <v>704</v>
      </c>
      <c r="B845" s="452">
        <v>908</v>
      </c>
      <c r="C845" s="454" t="s">
        <v>118</v>
      </c>
      <c r="D845" s="454" t="s">
        <v>140</v>
      </c>
      <c r="E845" s="454" t="s">
        <v>955</v>
      </c>
      <c r="F845" s="454" t="s">
        <v>138</v>
      </c>
      <c r="G845" s="459">
        <f>421</f>
        <v>421</v>
      </c>
      <c r="H845" s="459">
        <f t="shared" si="78"/>
        <v>421</v>
      </c>
      <c r="I845" s="201"/>
    </row>
    <row r="846" spans="1:9" ht="31.5" x14ac:dyDescent="0.25">
      <c r="A846" s="456" t="s">
        <v>222</v>
      </c>
      <c r="B846" s="453">
        <v>908</v>
      </c>
      <c r="C846" s="457" t="s">
        <v>215</v>
      </c>
      <c r="D846" s="457"/>
      <c r="E846" s="457"/>
      <c r="F846" s="457"/>
      <c r="G846" s="455">
        <f t="shared" ref="G846:H849" si="79">G847</f>
        <v>107</v>
      </c>
      <c r="H846" s="455">
        <f t="shared" si="79"/>
        <v>107</v>
      </c>
      <c r="I846" s="201"/>
    </row>
    <row r="847" spans="1:9" ht="47.25" x14ac:dyDescent="0.25">
      <c r="A847" s="456" t="s">
        <v>1348</v>
      </c>
      <c r="B847" s="453">
        <v>908</v>
      </c>
      <c r="C847" s="457" t="s">
        <v>215</v>
      </c>
      <c r="D847" s="457" t="s">
        <v>244</v>
      </c>
      <c r="E847" s="457"/>
      <c r="F847" s="457"/>
      <c r="G847" s="455">
        <f t="shared" si="79"/>
        <v>107</v>
      </c>
      <c r="H847" s="455">
        <f t="shared" si="79"/>
        <v>107</v>
      </c>
      <c r="I847" s="201"/>
    </row>
    <row r="848" spans="1:9" ht="15.75" x14ac:dyDescent="0.25">
      <c r="A848" s="456" t="s">
        <v>141</v>
      </c>
      <c r="B848" s="453">
        <v>908</v>
      </c>
      <c r="C848" s="457" t="s">
        <v>215</v>
      </c>
      <c r="D848" s="457" t="s">
        <v>244</v>
      </c>
      <c r="E848" s="457" t="s">
        <v>866</v>
      </c>
      <c r="F848" s="457"/>
      <c r="G848" s="455">
        <f t="shared" si="79"/>
        <v>107</v>
      </c>
      <c r="H848" s="455">
        <f t="shared" si="79"/>
        <v>107</v>
      </c>
      <c r="I848" s="201"/>
    </row>
    <row r="849" spans="1:9" ht="31.5" x14ac:dyDescent="0.25">
      <c r="A849" s="456" t="s">
        <v>870</v>
      </c>
      <c r="B849" s="453">
        <v>908</v>
      </c>
      <c r="C849" s="457" t="s">
        <v>215</v>
      </c>
      <c r="D849" s="457" t="s">
        <v>244</v>
      </c>
      <c r="E849" s="457" t="s">
        <v>865</v>
      </c>
      <c r="F849" s="457"/>
      <c r="G849" s="455">
        <f t="shared" si="79"/>
        <v>107</v>
      </c>
      <c r="H849" s="455">
        <f t="shared" si="79"/>
        <v>107</v>
      </c>
      <c r="I849" s="201"/>
    </row>
    <row r="850" spans="1:9" ht="15.75" x14ac:dyDescent="0.25">
      <c r="A850" s="458" t="s">
        <v>230</v>
      </c>
      <c r="B850" s="452">
        <v>908</v>
      </c>
      <c r="C850" s="454" t="s">
        <v>215</v>
      </c>
      <c r="D850" s="454" t="s">
        <v>244</v>
      </c>
      <c r="E850" s="454" t="s">
        <v>876</v>
      </c>
      <c r="F850" s="454"/>
      <c r="G850" s="459">
        <f>G851</f>
        <v>107</v>
      </c>
      <c r="H850" s="459">
        <f>H851</f>
        <v>107</v>
      </c>
      <c r="I850" s="201"/>
    </row>
    <row r="851" spans="1:9" ht="31.5" x14ac:dyDescent="0.25">
      <c r="A851" s="458" t="s">
        <v>131</v>
      </c>
      <c r="B851" s="452">
        <v>908</v>
      </c>
      <c r="C851" s="454" t="s">
        <v>215</v>
      </c>
      <c r="D851" s="454" t="s">
        <v>244</v>
      </c>
      <c r="E851" s="454" t="s">
        <v>876</v>
      </c>
      <c r="F851" s="454" t="s">
        <v>132</v>
      </c>
      <c r="G851" s="459">
        <f>G852</f>
        <v>107</v>
      </c>
      <c r="H851" s="459">
        <f>H852</f>
        <v>107</v>
      </c>
      <c r="I851" s="201"/>
    </row>
    <row r="852" spans="1:9" ht="31.5" x14ac:dyDescent="0.25">
      <c r="A852" s="458" t="s">
        <v>133</v>
      </c>
      <c r="B852" s="452">
        <v>908</v>
      </c>
      <c r="C852" s="454" t="s">
        <v>215</v>
      </c>
      <c r="D852" s="454" t="s">
        <v>244</v>
      </c>
      <c r="E852" s="454" t="s">
        <v>876</v>
      </c>
      <c r="F852" s="454" t="s">
        <v>134</v>
      </c>
      <c r="G852" s="459">
        <f>107</f>
        <v>107</v>
      </c>
      <c r="H852" s="459">
        <f t="shared" si="78"/>
        <v>107</v>
      </c>
      <c r="I852" s="201"/>
    </row>
    <row r="853" spans="1:9" ht="15.75" x14ac:dyDescent="0.25">
      <c r="A853" s="456" t="s">
        <v>232</v>
      </c>
      <c r="B853" s="453">
        <v>908</v>
      </c>
      <c r="C853" s="457" t="s">
        <v>150</v>
      </c>
      <c r="D853" s="457"/>
      <c r="E853" s="457"/>
      <c r="F853" s="457"/>
      <c r="G853" s="455">
        <f>G854+G860</f>
        <v>5577</v>
      </c>
      <c r="H853" s="455">
        <f>H854+H860</f>
        <v>5577</v>
      </c>
      <c r="I853" s="201"/>
    </row>
    <row r="854" spans="1:9" ht="15.75" x14ac:dyDescent="0.25">
      <c r="A854" s="456" t="s">
        <v>505</v>
      </c>
      <c r="B854" s="453">
        <v>908</v>
      </c>
      <c r="C854" s="457" t="s">
        <v>150</v>
      </c>
      <c r="D854" s="457" t="s">
        <v>299</v>
      </c>
      <c r="E854" s="457"/>
      <c r="F854" s="457"/>
      <c r="G854" s="455">
        <f t="shared" ref="G854:H856" si="80">G855</f>
        <v>3258</v>
      </c>
      <c r="H854" s="455">
        <f t="shared" si="80"/>
        <v>3258</v>
      </c>
      <c r="I854" s="201"/>
    </row>
    <row r="855" spans="1:9" ht="15.75" x14ac:dyDescent="0.25">
      <c r="A855" s="456" t="s">
        <v>141</v>
      </c>
      <c r="B855" s="453">
        <v>908</v>
      </c>
      <c r="C855" s="457" t="s">
        <v>150</v>
      </c>
      <c r="D855" s="457" t="s">
        <v>299</v>
      </c>
      <c r="E855" s="457" t="s">
        <v>866</v>
      </c>
      <c r="F855" s="457"/>
      <c r="G855" s="455">
        <f t="shared" si="80"/>
        <v>3258</v>
      </c>
      <c r="H855" s="455">
        <f t="shared" si="80"/>
        <v>3258</v>
      </c>
      <c r="I855" s="201"/>
    </row>
    <row r="856" spans="1:9" ht="31.5" x14ac:dyDescent="0.25">
      <c r="A856" s="456" t="s">
        <v>870</v>
      </c>
      <c r="B856" s="453">
        <v>908</v>
      </c>
      <c r="C856" s="457" t="s">
        <v>150</v>
      </c>
      <c r="D856" s="457" t="s">
        <v>299</v>
      </c>
      <c r="E856" s="457" t="s">
        <v>865</v>
      </c>
      <c r="F856" s="457"/>
      <c r="G856" s="455">
        <f t="shared" si="80"/>
        <v>3258</v>
      </c>
      <c r="H856" s="455">
        <f t="shared" si="80"/>
        <v>3258</v>
      </c>
      <c r="I856" s="201"/>
    </row>
    <row r="857" spans="1:9" ht="15.75" x14ac:dyDescent="0.25">
      <c r="A857" s="458" t="s">
        <v>506</v>
      </c>
      <c r="B857" s="452">
        <v>908</v>
      </c>
      <c r="C857" s="454" t="s">
        <v>150</v>
      </c>
      <c r="D857" s="454" t="s">
        <v>299</v>
      </c>
      <c r="E857" s="454" t="s">
        <v>957</v>
      </c>
      <c r="F857" s="454"/>
      <c r="G857" s="459">
        <f>G858</f>
        <v>3258</v>
      </c>
      <c r="H857" s="459">
        <f>H858</f>
        <v>3258</v>
      </c>
      <c r="I857" s="201"/>
    </row>
    <row r="858" spans="1:9" ht="31.5" x14ac:dyDescent="0.25">
      <c r="A858" s="458" t="s">
        <v>131</v>
      </c>
      <c r="B858" s="452">
        <v>908</v>
      </c>
      <c r="C858" s="454" t="s">
        <v>150</v>
      </c>
      <c r="D858" s="454" t="s">
        <v>299</v>
      </c>
      <c r="E858" s="454" t="s">
        <v>957</v>
      </c>
      <c r="F858" s="454" t="s">
        <v>132</v>
      </c>
      <c r="G858" s="459">
        <f>G859</f>
        <v>3258</v>
      </c>
      <c r="H858" s="459">
        <f>H859</f>
        <v>3258</v>
      </c>
      <c r="I858" s="201"/>
    </row>
    <row r="859" spans="1:9" ht="31.5" x14ac:dyDescent="0.25">
      <c r="A859" s="458" t="s">
        <v>133</v>
      </c>
      <c r="B859" s="452">
        <v>908</v>
      </c>
      <c r="C859" s="454" t="s">
        <v>150</v>
      </c>
      <c r="D859" s="454" t="s">
        <v>299</v>
      </c>
      <c r="E859" s="454" t="s">
        <v>957</v>
      </c>
      <c r="F859" s="454" t="s">
        <v>134</v>
      </c>
      <c r="G859" s="459">
        <v>3258</v>
      </c>
      <c r="H859" s="459">
        <f t="shared" si="78"/>
        <v>3258</v>
      </c>
      <c r="I859" s="201"/>
    </row>
    <row r="860" spans="1:9" ht="15.75" x14ac:dyDescent="0.25">
      <c r="A860" s="456" t="s">
        <v>508</v>
      </c>
      <c r="B860" s="453">
        <v>908</v>
      </c>
      <c r="C860" s="457" t="s">
        <v>150</v>
      </c>
      <c r="D860" s="457" t="s">
        <v>219</v>
      </c>
      <c r="E860" s="454"/>
      <c r="F860" s="457"/>
      <c r="G860" s="455">
        <f>G861</f>
        <v>2319</v>
      </c>
      <c r="H860" s="455">
        <f>H861</f>
        <v>2319</v>
      </c>
      <c r="I860" s="201"/>
    </row>
    <row r="861" spans="1:9" ht="47.25" x14ac:dyDescent="0.25">
      <c r="A861" s="34" t="s">
        <v>1373</v>
      </c>
      <c r="B861" s="453">
        <v>908</v>
      </c>
      <c r="C861" s="457" t="s">
        <v>150</v>
      </c>
      <c r="D861" s="457" t="s">
        <v>219</v>
      </c>
      <c r="E861" s="457" t="s">
        <v>510</v>
      </c>
      <c r="F861" s="457"/>
      <c r="G861" s="455">
        <f>G867+G862</f>
        <v>2319</v>
      </c>
      <c r="H861" s="455">
        <f>H867+H862</f>
        <v>2319</v>
      </c>
      <c r="I861" s="201"/>
    </row>
    <row r="862" spans="1:9" ht="31.5" hidden="1" x14ac:dyDescent="0.25">
      <c r="A862" s="34" t="s">
        <v>999</v>
      </c>
      <c r="B862" s="453">
        <v>908</v>
      </c>
      <c r="C862" s="457" t="s">
        <v>150</v>
      </c>
      <c r="D862" s="457" t="s">
        <v>219</v>
      </c>
      <c r="E862" s="7" t="s">
        <v>958</v>
      </c>
      <c r="F862" s="457"/>
      <c r="G862" s="455">
        <f t="shared" ref="G862:H864" si="81">G863</f>
        <v>0</v>
      </c>
      <c r="H862" s="455">
        <f t="shared" si="81"/>
        <v>0</v>
      </c>
      <c r="I862" s="201"/>
    </row>
    <row r="863" spans="1:9" ht="15.75" hidden="1" x14ac:dyDescent="0.25">
      <c r="A863" s="29" t="s">
        <v>1001</v>
      </c>
      <c r="B863" s="452">
        <v>908</v>
      </c>
      <c r="C863" s="454" t="s">
        <v>150</v>
      </c>
      <c r="D863" s="454" t="s">
        <v>219</v>
      </c>
      <c r="E863" s="461" t="s">
        <v>1000</v>
      </c>
      <c r="F863" s="454"/>
      <c r="G863" s="459">
        <f t="shared" si="81"/>
        <v>0</v>
      </c>
      <c r="H863" s="459">
        <f t="shared" si="81"/>
        <v>0</v>
      </c>
      <c r="I863" s="201"/>
    </row>
    <row r="864" spans="1:9" ht="31.5" hidden="1" x14ac:dyDescent="0.25">
      <c r="A864" s="458" t="s">
        <v>131</v>
      </c>
      <c r="B864" s="452">
        <v>908</v>
      </c>
      <c r="C864" s="454" t="s">
        <v>150</v>
      </c>
      <c r="D864" s="454" t="s">
        <v>219</v>
      </c>
      <c r="E864" s="461" t="s">
        <v>1000</v>
      </c>
      <c r="F864" s="454" t="s">
        <v>132</v>
      </c>
      <c r="G864" s="459">
        <f t="shared" si="81"/>
        <v>0</v>
      </c>
      <c r="H864" s="459">
        <f t="shared" si="81"/>
        <v>0</v>
      </c>
      <c r="I864" s="201"/>
    </row>
    <row r="865" spans="1:9" ht="31.5" hidden="1" x14ac:dyDescent="0.25">
      <c r="A865" s="458" t="s">
        <v>133</v>
      </c>
      <c r="B865" s="452">
        <v>908</v>
      </c>
      <c r="C865" s="454" t="s">
        <v>150</v>
      </c>
      <c r="D865" s="454" t="s">
        <v>219</v>
      </c>
      <c r="E865" s="461" t="s">
        <v>1000</v>
      </c>
      <c r="F865" s="454" t="s">
        <v>134</v>
      </c>
      <c r="G865" s="459">
        <v>0</v>
      </c>
      <c r="H865" s="459">
        <v>0</v>
      </c>
      <c r="I865" s="201"/>
    </row>
    <row r="866" spans="1:9" ht="31.5" x14ac:dyDescent="0.25">
      <c r="A866" s="34" t="s">
        <v>1061</v>
      </c>
      <c r="B866" s="453">
        <v>908</v>
      </c>
      <c r="C866" s="457" t="s">
        <v>150</v>
      </c>
      <c r="D866" s="457" t="s">
        <v>219</v>
      </c>
      <c r="E866" s="457" t="s">
        <v>959</v>
      </c>
      <c r="F866" s="457"/>
      <c r="G866" s="455">
        <f t="shared" ref="G866:H870" si="82">G867</f>
        <v>2319</v>
      </c>
      <c r="H866" s="455">
        <f t="shared" si="82"/>
        <v>2319</v>
      </c>
      <c r="I866" s="201"/>
    </row>
    <row r="867" spans="1:9" ht="15.75" x14ac:dyDescent="0.25">
      <c r="A867" s="29" t="s">
        <v>511</v>
      </c>
      <c r="B867" s="452">
        <v>908</v>
      </c>
      <c r="C867" s="454" t="s">
        <v>150</v>
      </c>
      <c r="D867" s="454" t="s">
        <v>219</v>
      </c>
      <c r="E867" s="461" t="s">
        <v>1002</v>
      </c>
      <c r="F867" s="454"/>
      <c r="G867" s="459">
        <f>G870+G868</f>
        <v>2319</v>
      </c>
      <c r="H867" s="459">
        <f>H870+H868</f>
        <v>2319</v>
      </c>
      <c r="I867" s="201"/>
    </row>
    <row r="868" spans="1:9" ht="78.75" x14ac:dyDescent="0.25">
      <c r="A868" s="458" t="s">
        <v>127</v>
      </c>
      <c r="B868" s="452">
        <v>908</v>
      </c>
      <c r="C868" s="454" t="s">
        <v>150</v>
      </c>
      <c r="D868" s="454" t="s">
        <v>219</v>
      </c>
      <c r="E868" s="461" t="s">
        <v>1002</v>
      </c>
      <c r="F868" s="454" t="s">
        <v>128</v>
      </c>
      <c r="G868" s="459">
        <f>G869</f>
        <v>1807</v>
      </c>
      <c r="H868" s="459">
        <f>H869</f>
        <v>1807</v>
      </c>
      <c r="I868" s="201"/>
    </row>
    <row r="869" spans="1:9" ht="24" customHeight="1" x14ac:dyDescent="0.25">
      <c r="A869" s="458" t="s">
        <v>342</v>
      </c>
      <c r="B869" s="452">
        <v>908</v>
      </c>
      <c r="C869" s="454" t="s">
        <v>150</v>
      </c>
      <c r="D869" s="454" t="s">
        <v>219</v>
      </c>
      <c r="E869" s="461" t="s">
        <v>1002</v>
      </c>
      <c r="F869" s="454" t="s">
        <v>209</v>
      </c>
      <c r="G869" s="459">
        <v>1807</v>
      </c>
      <c r="H869" s="459">
        <f>G869</f>
        <v>1807</v>
      </c>
      <c r="I869" s="201"/>
    </row>
    <row r="870" spans="1:9" ht="31.5" x14ac:dyDescent="0.25">
      <c r="A870" s="458" t="s">
        <v>131</v>
      </c>
      <c r="B870" s="452">
        <v>908</v>
      </c>
      <c r="C870" s="454" t="s">
        <v>150</v>
      </c>
      <c r="D870" s="454" t="s">
        <v>219</v>
      </c>
      <c r="E870" s="461" t="s">
        <v>1002</v>
      </c>
      <c r="F870" s="454" t="s">
        <v>132</v>
      </c>
      <c r="G870" s="459">
        <f t="shared" si="82"/>
        <v>512</v>
      </c>
      <c r="H870" s="459">
        <f t="shared" si="82"/>
        <v>512</v>
      </c>
      <c r="I870" s="201"/>
    </row>
    <row r="871" spans="1:9" ht="31.5" x14ac:dyDescent="0.25">
      <c r="A871" s="458" t="s">
        <v>133</v>
      </c>
      <c r="B871" s="452">
        <v>908</v>
      </c>
      <c r="C871" s="454" t="s">
        <v>150</v>
      </c>
      <c r="D871" s="454" t="s">
        <v>219</v>
      </c>
      <c r="E871" s="461" t="s">
        <v>1002</v>
      </c>
      <c r="F871" s="454" t="s">
        <v>134</v>
      </c>
      <c r="G871" s="459">
        <f>1793+350-761+88.8-958.8</f>
        <v>512</v>
      </c>
      <c r="H871" s="459">
        <f>G871</f>
        <v>512</v>
      </c>
      <c r="I871" s="201"/>
    </row>
    <row r="872" spans="1:9" ht="15.75" hidden="1" x14ac:dyDescent="0.25">
      <c r="A872" s="458" t="s">
        <v>135</v>
      </c>
      <c r="B872" s="452">
        <v>908</v>
      </c>
      <c r="C872" s="454" t="s">
        <v>150</v>
      </c>
      <c r="D872" s="454" t="s">
        <v>219</v>
      </c>
      <c r="E872" s="461" t="s">
        <v>1002</v>
      </c>
      <c r="F872" s="454" t="s">
        <v>145</v>
      </c>
      <c r="G872" s="459">
        <f>'[1]Пр.5 ведом.21'!G859</f>
        <v>0</v>
      </c>
      <c r="H872" s="459">
        <f t="shared" si="78"/>
        <v>0</v>
      </c>
      <c r="I872" s="201"/>
    </row>
    <row r="873" spans="1:9" ht="15.75" hidden="1" x14ac:dyDescent="0.25">
      <c r="A873" s="458" t="s">
        <v>568</v>
      </c>
      <c r="B873" s="452">
        <v>908</v>
      </c>
      <c r="C873" s="454" t="s">
        <v>150</v>
      </c>
      <c r="D873" s="454" t="s">
        <v>219</v>
      </c>
      <c r="E873" s="461" t="s">
        <v>1002</v>
      </c>
      <c r="F873" s="454" t="s">
        <v>138</v>
      </c>
      <c r="G873" s="459">
        <f>'[1]Пр.5 ведом.21'!G860</f>
        <v>0</v>
      </c>
      <c r="H873" s="459">
        <f t="shared" si="78"/>
        <v>0</v>
      </c>
      <c r="I873" s="201"/>
    </row>
    <row r="874" spans="1:9" ht="15.75" x14ac:dyDescent="0.25">
      <c r="A874" s="456" t="s">
        <v>390</v>
      </c>
      <c r="B874" s="453">
        <v>908</v>
      </c>
      <c r="C874" s="457" t="s">
        <v>234</v>
      </c>
      <c r="D874" s="457"/>
      <c r="E874" s="457"/>
      <c r="F874" s="457"/>
      <c r="G874" s="455">
        <f>G875+G889+G953+G1003</f>
        <v>41515.699999999997</v>
      </c>
      <c r="H874" s="455">
        <f>H875+H889+H953+H1003</f>
        <v>49628.05</v>
      </c>
      <c r="I874" s="201"/>
    </row>
    <row r="875" spans="1:9" ht="15.75" x14ac:dyDescent="0.25">
      <c r="A875" s="456" t="s">
        <v>391</v>
      </c>
      <c r="B875" s="453">
        <v>908</v>
      </c>
      <c r="C875" s="457" t="s">
        <v>234</v>
      </c>
      <c r="D875" s="457" t="s">
        <v>118</v>
      </c>
      <c r="E875" s="457"/>
      <c r="F875" s="457"/>
      <c r="G875" s="455">
        <f>G876</f>
        <v>5790</v>
      </c>
      <c r="H875" s="455">
        <f>H876</f>
        <v>5790</v>
      </c>
      <c r="I875" s="201"/>
    </row>
    <row r="876" spans="1:9" ht="15.75" x14ac:dyDescent="0.25">
      <c r="A876" s="456" t="s">
        <v>141</v>
      </c>
      <c r="B876" s="453">
        <v>908</v>
      </c>
      <c r="C876" s="457" t="s">
        <v>234</v>
      </c>
      <c r="D876" s="457" t="s">
        <v>118</v>
      </c>
      <c r="E876" s="457" t="s">
        <v>866</v>
      </c>
      <c r="F876" s="457"/>
      <c r="G876" s="455">
        <f>G877</f>
        <v>5790</v>
      </c>
      <c r="H876" s="455">
        <f>H877</f>
        <v>5790</v>
      </c>
      <c r="I876" s="201"/>
    </row>
    <row r="877" spans="1:9" ht="31.5" x14ac:dyDescent="0.25">
      <c r="A877" s="456" t="s">
        <v>870</v>
      </c>
      <c r="B877" s="453">
        <v>908</v>
      </c>
      <c r="C877" s="457" t="s">
        <v>234</v>
      </c>
      <c r="D877" s="457" t="s">
        <v>118</v>
      </c>
      <c r="E877" s="457" t="s">
        <v>865</v>
      </c>
      <c r="F877" s="457"/>
      <c r="G877" s="455">
        <f>G886+G883+G878</f>
        <v>5790</v>
      </c>
      <c r="H877" s="455">
        <f>H886+H883+H878</f>
        <v>5790</v>
      </c>
      <c r="I877" s="201"/>
    </row>
    <row r="878" spans="1:9" ht="15.75" hidden="1" x14ac:dyDescent="0.25">
      <c r="A878" s="458" t="s">
        <v>515</v>
      </c>
      <c r="B878" s="452">
        <v>908</v>
      </c>
      <c r="C878" s="454" t="s">
        <v>774</v>
      </c>
      <c r="D878" s="454" t="s">
        <v>118</v>
      </c>
      <c r="E878" s="454" t="s">
        <v>960</v>
      </c>
      <c r="F878" s="457"/>
      <c r="G878" s="459">
        <f>'[1]Пр.5 ведом.21'!G865</f>
        <v>0</v>
      </c>
      <c r="H878" s="459">
        <f t="shared" si="78"/>
        <v>0</v>
      </c>
      <c r="I878" s="201"/>
    </row>
    <row r="879" spans="1:9" ht="31.5" hidden="1" x14ac:dyDescent="0.25">
      <c r="A879" s="458" t="s">
        <v>131</v>
      </c>
      <c r="B879" s="452">
        <v>908</v>
      </c>
      <c r="C879" s="454" t="s">
        <v>234</v>
      </c>
      <c r="D879" s="454" t="s">
        <v>118</v>
      </c>
      <c r="E879" s="454" t="s">
        <v>960</v>
      </c>
      <c r="F879" s="454" t="s">
        <v>132</v>
      </c>
      <c r="G879" s="459">
        <f>'[1]Пр.5 ведом.21'!G866</f>
        <v>0</v>
      </c>
      <c r="H879" s="459">
        <f t="shared" si="78"/>
        <v>0</v>
      </c>
      <c r="I879" s="201"/>
    </row>
    <row r="880" spans="1:9" ht="31.5" hidden="1" x14ac:dyDescent="0.25">
      <c r="A880" s="458" t="s">
        <v>133</v>
      </c>
      <c r="B880" s="452">
        <v>908</v>
      </c>
      <c r="C880" s="454" t="s">
        <v>234</v>
      </c>
      <c r="D880" s="454" t="s">
        <v>118</v>
      </c>
      <c r="E880" s="454" t="s">
        <v>960</v>
      </c>
      <c r="F880" s="454" t="s">
        <v>134</v>
      </c>
      <c r="G880" s="459">
        <f>'[1]Пр.5 ведом.21'!G867</f>
        <v>0</v>
      </c>
      <c r="H880" s="459">
        <f t="shared" si="78"/>
        <v>0</v>
      </c>
      <c r="I880" s="201"/>
    </row>
    <row r="881" spans="1:9" ht="15.75" hidden="1" x14ac:dyDescent="0.25">
      <c r="A881" s="458" t="s">
        <v>135</v>
      </c>
      <c r="B881" s="452">
        <v>908</v>
      </c>
      <c r="C881" s="454" t="s">
        <v>234</v>
      </c>
      <c r="D881" s="454" t="s">
        <v>118</v>
      </c>
      <c r="E881" s="454" t="s">
        <v>960</v>
      </c>
      <c r="F881" s="454" t="s">
        <v>145</v>
      </c>
      <c r="G881" s="459">
        <f>'[1]Пр.5 ведом.21'!G868</f>
        <v>0</v>
      </c>
      <c r="H881" s="459">
        <f t="shared" si="78"/>
        <v>0</v>
      </c>
      <c r="I881" s="201"/>
    </row>
    <row r="882" spans="1:9" ht="47.25" hidden="1" x14ac:dyDescent="0.25">
      <c r="A882" s="458" t="s">
        <v>184</v>
      </c>
      <c r="B882" s="452">
        <v>908</v>
      </c>
      <c r="C882" s="454" t="s">
        <v>234</v>
      </c>
      <c r="D882" s="454" t="s">
        <v>118</v>
      </c>
      <c r="E882" s="454" t="s">
        <v>960</v>
      </c>
      <c r="F882" s="454" t="s">
        <v>160</v>
      </c>
      <c r="G882" s="459">
        <f>'[1]Пр.5 ведом.21'!G869</f>
        <v>0</v>
      </c>
      <c r="H882" s="459">
        <f t="shared" si="78"/>
        <v>0</v>
      </c>
      <c r="I882" s="201"/>
    </row>
    <row r="883" spans="1:9" ht="31.5" x14ac:dyDescent="0.25">
      <c r="A883" s="29" t="s">
        <v>398</v>
      </c>
      <c r="B883" s="452">
        <v>908</v>
      </c>
      <c r="C883" s="454" t="s">
        <v>234</v>
      </c>
      <c r="D883" s="454" t="s">
        <v>118</v>
      </c>
      <c r="E883" s="454" t="s">
        <v>961</v>
      </c>
      <c r="F883" s="457"/>
      <c r="G883" s="459">
        <f>G884</f>
        <v>4650</v>
      </c>
      <c r="H883" s="459">
        <f>H884</f>
        <v>4650</v>
      </c>
      <c r="I883" s="201"/>
    </row>
    <row r="884" spans="1:9" ht="31.5" x14ac:dyDescent="0.25">
      <c r="A884" s="458" t="s">
        <v>131</v>
      </c>
      <c r="B884" s="452">
        <v>908</v>
      </c>
      <c r="C884" s="454" t="s">
        <v>234</v>
      </c>
      <c r="D884" s="454" t="s">
        <v>118</v>
      </c>
      <c r="E884" s="454" t="s">
        <v>961</v>
      </c>
      <c r="F884" s="454" t="s">
        <v>132</v>
      </c>
      <c r="G884" s="459">
        <f>G885</f>
        <v>4650</v>
      </c>
      <c r="H884" s="459">
        <f>H885</f>
        <v>4650</v>
      </c>
      <c r="I884" s="201"/>
    </row>
    <row r="885" spans="1:9" ht="31.5" x14ac:dyDescent="0.25">
      <c r="A885" s="458" t="s">
        <v>133</v>
      </c>
      <c r="B885" s="452">
        <v>908</v>
      </c>
      <c r="C885" s="454" t="s">
        <v>234</v>
      </c>
      <c r="D885" s="454" t="s">
        <v>118</v>
      </c>
      <c r="E885" s="454" t="s">
        <v>961</v>
      </c>
      <c r="F885" s="454" t="s">
        <v>134</v>
      </c>
      <c r="G885" s="459">
        <v>4650</v>
      </c>
      <c r="H885" s="459">
        <f t="shared" si="78"/>
        <v>4650</v>
      </c>
      <c r="I885" s="201"/>
    </row>
    <row r="886" spans="1:9" ht="31.5" x14ac:dyDescent="0.25">
      <c r="A886" s="29" t="s">
        <v>932</v>
      </c>
      <c r="B886" s="452">
        <v>908</v>
      </c>
      <c r="C886" s="454" t="s">
        <v>234</v>
      </c>
      <c r="D886" s="454" t="s">
        <v>118</v>
      </c>
      <c r="E886" s="454" t="s">
        <v>962</v>
      </c>
      <c r="F886" s="457"/>
      <c r="G886" s="459">
        <f>G887</f>
        <v>1140</v>
      </c>
      <c r="H886" s="459">
        <f>H887</f>
        <v>1140</v>
      </c>
      <c r="I886" s="201"/>
    </row>
    <row r="887" spans="1:9" ht="31.5" x14ac:dyDescent="0.25">
      <c r="A887" s="458" t="s">
        <v>131</v>
      </c>
      <c r="B887" s="452">
        <v>908</v>
      </c>
      <c r="C887" s="454" t="s">
        <v>234</v>
      </c>
      <c r="D887" s="454" t="s">
        <v>118</v>
      </c>
      <c r="E887" s="454" t="s">
        <v>962</v>
      </c>
      <c r="F887" s="454" t="s">
        <v>132</v>
      </c>
      <c r="G887" s="459">
        <f>G888</f>
        <v>1140</v>
      </c>
      <c r="H887" s="459">
        <f>H888</f>
        <v>1140</v>
      </c>
      <c r="I887" s="201"/>
    </row>
    <row r="888" spans="1:9" ht="31.5" x14ac:dyDescent="0.25">
      <c r="A888" s="458" t="s">
        <v>133</v>
      </c>
      <c r="B888" s="452">
        <v>908</v>
      </c>
      <c r="C888" s="454" t="s">
        <v>234</v>
      </c>
      <c r="D888" s="454" t="s">
        <v>118</v>
      </c>
      <c r="E888" s="454" t="s">
        <v>962</v>
      </c>
      <c r="F888" s="454" t="s">
        <v>134</v>
      </c>
      <c r="G888" s="459">
        <f>1140</f>
        <v>1140</v>
      </c>
      <c r="H888" s="459">
        <f t="shared" si="78"/>
        <v>1140</v>
      </c>
      <c r="I888" s="201"/>
    </row>
    <row r="889" spans="1:9" ht="15.75" x14ac:dyDescent="0.25">
      <c r="A889" s="456" t="s">
        <v>517</v>
      </c>
      <c r="B889" s="453">
        <v>908</v>
      </c>
      <c r="C889" s="457" t="s">
        <v>234</v>
      </c>
      <c r="D889" s="457" t="s">
        <v>213</v>
      </c>
      <c r="E889" s="457"/>
      <c r="F889" s="457"/>
      <c r="G889" s="455">
        <f>G890+G919+G948</f>
        <v>6611.199999999998</v>
      </c>
      <c r="H889" s="455">
        <f>H890+H919+H948</f>
        <v>14470.550000000001</v>
      </c>
      <c r="I889" s="201"/>
    </row>
    <row r="890" spans="1:9" ht="15.75" x14ac:dyDescent="0.25">
      <c r="A890" s="456" t="s">
        <v>141</v>
      </c>
      <c r="B890" s="453">
        <v>908</v>
      </c>
      <c r="C890" s="457" t="s">
        <v>234</v>
      </c>
      <c r="D890" s="457" t="s">
        <v>213</v>
      </c>
      <c r="E890" s="457" t="s">
        <v>866</v>
      </c>
      <c r="F890" s="457"/>
      <c r="G890" s="455">
        <f>G891+G902</f>
        <v>5707.199999999998</v>
      </c>
      <c r="H890" s="455">
        <f>H891+H902</f>
        <v>13555.550000000001</v>
      </c>
      <c r="I890" s="201"/>
    </row>
    <row r="891" spans="1:9" ht="31.5" x14ac:dyDescent="0.25">
      <c r="A891" s="456" t="s">
        <v>870</v>
      </c>
      <c r="B891" s="453">
        <v>908</v>
      </c>
      <c r="C891" s="457" t="s">
        <v>234</v>
      </c>
      <c r="D891" s="457" t="s">
        <v>213</v>
      </c>
      <c r="E891" s="457" t="s">
        <v>865</v>
      </c>
      <c r="F891" s="457"/>
      <c r="G891" s="455">
        <f>G892+G897</f>
        <v>5707.199999999998</v>
      </c>
      <c r="H891" s="455">
        <f>H892+H897</f>
        <v>13555.550000000001</v>
      </c>
      <c r="I891" s="201"/>
    </row>
    <row r="892" spans="1:9" ht="15.75" hidden="1" x14ac:dyDescent="0.25">
      <c r="A892" s="35" t="s">
        <v>537</v>
      </c>
      <c r="B892" s="452">
        <v>908</v>
      </c>
      <c r="C892" s="454" t="s">
        <v>234</v>
      </c>
      <c r="D892" s="454" t="s">
        <v>213</v>
      </c>
      <c r="E892" s="454" t="s">
        <v>979</v>
      </c>
      <c r="F892" s="454"/>
      <c r="G892" s="459">
        <f>G893+G895</f>
        <v>0</v>
      </c>
      <c r="H892" s="459">
        <f t="shared" si="78"/>
        <v>0</v>
      </c>
      <c r="I892" s="201"/>
    </row>
    <row r="893" spans="1:9" ht="31.5" hidden="1" x14ac:dyDescent="0.25">
      <c r="A893" s="458" t="s">
        <v>131</v>
      </c>
      <c r="B893" s="452">
        <v>908</v>
      </c>
      <c r="C893" s="454" t="s">
        <v>234</v>
      </c>
      <c r="D893" s="454" t="s">
        <v>213</v>
      </c>
      <c r="E893" s="454" t="s">
        <v>979</v>
      </c>
      <c r="F893" s="454" t="s">
        <v>132</v>
      </c>
      <c r="G893" s="459">
        <f>G894</f>
        <v>0</v>
      </c>
      <c r="H893" s="459">
        <f t="shared" si="78"/>
        <v>0</v>
      </c>
      <c r="I893" s="201"/>
    </row>
    <row r="894" spans="1:9" ht="31.5" hidden="1" x14ac:dyDescent="0.25">
      <c r="A894" s="458" t="s">
        <v>133</v>
      </c>
      <c r="B894" s="452">
        <v>908</v>
      </c>
      <c r="C894" s="454" t="s">
        <v>234</v>
      </c>
      <c r="D894" s="454" t="s">
        <v>213</v>
      </c>
      <c r="E894" s="454" t="s">
        <v>979</v>
      </c>
      <c r="F894" s="454" t="s">
        <v>134</v>
      </c>
      <c r="G894" s="459">
        <v>0</v>
      </c>
      <c r="H894" s="459">
        <f t="shared" si="78"/>
        <v>0</v>
      </c>
      <c r="I894" s="201"/>
    </row>
    <row r="895" spans="1:9" ht="15.75" hidden="1" x14ac:dyDescent="0.25">
      <c r="A895" s="458" t="s">
        <v>135</v>
      </c>
      <c r="B895" s="452">
        <v>908</v>
      </c>
      <c r="C895" s="454" t="s">
        <v>234</v>
      </c>
      <c r="D895" s="454" t="s">
        <v>213</v>
      </c>
      <c r="E895" s="454" t="s">
        <v>979</v>
      </c>
      <c r="F895" s="454" t="s">
        <v>145</v>
      </c>
      <c r="G895" s="459">
        <f>G896</f>
        <v>0</v>
      </c>
      <c r="H895" s="459">
        <f t="shared" si="78"/>
        <v>0</v>
      </c>
      <c r="I895" s="201"/>
    </row>
    <row r="896" spans="1:9" ht="47.25" hidden="1" x14ac:dyDescent="0.25">
      <c r="A896" s="458" t="s">
        <v>184</v>
      </c>
      <c r="B896" s="452">
        <v>908</v>
      </c>
      <c r="C896" s="454" t="s">
        <v>234</v>
      </c>
      <c r="D896" s="454" t="s">
        <v>213</v>
      </c>
      <c r="E896" s="454" t="s">
        <v>979</v>
      </c>
      <c r="F896" s="454" t="s">
        <v>160</v>
      </c>
      <c r="G896" s="459">
        <f>'[1]Пр.5 ведом.21'!G883</f>
        <v>0</v>
      </c>
      <c r="H896" s="459">
        <f t="shared" si="78"/>
        <v>0</v>
      </c>
      <c r="I896" s="201"/>
    </row>
    <row r="897" spans="1:9" ht="31.5" x14ac:dyDescent="0.25">
      <c r="A897" s="29" t="s">
        <v>932</v>
      </c>
      <c r="B897" s="452">
        <v>908</v>
      </c>
      <c r="C897" s="454" t="s">
        <v>234</v>
      </c>
      <c r="D897" s="454" t="s">
        <v>213</v>
      </c>
      <c r="E897" s="454" t="s">
        <v>962</v>
      </c>
      <c r="F897" s="454"/>
      <c r="G897" s="459">
        <f>G898</f>
        <v>5707.199999999998</v>
      </c>
      <c r="H897" s="459">
        <f>H898</f>
        <v>13555.550000000001</v>
      </c>
      <c r="I897" s="201"/>
    </row>
    <row r="898" spans="1:9" ht="31.5" x14ac:dyDescent="0.25">
      <c r="A898" s="458" t="s">
        <v>131</v>
      </c>
      <c r="B898" s="452">
        <v>908</v>
      </c>
      <c r="C898" s="454" t="s">
        <v>234</v>
      </c>
      <c r="D898" s="454" t="s">
        <v>213</v>
      </c>
      <c r="E898" s="454" t="s">
        <v>962</v>
      </c>
      <c r="F898" s="454" t="s">
        <v>132</v>
      </c>
      <c r="G898" s="459">
        <f>G899</f>
        <v>5707.199999999998</v>
      </c>
      <c r="H898" s="459">
        <f>H899</f>
        <v>13555.550000000001</v>
      </c>
      <c r="I898" s="201"/>
    </row>
    <row r="899" spans="1:9" ht="31.5" x14ac:dyDescent="0.25">
      <c r="A899" s="458" t="s">
        <v>133</v>
      </c>
      <c r="B899" s="452">
        <v>908</v>
      </c>
      <c r="C899" s="454" t="s">
        <v>234</v>
      </c>
      <c r="D899" s="454" t="s">
        <v>213</v>
      </c>
      <c r="E899" s="454" t="s">
        <v>962</v>
      </c>
      <c r="F899" s="454" t="s">
        <v>134</v>
      </c>
      <c r="G899" s="459">
        <f>14881.91-4224.29+2030.8-4000-3375.3+394.08</f>
        <v>5707.199999999998</v>
      </c>
      <c r="H899" s="459">
        <f>16519.25-3375.3+411.6</f>
        <v>13555.550000000001</v>
      </c>
      <c r="I899" s="201"/>
    </row>
    <row r="900" spans="1:9" ht="15.75" hidden="1" x14ac:dyDescent="0.25">
      <c r="A900" s="458" t="s">
        <v>135</v>
      </c>
      <c r="B900" s="452">
        <v>908</v>
      </c>
      <c r="C900" s="454" t="s">
        <v>234</v>
      </c>
      <c r="D900" s="454" t="s">
        <v>213</v>
      </c>
      <c r="E900" s="454" t="s">
        <v>962</v>
      </c>
      <c r="F900" s="454" t="s">
        <v>145</v>
      </c>
      <c r="G900" s="459">
        <f>'[1]Пр.5 ведом.21'!G888</f>
        <v>0</v>
      </c>
      <c r="H900" s="459">
        <f t="shared" si="78"/>
        <v>0</v>
      </c>
      <c r="I900" s="201"/>
    </row>
    <row r="901" spans="1:9" ht="15.75" hidden="1" x14ac:dyDescent="0.25">
      <c r="A901" s="458" t="s">
        <v>146</v>
      </c>
      <c r="B901" s="452">
        <v>908</v>
      </c>
      <c r="C901" s="454" t="s">
        <v>234</v>
      </c>
      <c r="D901" s="454" t="s">
        <v>213</v>
      </c>
      <c r="E901" s="454" t="s">
        <v>962</v>
      </c>
      <c r="F901" s="454" t="s">
        <v>147</v>
      </c>
      <c r="G901" s="459">
        <f>'[1]Пр.5 ведом.21'!G889</f>
        <v>0</v>
      </c>
      <c r="H901" s="459">
        <f t="shared" si="78"/>
        <v>0</v>
      </c>
      <c r="I901" s="201"/>
    </row>
    <row r="902" spans="1:9" ht="47.25" hidden="1" x14ac:dyDescent="0.25">
      <c r="A902" s="456" t="s">
        <v>1013</v>
      </c>
      <c r="B902" s="453">
        <v>908</v>
      </c>
      <c r="C902" s="457" t="s">
        <v>234</v>
      </c>
      <c r="D902" s="457" t="s">
        <v>213</v>
      </c>
      <c r="E902" s="457" t="s">
        <v>980</v>
      </c>
      <c r="F902" s="457"/>
      <c r="G902" s="455">
        <f>G903+G911+G908+G916</f>
        <v>0</v>
      </c>
      <c r="H902" s="455">
        <f>H903+H911+H908+H916</f>
        <v>0</v>
      </c>
      <c r="I902" s="201"/>
    </row>
    <row r="903" spans="1:9" ht="47.25" hidden="1" x14ac:dyDescent="0.25">
      <c r="A903" s="458" t="s">
        <v>827</v>
      </c>
      <c r="B903" s="452">
        <v>908</v>
      </c>
      <c r="C903" s="454" t="s">
        <v>234</v>
      </c>
      <c r="D903" s="454" t="s">
        <v>213</v>
      </c>
      <c r="E903" s="454" t="s">
        <v>981</v>
      </c>
      <c r="F903" s="454"/>
      <c r="G903" s="459">
        <f>'[1]Пр.5 ведом.21'!G891</f>
        <v>0</v>
      </c>
      <c r="H903" s="459">
        <f t="shared" ref="H903:H973" si="83">G903</f>
        <v>0</v>
      </c>
      <c r="I903" s="201"/>
    </row>
    <row r="904" spans="1:9" ht="31.5" hidden="1" x14ac:dyDescent="0.25">
      <c r="A904" s="458" t="s">
        <v>131</v>
      </c>
      <c r="B904" s="452">
        <v>908</v>
      </c>
      <c r="C904" s="454" t="s">
        <v>234</v>
      </c>
      <c r="D904" s="454" t="s">
        <v>213</v>
      </c>
      <c r="E904" s="454" t="s">
        <v>981</v>
      </c>
      <c r="F904" s="454" t="s">
        <v>132</v>
      </c>
      <c r="G904" s="459">
        <f>'[1]Пр.5 ведом.21'!G892</f>
        <v>0</v>
      </c>
      <c r="H904" s="459">
        <f t="shared" si="83"/>
        <v>0</v>
      </c>
      <c r="I904" s="201"/>
    </row>
    <row r="905" spans="1:9" ht="31.5" hidden="1" x14ac:dyDescent="0.25">
      <c r="A905" s="458" t="s">
        <v>133</v>
      </c>
      <c r="B905" s="452">
        <v>908</v>
      </c>
      <c r="C905" s="454" t="s">
        <v>234</v>
      </c>
      <c r="D905" s="454" t="s">
        <v>213</v>
      </c>
      <c r="E905" s="454" t="s">
        <v>981</v>
      </c>
      <c r="F905" s="454" t="s">
        <v>134</v>
      </c>
      <c r="G905" s="459">
        <f>'[1]Пр.5 ведом.21'!G893</f>
        <v>0</v>
      </c>
      <c r="H905" s="459">
        <f t="shared" si="83"/>
        <v>0</v>
      </c>
      <c r="I905" s="201"/>
    </row>
    <row r="906" spans="1:9" ht="15.75" hidden="1" x14ac:dyDescent="0.25">
      <c r="A906" s="458" t="s">
        <v>135</v>
      </c>
      <c r="B906" s="452">
        <v>908</v>
      </c>
      <c r="C906" s="454" t="s">
        <v>234</v>
      </c>
      <c r="D906" s="454" t="s">
        <v>213</v>
      </c>
      <c r="E906" s="454" t="s">
        <v>981</v>
      </c>
      <c r="F906" s="454" t="s">
        <v>837</v>
      </c>
      <c r="G906" s="459">
        <f>'[1]Пр.5 ведом.21'!G894</f>
        <v>0</v>
      </c>
      <c r="H906" s="459">
        <f t="shared" si="83"/>
        <v>0</v>
      </c>
      <c r="I906" s="201"/>
    </row>
    <row r="907" spans="1:9" ht="15.75" hidden="1" x14ac:dyDescent="0.25">
      <c r="A907" s="458" t="s">
        <v>568</v>
      </c>
      <c r="B907" s="452">
        <v>908</v>
      </c>
      <c r="C907" s="454" t="s">
        <v>234</v>
      </c>
      <c r="D907" s="454" t="s">
        <v>213</v>
      </c>
      <c r="E907" s="454" t="s">
        <v>981</v>
      </c>
      <c r="F907" s="454" t="s">
        <v>1068</v>
      </c>
      <c r="G907" s="459">
        <f>'[1]Пр.5 ведом.21'!G895</f>
        <v>0</v>
      </c>
      <c r="H907" s="459">
        <f t="shared" si="83"/>
        <v>0</v>
      </c>
      <c r="I907" s="201"/>
    </row>
    <row r="908" spans="1:9" ht="63" hidden="1" x14ac:dyDescent="0.25">
      <c r="A908" s="458" t="s">
        <v>793</v>
      </c>
      <c r="B908" s="452">
        <v>908</v>
      </c>
      <c r="C908" s="454" t="s">
        <v>234</v>
      </c>
      <c r="D908" s="454" t="s">
        <v>213</v>
      </c>
      <c r="E908" s="454" t="s">
        <v>982</v>
      </c>
      <c r="F908" s="454"/>
      <c r="G908" s="459">
        <f>'[1]Пр.5 ведом.21'!G896</f>
        <v>0</v>
      </c>
      <c r="H908" s="459">
        <f t="shared" si="83"/>
        <v>0</v>
      </c>
      <c r="I908" s="201"/>
    </row>
    <row r="909" spans="1:9" ht="31.5" hidden="1" x14ac:dyDescent="0.25">
      <c r="A909" s="458" t="s">
        <v>131</v>
      </c>
      <c r="B909" s="452">
        <v>908</v>
      </c>
      <c r="C909" s="454" t="s">
        <v>234</v>
      </c>
      <c r="D909" s="454" t="s">
        <v>213</v>
      </c>
      <c r="E909" s="454" t="s">
        <v>982</v>
      </c>
      <c r="F909" s="454" t="s">
        <v>132</v>
      </c>
      <c r="G909" s="459">
        <f>'[1]Пр.5 ведом.21'!G897</f>
        <v>0</v>
      </c>
      <c r="H909" s="459">
        <f t="shared" si="83"/>
        <v>0</v>
      </c>
      <c r="I909" s="201"/>
    </row>
    <row r="910" spans="1:9" ht="31.5" hidden="1" x14ac:dyDescent="0.25">
      <c r="A910" s="458" t="s">
        <v>133</v>
      </c>
      <c r="B910" s="452">
        <v>908</v>
      </c>
      <c r="C910" s="454" t="s">
        <v>234</v>
      </c>
      <c r="D910" s="454" t="s">
        <v>213</v>
      </c>
      <c r="E910" s="454" t="s">
        <v>982</v>
      </c>
      <c r="F910" s="454" t="s">
        <v>134</v>
      </c>
      <c r="G910" s="459">
        <f>'[1]Пр.5 ведом.21'!G898</f>
        <v>0</v>
      </c>
      <c r="H910" s="459">
        <f t="shared" si="83"/>
        <v>0</v>
      </c>
      <c r="I910" s="201"/>
    </row>
    <row r="911" spans="1:9" ht="47.25" hidden="1" x14ac:dyDescent="0.25">
      <c r="A911" s="97" t="s">
        <v>833</v>
      </c>
      <c r="B911" s="452">
        <v>908</v>
      </c>
      <c r="C911" s="454" t="s">
        <v>234</v>
      </c>
      <c r="D911" s="454" t="s">
        <v>213</v>
      </c>
      <c r="E911" s="454" t="s">
        <v>983</v>
      </c>
      <c r="F911" s="454"/>
      <c r="G911" s="459">
        <f>'[1]Пр.5 ведом.21'!G899</f>
        <v>0</v>
      </c>
      <c r="H911" s="459">
        <f t="shared" si="83"/>
        <v>0</v>
      </c>
      <c r="I911" s="201"/>
    </row>
    <row r="912" spans="1:9" ht="31.5" hidden="1" x14ac:dyDescent="0.25">
      <c r="A912" s="458" t="s">
        <v>838</v>
      </c>
      <c r="B912" s="452">
        <v>908</v>
      </c>
      <c r="C912" s="454" t="s">
        <v>234</v>
      </c>
      <c r="D912" s="454" t="s">
        <v>213</v>
      </c>
      <c r="E912" s="454" t="s">
        <v>983</v>
      </c>
      <c r="F912" s="454" t="s">
        <v>837</v>
      </c>
      <c r="G912" s="459">
        <f>'[1]Пр.5 ведом.21'!G900</f>
        <v>0</v>
      </c>
      <c r="H912" s="459">
        <f t="shared" si="83"/>
        <v>0</v>
      </c>
      <c r="I912" s="201"/>
    </row>
    <row r="913" spans="1:9" ht="63" hidden="1" x14ac:dyDescent="0.25">
      <c r="A913" s="458" t="s">
        <v>1049</v>
      </c>
      <c r="B913" s="452">
        <v>908</v>
      </c>
      <c r="C913" s="454" t="s">
        <v>234</v>
      </c>
      <c r="D913" s="454" t="s">
        <v>213</v>
      </c>
      <c r="E913" s="454" t="s">
        <v>983</v>
      </c>
      <c r="F913" s="454" t="s">
        <v>1068</v>
      </c>
      <c r="G913" s="459">
        <f>'[1]Пр.5 ведом.21'!G901</f>
        <v>0</v>
      </c>
      <c r="H913" s="459">
        <f t="shared" si="83"/>
        <v>0</v>
      </c>
      <c r="I913" s="201"/>
    </row>
    <row r="914" spans="1:9" ht="15.75" hidden="1" x14ac:dyDescent="0.25">
      <c r="A914" s="458" t="s">
        <v>135</v>
      </c>
      <c r="B914" s="452">
        <v>908</v>
      </c>
      <c r="C914" s="454" t="s">
        <v>234</v>
      </c>
      <c r="D914" s="454" t="s">
        <v>213</v>
      </c>
      <c r="E914" s="454" t="s">
        <v>983</v>
      </c>
      <c r="F914" s="454" t="s">
        <v>145</v>
      </c>
      <c r="G914" s="459">
        <f>'[1]Пр.5 ведом.21'!G902</f>
        <v>0</v>
      </c>
      <c r="H914" s="459">
        <f t="shared" si="83"/>
        <v>0</v>
      </c>
      <c r="I914" s="201"/>
    </row>
    <row r="915" spans="1:9" ht="15.75" hidden="1" x14ac:dyDescent="0.25">
      <c r="A915" s="458" t="s">
        <v>704</v>
      </c>
      <c r="B915" s="452">
        <v>908</v>
      </c>
      <c r="C915" s="454" t="s">
        <v>234</v>
      </c>
      <c r="D915" s="454" t="s">
        <v>213</v>
      </c>
      <c r="E915" s="454" t="s">
        <v>983</v>
      </c>
      <c r="F915" s="454" t="s">
        <v>138</v>
      </c>
      <c r="G915" s="459">
        <f>'[1]Пр.5 ведом.21'!G903</f>
        <v>0</v>
      </c>
      <c r="H915" s="459">
        <f t="shared" si="83"/>
        <v>0</v>
      </c>
      <c r="I915" s="201"/>
    </row>
    <row r="916" spans="1:9" ht="31.5" hidden="1" x14ac:dyDescent="0.25">
      <c r="A916" s="458" t="s">
        <v>1069</v>
      </c>
      <c r="B916" s="452">
        <v>908</v>
      </c>
      <c r="C916" s="454" t="s">
        <v>234</v>
      </c>
      <c r="D916" s="454" t="s">
        <v>213</v>
      </c>
      <c r="E916" s="454" t="s">
        <v>1070</v>
      </c>
      <c r="F916" s="454"/>
      <c r="G916" s="459">
        <f>'[1]Пр.5 ведом.21'!G904</f>
        <v>0</v>
      </c>
      <c r="H916" s="459">
        <f t="shared" si="83"/>
        <v>0</v>
      </c>
      <c r="I916" s="201"/>
    </row>
    <row r="917" spans="1:9" ht="31.5" hidden="1" x14ac:dyDescent="0.25">
      <c r="A917" s="458" t="s">
        <v>131</v>
      </c>
      <c r="B917" s="452">
        <v>908</v>
      </c>
      <c r="C917" s="454" t="s">
        <v>234</v>
      </c>
      <c r="D917" s="454" t="s">
        <v>213</v>
      </c>
      <c r="E917" s="454" t="s">
        <v>1070</v>
      </c>
      <c r="F917" s="454" t="s">
        <v>132</v>
      </c>
      <c r="G917" s="459">
        <f>'[1]Пр.5 ведом.21'!G905</f>
        <v>0</v>
      </c>
      <c r="H917" s="459">
        <f t="shared" si="83"/>
        <v>0</v>
      </c>
      <c r="I917" s="201"/>
    </row>
    <row r="918" spans="1:9" ht="31.5" hidden="1" x14ac:dyDescent="0.25">
      <c r="A918" s="458" t="s">
        <v>133</v>
      </c>
      <c r="B918" s="452">
        <v>908</v>
      </c>
      <c r="C918" s="454" t="s">
        <v>234</v>
      </c>
      <c r="D918" s="454" t="s">
        <v>213</v>
      </c>
      <c r="E918" s="454" t="s">
        <v>1070</v>
      </c>
      <c r="F918" s="454" t="s">
        <v>134</v>
      </c>
      <c r="G918" s="459">
        <f>'[1]Пр.5 ведом.21'!G906</f>
        <v>0</v>
      </c>
      <c r="H918" s="459">
        <f t="shared" si="83"/>
        <v>0</v>
      </c>
      <c r="I918" s="201"/>
    </row>
    <row r="919" spans="1:9" ht="63" x14ac:dyDescent="0.25">
      <c r="A919" s="456" t="s">
        <v>1534</v>
      </c>
      <c r="B919" s="453">
        <v>908</v>
      </c>
      <c r="C919" s="457" t="s">
        <v>234</v>
      </c>
      <c r="D919" s="457" t="s">
        <v>213</v>
      </c>
      <c r="E919" s="457" t="s">
        <v>518</v>
      </c>
      <c r="F919" s="457"/>
      <c r="G919" s="455">
        <f>G920+G924+G928+G932+G944+G940</f>
        <v>700</v>
      </c>
      <c r="H919" s="455">
        <f>H920+H924+H928+H932+H944+H940</f>
        <v>700</v>
      </c>
      <c r="I919" s="201"/>
    </row>
    <row r="920" spans="1:9" ht="31.5" x14ac:dyDescent="0.25">
      <c r="A920" s="456" t="s">
        <v>963</v>
      </c>
      <c r="B920" s="453">
        <v>908</v>
      </c>
      <c r="C920" s="457" t="s">
        <v>234</v>
      </c>
      <c r="D920" s="457" t="s">
        <v>213</v>
      </c>
      <c r="E920" s="457" t="s">
        <v>965</v>
      </c>
      <c r="F920" s="457"/>
      <c r="G920" s="455">
        <f t="shared" ref="G920:H922" si="84">G921</f>
        <v>700</v>
      </c>
      <c r="H920" s="455">
        <f t="shared" si="84"/>
        <v>700</v>
      </c>
      <c r="I920" s="201"/>
    </row>
    <row r="921" spans="1:9" ht="15.75" x14ac:dyDescent="0.25">
      <c r="A921" s="45" t="s">
        <v>964</v>
      </c>
      <c r="B921" s="452">
        <v>908</v>
      </c>
      <c r="C921" s="461" t="s">
        <v>234</v>
      </c>
      <c r="D921" s="461" t="s">
        <v>213</v>
      </c>
      <c r="E921" s="454" t="s">
        <v>966</v>
      </c>
      <c r="F921" s="461"/>
      <c r="G921" s="459">
        <f t="shared" si="84"/>
        <v>700</v>
      </c>
      <c r="H921" s="459">
        <f t="shared" si="84"/>
        <v>700</v>
      </c>
      <c r="I921" s="201"/>
    </row>
    <row r="922" spans="1:9" ht="31.5" x14ac:dyDescent="0.25">
      <c r="A922" s="31" t="s">
        <v>131</v>
      </c>
      <c r="B922" s="452">
        <v>908</v>
      </c>
      <c r="C922" s="461" t="s">
        <v>234</v>
      </c>
      <c r="D922" s="461" t="s">
        <v>213</v>
      </c>
      <c r="E922" s="454" t="s">
        <v>966</v>
      </c>
      <c r="F922" s="461" t="s">
        <v>132</v>
      </c>
      <c r="G922" s="459">
        <f t="shared" si="84"/>
        <v>700</v>
      </c>
      <c r="H922" s="459">
        <f t="shared" si="84"/>
        <v>700</v>
      </c>
      <c r="I922" s="201"/>
    </row>
    <row r="923" spans="1:9" ht="31.5" x14ac:dyDescent="0.25">
      <c r="A923" s="31" t="s">
        <v>133</v>
      </c>
      <c r="B923" s="452">
        <v>908</v>
      </c>
      <c r="C923" s="461" t="s">
        <v>234</v>
      </c>
      <c r="D923" s="461" t="s">
        <v>213</v>
      </c>
      <c r="E923" s="454" t="s">
        <v>966</v>
      </c>
      <c r="F923" s="461" t="s">
        <v>134</v>
      </c>
      <c r="G923" s="459">
        <v>700</v>
      </c>
      <c r="H923" s="459">
        <v>700</v>
      </c>
      <c r="I923" s="201"/>
    </row>
    <row r="924" spans="1:9" ht="31.5" hidden="1" x14ac:dyDescent="0.25">
      <c r="A924" s="34" t="s">
        <v>967</v>
      </c>
      <c r="B924" s="453">
        <v>908</v>
      </c>
      <c r="C924" s="7" t="s">
        <v>234</v>
      </c>
      <c r="D924" s="7" t="s">
        <v>213</v>
      </c>
      <c r="E924" s="457" t="s">
        <v>968</v>
      </c>
      <c r="F924" s="7"/>
      <c r="G924" s="455">
        <f>G925</f>
        <v>0</v>
      </c>
      <c r="H924" s="455">
        <f>H925</f>
        <v>0</v>
      </c>
      <c r="I924" s="201"/>
    </row>
    <row r="925" spans="1:9" ht="15.75" hidden="1" x14ac:dyDescent="0.25">
      <c r="A925" s="45" t="s">
        <v>523</v>
      </c>
      <c r="B925" s="452">
        <v>908</v>
      </c>
      <c r="C925" s="461" t="s">
        <v>234</v>
      </c>
      <c r="D925" s="461" t="s">
        <v>213</v>
      </c>
      <c r="E925" s="454" t="s">
        <v>971</v>
      </c>
      <c r="F925" s="461"/>
      <c r="G925" s="459">
        <f>'[1]Пр.5 ведом.21'!G913</f>
        <v>0</v>
      </c>
      <c r="H925" s="459">
        <f t="shared" si="83"/>
        <v>0</v>
      </c>
      <c r="I925" s="201"/>
    </row>
    <row r="926" spans="1:9" ht="31.5" hidden="1" x14ac:dyDescent="0.25">
      <c r="A926" s="31" t="s">
        <v>131</v>
      </c>
      <c r="B926" s="452">
        <v>908</v>
      </c>
      <c r="C926" s="461" t="s">
        <v>234</v>
      </c>
      <c r="D926" s="461" t="s">
        <v>213</v>
      </c>
      <c r="E926" s="454" t="s">
        <v>971</v>
      </c>
      <c r="F926" s="461" t="s">
        <v>132</v>
      </c>
      <c r="G926" s="459">
        <f>'[1]Пр.5 ведом.21'!G914</f>
        <v>0</v>
      </c>
      <c r="H926" s="459">
        <f t="shared" si="83"/>
        <v>0</v>
      </c>
      <c r="I926" s="201"/>
    </row>
    <row r="927" spans="1:9" ht="31.5" hidden="1" x14ac:dyDescent="0.25">
      <c r="A927" s="31" t="s">
        <v>133</v>
      </c>
      <c r="B927" s="452">
        <v>908</v>
      </c>
      <c r="C927" s="461" t="s">
        <v>234</v>
      </c>
      <c r="D927" s="461" t="s">
        <v>213</v>
      </c>
      <c r="E927" s="454" t="s">
        <v>971</v>
      </c>
      <c r="F927" s="461" t="s">
        <v>134</v>
      </c>
      <c r="G927" s="459">
        <f>'[1]Пр.5 ведом.21'!G915</f>
        <v>0</v>
      </c>
      <c r="H927" s="459">
        <f t="shared" si="83"/>
        <v>0</v>
      </c>
      <c r="I927" s="201"/>
    </row>
    <row r="928" spans="1:9" ht="31.5" hidden="1" x14ac:dyDescent="0.25">
      <c r="A928" s="58" t="s">
        <v>969</v>
      </c>
      <c r="B928" s="453">
        <v>908</v>
      </c>
      <c r="C928" s="7" t="s">
        <v>234</v>
      </c>
      <c r="D928" s="7" t="s">
        <v>213</v>
      </c>
      <c r="E928" s="457" t="s">
        <v>970</v>
      </c>
      <c r="F928" s="7"/>
      <c r="G928" s="450">
        <f>G929</f>
        <v>0</v>
      </c>
      <c r="H928" s="450">
        <f>H929</f>
        <v>0</v>
      </c>
      <c r="I928" s="201"/>
    </row>
    <row r="929" spans="1:9" ht="15.75" hidden="1" x14ac:dyDescent="0.25">
      <c r="A929" s="45" t="s">
        <v>525</v>
      </c>
      <c r="B929" s="452">
        <v>908</v>
      </c>
      <c r="C929" s="461" t="s">
        <v>234</v>
      </c>
      <c r="D929" s="461" t="s">
        <v>213</v>
      </c>
      <c r="E929" s="454" t="s">
        <v>972</v>
      </c>
      <c r="F929" s="461"/>
      <c r="G929" s="459">
        <f>'[1]Пр.5 ведом.21'!G917</f>
        <v>0</v>
      </c>
      <c r="H929" s="459">
        <f t="shared" si="83"/>
        <v>0</v>
      </c>
      <c r="I929" s="201"/>
    </row>
    <row r="930" spans="1:9" ht="31.5" hidden="1" x14ac:dyDescent="0.25">
      <c r="A930" s="31" t="s">
        <v>131</v>
      </c>
      <c r="B930" s="452">
        <v>908</v>
      </c>
      <c r="C930" s="461" t="s">
        <v>234</v>
      </c>
      <c r="D930" s="461" t="s">
        <v>213</v>
      </c>
      <c r="E930" s="454" t="s">
        <v>972</v>
      </c>
      <c r="F930" s="461" t="s">
        <v>132</v>
      </c>
      <c r="G930" s="459">
        <f>'[1]Пр.5 ведом.21'!G918</f>
        <v>0</v>
      </c>
      <c r="H930" s="459">
        <f t="shared" si="83"/>
        <v>0</v>
      </c>
      <c r="I930" s="201"/>
    </row>
    <row r="931" spans="1:9" ht="31.5" hidden="1" x14ac:dyDescent="0.25">
      <c r="A931" s="31" t="s">
        <v>133</v>
      </c>
      <c r="B931" s="452">
        <v>908</v>
      </c>
      <c r="C931" s="461" t="s">
        <v>234</v>
      </c>
      <c r="D931" s="461" t="s">
        <v>213</v>
      </c>
      <c r="E931" s="454" t="s">
        <v>972</v>
      </c>
      <c r="F931" s="461" t="s">
        <v>134</v>
      </c>
      <c r="G931" s="459">
        <f>'[1]Пр.5 ведом.21'!G919</f>
        <v>0</v>
      </c>
      <c r="H931" s="459">
        <f t="shared" si="83"/>
        <v>0</v>
      </c>
      <c r="I931" s="201"/>
    </row>
    <row r="932" spans="1:9" ht="31.5" hidden="1" x14ac:dyDescent="0.25">
      <c r="A932" s="58" t="s">
        <v>973</v>
      </c>
      <c r="B932" s="453">
        <v>908</v>
      </c>
      <c r="C932" s="7" t="s">
        <v>234</v>
      </c>
      <c r="D932" s="7" t="s">
        <v>213</v>
      </c>
      <c r="E932" s="457" t="s">
        <v>974</v>
      </c>
      <c r="F932" s="7"/>
      <c r="G932" s="450">
        <f>G933</f>
        <v>0</v>
      </c>
      <c r="H932" s="450">
        <f>H933</f>
        <v>0</v>
      </c>
      <c r="I932" s="201"/>
    </row>
    <row r="933" spans="1:9" ht="15.75" hidden="1" x14ac:dyDescent="0.25">
      <c r="A933" s="45" t="s">
        <v>527</v>
      </c>
      <c r="B933" s="452">
        <v>908</v>
      </c>
      <c r="C933" s="461" t="s">
        <v>234</v>
      </c>
      <c r="D933" s="461" t="s">
        <v>213</v>
      </c>
      <c r="E933" s="454" t="s">
        <v>975</v>
      </c>
      <c r="F933" s="461"/>
      <c r="G933" s="459">
        <f>'[1]Пр.5 ведом.21'!G921</f>
        <v>0</v>
      </c>
      <c r="H933" s="459">
        <f t="shared" si="83"/>
        <v>0</v>
      </c>
      <c r="I933" s="201"/>
    </row>
    <row r="934" spans="1:9" ht="31.5" hidden="1" x14ac:dyDescent="0.25">
      <c r="A934" s="31" t="s">
        <v>131</v>
      </c>
      <c r="B934" s="452">
        <v>908</v>
      </c>
      <c r="C934" s="461" t="s">
        <v>234</v>
      </c>
      <c r="D934" s="461" t="s">
        <v>213</v>
      </c>
      <c r="E934" s="454" t="s">
        <v>975</v>
      </c>
      <c r="F934" s="461" t="s">
        <v>132</v>
      </c>
      <c r="G934" s="459">
        <f>'[1]Пр.5 ведом.21'!G922</f>
        <v>0</v>
      </c>
      <c r="H934" s="459">
        <f t="shared" si="83"/>
        <v>0</v>
      </c>
      <c r="I934" s="201"/>
    </row>
    <row r="935" spans="1:9" ht="31.5" hidden="1" x14ac:dyDescent="0.25">
      <c r="A935" s="31" t="s">
        <v>133</v>
      </c>
      <c r="B935" s="452">
        <v>908</v>
      </c>
      <c r="C935" s="461" t="s">
        <v>234</v>
      </c>
      <c r="D935" s="461" t="s">
        <v>213</v>
      </c>
      <c r="E935" s="454" t="s">
        <v>975</v>
      </c>
      <c r="F935" s="461" t="s">
        <v>134</v>
      </c>
      <c r="G935" s="459">
        <f>'[1]Пр.5 ведом.21'!G923</f>
        <v>0</v>
      </c>
      <c r="H935" s="459">
        <f t="shared" si="83"/>
        <v>0</v>
      </c>
      <c r="I935" s="201"/>
    </row>
    <row r="936" spans="1:9" ht="31.5" hidden="1" x14ac:dyDescent="0.25">
      <c r="A936" s="34" t="s">
        <v>1014</v>
      </c>
      <c r="B936" s="453">
        <v>908</v>
      </c>
      <c r="C936" s="7" t="s">
        <v>234</v>
      </c>
      <c r="D936" s="7" t="s">
        <v>213</v>
      </c>
      <c r="E936" s="457" t="s">
        <v>1015</v>
      </c>
      <c r="F936" s="7"/>
      <c r="G936" s="450">
        <f>G937</f>
        <v>0</v>
      </c>
      <c r="H936" s="450">
        <f>H937</f>
        <v>0</v>
      </c>
      <c r="I936" s="201"/>
    </row>
    <row r="937" spans="1:9" ht="15.75" hidden="1" x14ac:dyDescent="0.25">
      <c r="A937" s="45" t="s">
        <v>529</v>
      </c>
      <c r="B937" s="452">
        <v>908</v>
      </c>
      <c r="C937" s="461" t="s">
        <v>234</v>
      </c>
      <c r="D937" s="461" t="s">
        <v>213</v>
      </c>
      <c r="E937" s="454" t="s">
        <v>1018</v>
      </c>
      <c r="F937" s="461"/>
      <c r="G937" s="459">
        <f>'[1]Пр.5 ведом.21'!G925</f>
        <v>0</v>
      </c>
      <c r="H937" s="459">
        <f t="shared" si="83"/>
        <v>0</v>
      </c>
      <c r="I937" s="201"/>
    </row>
    <row r="938" spans="1:9" ht="31.5" hidden="1" x14ac:dyDescent="0.25">
      <c r="A938" s="31" t="s">
        <v>131</v>
      </c>
      <c r="B938" s="452">
        <v>908</v>
      </c>
      <c r="C938" s="461" t="s">
        <v>234</v>
      </c>
      <c r="D938" s="461" t="s">
        <v>213</v>
      </c>
      <c r="E938" s="454" t="s">
        <v>1018</v>
      </c>
      <c r="F938" s="461" t="s">
        <v>132</v>
      </c>
      <c r="G938" s="459">
        <f>'[1]Пр.5 ведом.21'!G926</f>
        <v>0</v>
      </c>
      <c r="H938" s="459">
        <f t="shared" si="83"/>
        <v>0</v>
      </c>
      <c r="I938" s="201"/>
    </row>
    <row r="939" spans="1:9" ht="31.5" hidden="1" x14ac:dyDescent="0.25">
      <c r="A939" s="31" t="s">
        <v>133</v>
      </c>
      <c r="B939" s="452">
        <v>908</v>
      </c>
      <c r="C939" s="461" t="s">
        <v>234</v>
      </c>
      <c r="D939" s="461" t="s">
        <v>213</v>
      </c>
      <c r="E939" s="454" t="s">
        <v>1018</v>
      </c>
      <c r="F939" s="461" t="s">
        <v>134</v>
      </c>
      <c r="G939" s="459">
        <f>'[1]Пр.5 ведом.21'!G927</f>
        <v>0</v>
      </c>
      <c r="H939" s="459">
        <f t="shared" si="83"/>
        <v>0</v>
      </c>
      <c r="I939" s="201"/>
    </row>
    <row r="940" spans="1:9" ht="31.5" hidden="1" x14ac:dyDescent="0.25">
      <c r="A940" s="215" t="s">
        <v>1016</v>
      </c>
      <c r="B940" s="453">
        <v>908</v>
      </c>
      <c r="C940" s="7" t="s">
        <v>234</v>
      </c>
      <c r="D940" s="7" t="s">
        <v>213</v>
      </c>
      <c r="E940" s="457" t="s">
        <v>1017</v>
      </c>
      <c r="F940" s="7"/>
      <c r="G940" s="455">
        <f>G941</f>
        <v>0</v>
      </c>
      <c r="H940" s="455">
        <f>H941</f>
        <v>0</v>
      </c>
      <c r="I940" s="201"/>
    </row>
    <row r="941" spans="1:9" ht="31.5" hidden="1" x14ac:dyDescent="0.25">
      <c r="A941" s="174" t="s">
        <v>531</v>
      </c>
      <c r="B941" s="452">
        <v>908</v>
      </c>
      <c r="C941" s="461" t="s">
        <v>234</v>
      </c>
      <c r="D941" s="461" t="s">
        <v>213</v>
      </c>
      <c r="E941" s="454" t="s">
        <v>1019</v>
      </c>
      <c r="F941" s="461"/>
      <c r="G941" s="459">
        <f>'[1]Пр.5 ведом.21'!G929</f>
        <v>0</v>
      </c>
      <c r="H941" s="459">
        <f t="shared" si="83"/>
        <v>0</v>
      </c>
      <c r="I941" s="201"/>
    </row>
    <row r="942" spans="1:9" ht="31.5" hidden="1" x14ac:dyDescent="0.25">
      <c r="A942" s="31" t="s">
        <v>131</v>
      </c>
      <c r="B942" s="452">
        <v>908</v>
      </c>
      <c r="C942" s="461" t="s">
        <v>234</v>
      </c>
      <c r="D942" s="461" t="s">
        <v>213</v>
      </c>
      <c r="E942" s="454" t="s">
        <v>1019</v>
      </c>
      <c r="F942" s="461" t="s">
        <v>132</v>
      </c>
      <c r="G942" s="459">
        <f>'[1]Пр.5 ведом.21'!G930</f>
        <v>0</v>
      </c>
      <c r="H942" s="459">
        <f t="shared" si="83"/>
        <v>0</v>
      </c>
      <c r="I942" s="201"/>
    </row>
    <row r="943" spans="1:9" ht="31.5" hidden="1" x14ac:dyDescent="0.25">
      <c r="A943" s="31" t="s">
        <v>133</v>
      </c>
      <c r="B943" s="452">
        <v>908</v>
      </c>
      <c r="C943" s="461" t="s">
        <v>234</v>
      </c>
      <c r="D943" s="461" t="s">
        <v>213</v>
      </c>
      <c r="E943" s="454" t="s">
        <v>1019</v>
      </c>
      <c r="F943" s="461" t="s">
        <v>134</v>
      </c>
      <c r="G943" s="459">
        <f>'[1]Пр.5 ведом.21'!G931</f>
        <v>0</v>
      </c>
      <c r="H943" s="459">
        <f t="shared" si="83"/>
        <v>0</v>
      </c>
      <c r="I943" s="201"/>
    </row>
    <row r="944" spans="1:9" ht="31.5" hidden="1" x14ac:dyDescent="0.25">
      <c r="A944" s="215" t="s">
        <v>977</v>
      </c>
      <c r="B944" s="453">
        <v>908</v>
      </c>
      <c r="C944" s="7" t="s">
        <v>234</v>
      </c>
      <c r="D944" s="7" t="s">
        <v>213</v>
      </c>
      <c r="E944" s="457" t="s">
        <v>978</v>
      </c>
      <c r="F944" s="7"/>
      <c r="G944" s="455">
        <f>G945</f>
        <v>0</v>
      </c>
      <c r="H944" s="455">
        <f>H945</f>
        <v>0</v>
      </c>
      <c r="I944" s="201"/>
    </row>
    <row r="945" spans="1:9" ht="15.75" hidden="1" x14ac:dyDescent="0.25">
      <c r="A945" s="174" t="s">
        <v>533</v>
      </c>
      <c r="B945" s="452">
        <v>908</v>
      </c>
      <c r="C945" s="461" t="s">
        <v>234</v>
      </c>
      <c r="D945" s="461" t="s">
        <v>213</v>
      </c>
      <c r="E945" s="454" t="s">
        <v>976</v>
      </c>
      <c r="F945" s="461"/>
      <c r="G945" s="459">
        <f>'[1]Пр.5 ведом.21'!G933</f>
        <v>0</v>
      </c>
      <c r="H945" s="459">
        <f t="shared" si="83"/>
        <v>0</v>
      </c>
      <c r="I945" s="201"/>
    </row>
    <row r="946" spans="1:9" ht="31.5" hidden="1" x14ac:dyDescent="0.25">
      <c r="A946" s="458" t="s">
        <v>131</v>
      </c>
      <c r="B946" s="452">
        <v>908</v>
      </c>
      <c r="C946" s="461" t="s">
        <v>234</v>
      </c>
      <c r="D946" s="461" t="s">
        <v>213</v>
      </c>
      <c r="E946" s="454" t="s">
        <v>976</v>
      </c>
      <c r="F946" s="461" t="s">
        <v>132</v>
      </c>
      <c r="G946" s="459">
        <f>'[1]Пр.5 ведом.21'!G934</f>
        <v>0</v>
      </c>
      <c r="H946" s="459">
        <f t="shared" si="83"/>
        <v>0</v>
      </c>
      <c r="I946" s="201"/>
    </row>
    <row r="947" spans="1:9" ht="31.5" hidden="1" x14ac:dyDescent="0.25">
      <c r="A947" s="458" t="s">
        <v>133</v>
      </c>
      <c r="B947" s="452">
        <v>908</v>
      </c>
      <c r="C947" s="461" t="s">
        <v>234</v>
      </c>
      <c r="D947" s="461" t="s">
        <v>213</v>
      </c>
      <c r="E947" s="454" t="s">
        <v>976</v>
      </c>
      <c r="F947" s="461" t="s">
        <v>134</v>
      </c>
      <c r="G947" s="459">
        <f>'[1]Пр.5 ведом.21'!G935</f>
        <v>0</v>
      </c>
      <c r="H947" s="459">
        <f t="shared" si="83"/>
        <v>0</v>
      </c>
      <c r="I947" s="201"/>
    </row>
    <row r="948" spans="1:9" ht="47.25" x14ac:dyDescent="0.25">
      <c r="A948" s="456" t="s">
        <v>1536</v>
      </c>
      <c r="B948" s="453">
        <v>908</v>
      </c>
      <c r="C948" s="7" t="s">
        <v>234</v>
      </c>
      <c r="D948" s="7" t="s">
        <v>213</v>
      </c>
      <c r="E948" s="457" t="s">
        <v>1142</v>
      </c>
      <c r="F948" s="7"/>
      <c r="G948" s="455">
        <f t="shared" ref="G948:H951" si="85">G949</f>
        <v>204</v>
      </c>
      <c r="H948" s="455">
        <f t="shared" si="85"/>
        <v>215</v>
      </c>
      <c r="I948" s="201"/>
    </row>
    <row r="949" spans="1:9" ht="31.5" x14ac:dyDescent="0.25">
      <c r="A949" s="382" t="s">
        <v>1540</v>
      </c>
      <c r="B949" s="453">
        <v>908</v>
      </c>
      <c r="C949" s="7" t="s">
        <v>234</v>
      </c>
      <c r="D949" s="7" t="s">
        <v>213</v>
      </c>
      <c r="E949" s="457" t="s">
        <v>1144</v>
      </c>
      <c r="F949" s="7"/>
      <c r="G949" s="455">
        <f t="shared" si="85"/>
        <v>204</v>
      </c>
      <c r="H949" s="455">
        <f t="shared" si="85"/>
        <v>215</v>
      </c>
      <c r="I949" s="201"/>
    </row>
    <row r="950" spans="1:9" ht="15.75" x14ac:dyDescent="0.25">
      <c r="A950" s="458" t="s">
        <v>537</v>
      </c>
      <c r="B950" s="452">
        <v>908</v>
      </c>
      <c r="C950" s="461" t="s">
        <v>234</v>
      </c>
      <c r="D950" s="461" t="s">
        <v>213</v>
      </c>
      <c r="E950" s="454" t="s">
        <v>1145</v>
      </c>
      <c r="F950" s="461"/>
      <c r="G950" s="459">
        <f t="shared" si="85"/>
        <v>204</v>
      </c>
      <c r="H950" s="459">
        <f t="shared" si="85"/>
        <v>215</v>
      </c>
      <c r="I950" s="201"/>
    </row>
    <row r="951" spans="1:9" ht="31.5" x14ac:dyDescent="0.25">
      <c r="A951" s="458" t="s">
        <v>131</v>
      </c>
      <c r="B951" s="452">
        <v>908</v>
      </c>
      <c r="C951" s="461" t="s">
        <v>234</v>
      </c>
      <c r="D951" s="461" t="s">
        <v>213</v>
      </c>
      <c r="E951" s="454" t="s">
        <v>1145</v>
      </c>
      <c r="F951" s="461" t="s">
        <v>132</v>
      </c>
      <c r="G951" s="459">
        <f t="shared" si="85"/>
        <v>204</v>
      </c>
      <c r="H951" s="459">
        <f t="shared" si="85"/>
        <v>215</v>
      </c>
      <c r="I951" s="201"/>
    </row>
    <row r="952" spans="1:9" ht="31.7" customHeight="1" x14ac:dyDescent="0.25">
      <c r="A952" s="458" t="s">
        <v>133</v>
      </c>
      <c r="B952" s="452">
        <v>908</v>
      </c>
      <c r="C952" s="461" t="s">
        <v>234</v>
      </c>
      <c r="D952" s="461" t="s">
        <v>213</v>
      </c>
      <c r="E952" s="454" t="s">
        <v>1145</v>
      </c>
      <c r="F952" s="461" t="s">
        <v>134</v>
      </c>
      <c r="G952" s="459">
        <v>204</v>
      </c>
      <c r="H952" s="459">
        <v>215</v>
      </c>
      <c r="I952" s="201"/>
    </row>
    <row r="953" spans="1:9" ht="15.75" x14ac:dyDescent="0.25">
      <c r="A953" s="456" t="s">
        <v>541</v>
      </c>
      <c r="B953" s="453">
        <v>908</v>
      </c>
      <c r="C953" s="457" t="s">
        <v>234</v>
      </c>
      <c r="D953" s="457" t="s">
        <v>215</v>
      </c>
      <c r="E953" s="457"/>
      <c r="F953" s="457"/>
      <c r="G953" s="455">
        <f>G954+G959+G998</f>
        <v>3810</v>
      </c>
      <c r="H953" s="455">
        <f>H954+H959+H998</f>
        <v>4063</v>
      </c>
      <c r="I953" s="201"/>
    </row>
    <row r="954" spans="1:9" ht="15.75" x14ac:dyDescent="0.25">
      <c r="A954" s="456" t="s">
        <v>141</v>
      </c>
      <c r="B954" s="453">
        <v>908</v>
      </c>
      <c r="C954" s="457" t="s">
        <v>234</v>
      </c>
      <c r="D954" s="457" t="s">
        <v>215</v>
      </c>
      <c r="E954" s="457" t="s">
        <v>866</v>
      </c>
      <c r="F954" s="457"/>
      <c r="G954" s="455">
        <f t="shared" ref="G954:H957" si="86">G955</f>
        <v>1390</v>
      </c>
      <c r="H954" s="455">
        <f t="shared" si="86"/>
        <v>1390</v>
      </c>
      <c r="I954" s="201"/>
    </row>
    <row r="955" spans="1:9" ht="31.5" x14ac:dyDescent="0.25">
      <c r="A955" s="456" t="s">
        <v>870</v>
      </c>
      <c r="B955" s="453">
        <v>908</v>
      </c>
      <c r="C955" s="457" t="s">
        <v>234</v>
      </c>
      <c r="D955" s="457" t="s">
        <v>215</v>
      </c>
      <c r="E955" s="457" t="s">
        <v>865</v>
      </c>
      <c r="F955" s="457"/>
      <c r="G955" s="455">
        <f t="shared" si="86"/>
        <v>1390</v>
      </c>
      <c r="H955" s="455">
        <f t="shared" si="86"/>
        <v>1390</v>
      </c>
      <c r="I955" s="201"/>
    </row>
    <row r="956" spans="1:9" ht="15.75" x14ac:dyDescent="0.25">
      <c r="A956" s="458" t="s">
        <v>564</v>
      </c>
      <c r="B956" s="452">
        <v>908</v>
      </c>
      <c r="C956" s="454" t="s">
        <v>234</v>
      </c>
      <c r="D956" s="454" t="s">
        <v>215</v>
      </c>
      <c r="E956" s="454" t="s">
        <v>1075</v>
      </c>
      <c r="F956" s="454"/>
      <c r="G956" s="459">
        <f t="shared" si="86"/>
        <v>1390</v>
      </c>
      <c r="H956" s="459">
        <f t="shared" si="86"/>
        <v>1390</v>
      </c>
      <c r="I956" s="201"/>
    </row>
    <row r="957" spans="1:9" ht="31.5" x14ac:dyDescent="0.25">
      <c r="A957" s="458" t="s">
        <v>131</v>
      </c>
      <c r="B957" s="452">
        <v>908</v>
      </c>
      <c r="C957" s="454" t="s">
        <v>234</v>
      </c>
      <c r="D957" s="454" t="s">
        <v>215</v>
      </c>
      <c r="E957" s="454" t="s">
        <v>1075</v>
      </c>
      <c r="F957" s="454" t="s">
        <v>132</v>
      </c>
      <c r="G957" s="459">
        <f t="shared" si="86"/>
        <v>1390</v>
      </c>
      <c r="H957" s="459">
        <f t="shared" si="86"/>
        <v>1390</v>
      </c>
      <c r="I957" s="201"/>
    </row>
    <row r="958" spans="1:9" ht="33.4" customHeight="1" x14ac:dyDescent="0.25">
      <c r="A958" s="458" t="s">
        <v>133</v>
      </c>
      <c r="B958" s="452">
        <v>908</v>
      </c>
      <c r="C958" s="454" t="s">
        <v>234</v>
      </c>
      <c r="D958" s="454" t="s">
        <v>215</v>
      </c>
      <c r="E958" s="454" t="s">
        <v>1075</v>
      </c>
      <c r="F958" s="454" t="s">
        <v>134</v>
      </c>
      <c r="G958" s="459">
        <f>390+1000</f>
        <v>1390</v>
      </c>
      <c r="H958" s="459">
        <f t="shared" si="83"/>
        <v>1390</v>
      </c>
      <c r="I958" s="201"/>
    </row>
    <row r="959" spans="1:9" ht="31.5" x14ac:dyDescent="0.25">
      <c r="A959" s="456" t="s">
        <v>1365</v>
      </c>
      <c r="B959" s="453">
        <v>908</v>
      </c>
      <c r="C959" s="457" t="s">
        <v>234</v>
      </c>
      <c r="D959" s="457" t="s">
        <v>215</v>
      </c>
      <c r="E959" s="457" t="s">
        <v>543</v>
      </c>
      <c r="F959" s="457"/>
      <c r="G959" s="455">
        <f>G960+G964+G991</f>
        <v>1920</v>
      </c>
      <c r="H959" s="455">
        <f>H960+H964+H991</f>
        <v>2173</v>
      </c>
      <c r="I959" s="201"/>
    </row>
    <row r="960" spans="1:9" ht="47.25" hidden="1" x14ac:dyDescent="0.25">
      <c r="A960" s="456" t="s">
        <v>1435</v>
      </c>
      <c r="B960" s="453">
        <v>908</v>
      </c>
      <c r="C960" s="457" t="s">
        <v>234</v>
      </c>
      <c r="D960" s="457" t="s">
        <v>215</v>
      </c>
      <c r="E960" s="457" t="s">
        <v>1274</v>
      </c>
      <c r="F960" s="457"/>
      <c r="G960" s="455">
        <f t="shared" ref="G960:H962" si="87">G961</f>
        <v>0</v>
      </c>
      <c r="H960" s="455">
        <f t="shared" si="87"/>
        <v>0</v>
      </c>
      <c r="I960" s="201"/>
    </row>
    <row r="961" spans="1:9" ht="31.5" hidden="1" x14ac:dyDescent="0.25">
      <c r="A961" s="309" t="s">
        <v>1436</v>
      </c>
      <c r="B961" s="452">
        <v>908</v>
      </c>
      <c r="C961" s="454" t="s">
        <v>234</v>
      </c>
      <c r="D961" s="454" t="s">
        <v>215</v>
      </c>
      <c r="E961" s="454" t="s">
        <v>1423</v>
      </c>
      <c r="F961" s="454"/>
      <c r="G961" s="459">
        <f t="shared" si="87"/>
        <v>0</v>
      </c>
      <c r="H961" s="459">
        <f t="shared" si="87"/>
        <v>0</v>
      </c>
      <c r="I961" s="201"/>
    </row>
    <row r="962" spans="1:9" ht="31.5" hidden="1" x14ac:dyDescent="0.25">
      <c r="A962" s="458" t="s">
        <v>131</v>
      </c>
      <c r="B962" s="452">
        <v>908</v>
      </c>
      <c r="C962" s="454" t="s">
        <v>234</v>
      </c>
      <c r="D962" s="454" t="s">
        <v>215</v>
      </c>
      <c r="E962" s="454" t="s">
        <v>1423</v>
      </c>
      <c r="F962" s="454" t="s">
        <v>132</v>
      </c>
      <c r="G962" s="459">
        <f t="shared" si="87"/>
        <v>0</v>
      </c>
      <c r="H962" s="459">
        <f t="shared" si="87"/>
        <v>0</v>
      </c>
      <c r="I962" s="201"/>
    </row>
    <row r="963" spans="1:9" ht="31.5" hidden="1" x14ac:dyDescent="0.25">
      <c r="A963" s="458" t="s">
        <v>133</v>
      </c>
      <c r="B963" s="452">
        <v>908</v>
      </c>
      <c r="C963" s="454" t="s">
        <v>234</v>
      </c>
      <c r="D963" s="454" t="s">
        <v>215</v>
      </c>
      <c r="E963" s="454" t="s">
        <v>1423</v>
      </c>
      <c r="F963" s="454" t="s">
        <v>134</v>
      </c>
      <c r="G963" s="459">
        <v>0</v>
      </c>
      <c r="H963" s="459">
        <v>0</v>
      </c>
      <c r="I963" s="201"/>
    </row>
    <row r="964" spans="1:9" ht="31.5" x14ac:dyDescent="0.25">
      <c r="A964" s="456" t="s">
        <v>1455</v>
      </c>
      <c r="B964" s="453">
        <v>908</v>
      </c>
      <c r="C964" s="457" t="s">
        <v>234</v>
      </c>
      <c r="D964" s="457" t="s">
        <v>215</v>
      </c>
      <c r="E964" s="457" t="s">
        <v>1275</v>
      </c>
      <c r="F964" s="457"/>
      <c r="G964" s="455">
        <f>G965+G968+G974+G977+G980+G985+G988</f>
        <v>1920</v>
      </c>
      <c r="H964" s="455">
        <f>H965+H968+H974+H977+H980+H985+H988</f>
        <v>2173</v>
      </c>
      <c r="I964" s="201"/>
    </row>
    <row r="965" spans="1:9" ht="15.75" x14ac:dyDescent="0.25">
      <c r="A965" s="458" t="s">
        <v>546</v>
      </c>
      <c r="B965" s="452">
        <v>908</v>
      </c>
      <c r="C965" s="454" t="s">
        <v>234</v>
      </c>
      <c r="D965" s="454" t="s">
        <v>215</v>
      </c>
      <c r="E965" s="454" t="s">
        <v>1434</v>
      </c>
      <c r="F965" s="454"/>
      <c r="G965" s="459">
        <f>G966</f>
        <v>365</v>
      </c>
      <c r="H965" s="459">
        <f>H966</f>
        <v>365</v>
      </c>
      <c r="I965" s="201"/>
    </row>
    <row r="966" spans="1:9" ht="31.5" x14ac:dyDescent="0.25">
      <c r="A966" s="458" t="s">
        <v>131</v>
      </c>
      <c r="B966" s="452">
        <v>908</v>
      </c>
      <c r="C966" s="454" t="s">
        <v>234</v>
      </c>
      <c r="D966" s="454" t="s">
        <v>215</v>
      </c>
      <c r="E966" s="454" t="s">
        <v>1434</v>
      </c>
      <c r="F966" s="454" t="s">
        <v>132</v>
      </c>
      <c r="G966" s="459">
        <f>G967</f>
        <v>365</v>
      </c>
      <c r="H966" s="459">
        <f>H967</f>
        <v>365</v>
      </c>
      <c r="I966" s="201"/>
    </row>
    <row r="967" spans="1:9" ht="31.5" x14ac:dyDescent="0.25">
      <c r="A967" s="458" t="s">
        <v>133</v>
      </c>
      <c r="B967" s="452">
        <v>908</v>
      </c>
      <c r="C967" s="454" t="s">
        <v>234</v>
      </c>
      <c r="D967" s="454" t="s">
        <v>215</v>
      </c>
      <c r="E967" s="454" t="s">
        <v>1434</v>
      </c>
      <c r="F967" s="454" t="s">
        <v>134</v>
      </c>
      <c r="G967" s="459">
        <v>365</v>
      </c>
      <c r="H967" s="459">
        <v>365</v>
      </c>
      <c r="I967" s="201"/>
    </row>
    <row r="968" spans="1:9" ht="15.75" x14ac:dyDescent="0.25">
      <c r="A968" s="458" t="s">
        <v>1087</v>
      </c>
      <c r="B968" s="452">
        <v>908</v>
      </c>
      <c r="C968" s="454" t="s">
        <v>234</v>
      </c>
      <c r="D968" s="454" t="s">
        <v>215</v>
      </c>
      <c r="E968" s="454" t="s">
        <v>1422</v>
      </c>
      <c r="F968" s="454"/>
      <c r="G968" s="459">
        <f>G969</f>
        <v>1080</v>
      </c>
      <c r="H968" s="459">
        <f>H969</f>
        <v>1188</v>
      </c>
      <c r="I968" s="201"/>
    </row>
    <row r="969" spans="1:9" ht="31.5" x14ac:dyDescent="0.25">
      <c r="A969" s="458" t="s">
        <v>131</v>
      </c>
      <c r="B969" s="452">
        <v>908</v>
      </c>
      <c r="C969" s="454" t="s">
        <v>234</v>
      </c>
      <c r="D969" s="454" t="s">
        <v>215</v>
      </c>
      <c r="E969" s="454" t="s">
        <v>1422</v>
      </c>
      <c r="F969" s="454" t="s">
        <v>132</v>
      </c>
      <c r="G969" s="459">
        <f>G970</f>
        <v>1080</v>
      </c>
      <c r="H969" s="459">
        <f>H970</f>
        <v>1188</v>
      </c>
      <c r="I969" s="201"/>
    </row>
    <row r="970" spans="1:9" ht="31.5" x14ac:dyDescent="0.25">
      <c r="A970" s="458" t="s">
        <v>133</v>
      </c>
      <c r="B970" s="452">
        <v>908</v>
      </c>
      <c r="C970" s="454" t="s">
        <v>234</v>
      </c>
      <c r="D970" s="454" t="s">
        <v>215</v>
      </c>
      <c r="E970" s="454" t="s">
        <v>1422</v>
      </c>
      <c r="F970" s="454" t="s">
        <v>134</v>
      </c>
      <c r="G970" s="459">
        <v>1080</v>
      </c>
      <c r="H970" s="459">
        <v>1188</v>
      </c>
      <c r="I970" s="201"/>
    </row>
    <row r="971" spans="1:9" ht="15.75" hidden="1" x14ac:dyDescent="0.25">
      <c r="A971" s="458" t="s">
        <v>135</v>
      </c>
      <c r="B971" s="452">
        <v>908</v>
      </c>
      <c r="C971" s="454" t="s">
        <v>234</v>
      </c>
      <c r="D971" s="454" t="s">
        <v>215</v>
      </c>
      <c r="E971" s="454" t="s">
        <v>1422</v>
      </c>
      <c r="F971" s="454" t="s">
        <v>145</v>
      </c>
      <c r="G971" s="459">
        <f>'[1]Пр.5 ведом.21'!G959</f>
        <v>0</v>
      </c>
      <c r="H971" s="459">
        <f t="shared" si="83"/>
        <v>0</v>
      </c>
      <c r="I971" s="201"/>
    </row>
    <row r="972" spans="1:9" ht="47.25" hidden="1" x14ac:dyDescent="0.25">
      <c r="A972" s="458" t="s">
        <v>836</v>
      </c>
      <c r="B972" s="452">
        <v>908</v>
      </c>
      <c r="C972" s="454" t="s">
        <v>234</v>
      </c>
      <c r="D972" s="454" t="s">
        <v>215</v>
      </c>
      <c r="E972" s="454" t="s">
        <v>1422</v>
      </c>
      <c r="F972" s="454" t="s">
        <v>147</v>
      </c>
      <c r="G972" s="459">
        <f>'[1]Пр.5 ведом.21'!G960</f>
        <v>0</v>
      </c>
      <c r="H972" s="459">
        <f t="shared" si="83"/>
        <v>0</v>
      </c>
      <c r="I972" s="201"/>
    </row>
    <row r="973" spans="1:9" ht="15.75" hidden="1" x14ac:dyDescent="0.25">
      <c r="A973" s="458" t="s">
        <v>704</v>
      </c>
      <c r="B973" s="452">
        <v>908</v>
      </c>
      <c r="C973" s="454" t="s">
        <v>234</v>
      </c>
      <c r="D973" s="454" t="s">
        <v>215</v>
      </c>
      <c r="E973" s="454" t="s">
        <v>1422</v>
      </c>
      <c r="F973" s="454" t="s">
        <v>138</v>
      </c>
      <c r="G973" s="459">
        <f>'[1]Пр.5 ведом.21'!G961</f>
        <v>0</v>
      </c>
      <c r="H973" s="459">
        <f t="shared" si="83"/>
        <v>0</v>
      </c>
      <c r="I973" s="201"/>
    </row>
    <row r="974" spans="1:9" ht="15.75" hidden="1" x14ac:dyDescent="0.25">
      <c r="A974" s="458" t="s">
        <v>550</v>
      </c>
      <c r="B974" s="452">
        <v>908</v>
      </c>
      <c r="C974" s="454" t="s">
        <v>234</v>
      </c>
      <c r="D974" s="454" t="s">
        <v>215</v>
      </c>
      <c r="E974" s="454" t="s">
        <v>1299</v>
      </c>
      <c r="F974" s="454"/>
      <c r="G974" s="459">
        <f>G975</f>
        <v>0</v>
      </c>
      <c r="H974" s="459">
        <f>H975</f>
        <v>0</v>
      </c>
      <c r="I974" s="201"/>
    </row>
    <row r="975" spans="1:9" ht="31.5" hidden="1" x14ac:dyDescent="0.25">
      <c r="A975" s="458" t="s">
        <v>131</v>
      </c>
      <c r="B975" s="452">
        <v>908</v>
      </c>
      <c r="C975" s="454" t="s">
        <v>234</v>
      </c>
      <c r="D975" s="454" t="s">
        <v>215</v>
      </c>
      <c r="E975" s="454" t="s">
        <v>1299</v>
      </c>
      <c r="F975" s="454" t="s">
        <v>132</v>
      </c>
      <c r="G975" s="459">
        <f>G976</f>
        <v>0</v>
      </c>
      <c r="H975" s="459">
        <f>H976</f>
        <v>0</v>
      </c>
      <c r="I975" s="201"/>
    </row>
    <row r="976" spans="1:9" ht="31.5" hidden="1" x14ac:dyDescent="0.25">
      <c r="A976" s="458" t="s">
        <v>133</v>
      </c>
      <c r="B976" s="452">
        <v>908</v>
      </c>
      <c r="C976" s="454" t="s">
        <v>234</v>
      </c>
      <c r="D976" s="454" t="s">
        <v>215</v>
      </c>
      <c r="E976" s="454" t="s">
        <v>1299</v>
      </c>
      <c r="F976" s="454" t="s">
        <v>134</v>
      </c>
      <c r="G976" s="459">
        <v>0</v>
      </c>
      <c r="H976" s="459">
        <v>0</v>
      </c>
      <c r="I976" s="201"/>
    </row>
    <row r="977" spans="1:9" ht="15.75" x14ac:dyDescent="0.25">
      <c r="A977" s="458" t="s">
        <v>555</v>
      </c>
      <c r="B977" s="452">
        <v>908</v>
      </c>
      <c r="C977" s="454" t="s">
        <v>234</v>
      </c>
      <c r="D977" s="454" t="s">
        <v>215</v>
      </c>
      <c r="E977" s="454" t="s">
        <v>1276</v>
      </c>
      <c r="F977" s="454"/>
      <c r="G977" s="459">
        <f>G978</f>
        <v>50</v>
      </c>
      <c r="H977" s="459">
        <f>H978</f>
        <v>55</v>
      </c>
      <c r="I977" s="201"/>
    </row>
    <row r="978" spans="1:9" ht="31.5" x14ac:dyDescent="0.25">
      <c r="A978" s="458" t="s">
        <v>131</v>
      </c>
      <c r="B978" s="452">
        <v>908</v>
      </c>
      <c r="C978" s="454" t="s">
        <v>234</v>
      </c>
      <c r="D978" s="454" t="s">
        <v>215</v>
      </c>
      <c r="E978" s="454" t="s">
        <v>1276</v>
      </c>
      <c r="F978" s="454" t="s">
        <v>132</v>
      </c>
      <c r="G978" s="459">
        <f>G979</f>
        <v>50</v>
      </c>
      <c r="H978" s="459">
        <f>H979</f>
        <v>55</v>
      </c>
      <c r="I978" s="201"/>
    </row>
    <row r="979" spans="1:9" ht="31.5" x14ac:dyDescent="0.25">
      <c r="A979" s="458" t="s">
        <v>133</v>
      </c>
      <c r="B979" s="452">
        <v>908</v>
      </c>
      <c r="C979" s="454" t="s">
        <v>234</v>
      </c>
      <c r="D979" s="454" t="s">
        <v>215</v>
      </c>
      <c r="E979" s="454" t="s">
        <v>1276</v>
      </c>
      <c r="F979" s="454" t="s">
        <v>134</v>
      </c>
      <c r="G979" s="459">
        <v>50</v>
      </c>
      <c r="H979" s="459">
        <v>55</v>
      </c>
      <c r="I979" s="201"/>
    </row>
    <row r="980" spans="1:9" ht="31.5" x14ac:dyDescent="0.25">
      <c r="A980" s="307" t="s">
        <v>1437</v>
      </c>
      <c r="B980" s="452">
        <v>908</v>
      </c>
      <c r="C980" s="454" t="s">
        <v>234</v>
      </c>
      <c r="D980" s="454" t="s">
        <v>215</v>
      </c>
      <c r="E980" s="454" t="s">
        <v>1277</v>
      </c>
      <c r="F980" s="454"/>
      <c r="G980" s="459">
        <f>G981+G983</f>
        <v>375</v>
      </c>
      <c r="H980" s="459">
        <f>H981+H983</f>
        <v>375</v>
      </c>
      <c r="I980" s="201"/>
    </row>
    <row r="981" spans="1:9" ht="31.5" x14ac:dyDescent="0.25">
      <c r="A981" s="458" t="s">
        <v>131</v>
      </c>
      <c r="B981" s="452">
        <v>908</v>
      </c>
      <c r="C981" s="454" t="s">
        <v>234</v>
      </c>
      <c r="D981" s="454" t="s">
        <v>215</v>
      </c>
      <c r="E981" s="454" t="s">
        <v>1277</v>
      </c>
      <c r="F981" s="454" t="s">
        <v>132</v>
      </c>
      <c r="G981" s="459">
        <f>G982</f>
        <v>300</v>
      </c>
      <c r="H981" s="459">
        <f>H982</f>
        <v>300</v>
      </c>
      <c r="I981" s="201"/>
    </row>
    <row r="982" spans="1:9" ht="31.5" x14ac:dyDescent="0.25">
      <c r="A982" s="458" t="s">
        <v>133</v>
      </c>
      <c r="B982" s="452">
        <v>908</v>
      </c>
      <c r="C982" s="454" t="s">
        <v>234</v>
      </c>
      <c r="D982" s="454" t="s">
        <v>215</v>
      </c>
      <c r="E982" s="454" t="s">
        <v>1277</v>
      </c>
      <c r="F982" s="454" t="s">
        <v>134</v>
      </c>
      <c r="G982" s="459">
        <f>300</f>
        <v>300</v>
      </c>
      <c r="H982" s="459">
        <v>300</v>
      </c>
      <c r="I982" s="201"/>
    </row>
    <row r="983" spans="1:9" ht="15.75" x14ac:dyDescent="0.25">
      <c r="A983" s="458" t="s">
        <v>135</v>
      </c>
      <c r="B983" s="452">
        <v>908</v>
      </c>
      <c r="C983" s="454" t="s">
        <v>234</v>
      </c>
      <c r="D983" s="454" t="s">
        <v>215</v>
      </c>
      <c r="E983" s="454" t="s">
        <v>1277</v>
      </c>
      <c r="F983" s="454" t="s">
        <v>145</v>
      </c>
      <c r="G983" s="459">
        <f>G984</f>
        <v>75</v>
      </c>
      <c r="H983" s="459">
        <f>H984</f>
        <v>75</v>
      </c>
      <c r="I983" s="201"/>
    </row>
    <row r="984" spans="1:9" ht="15.75" x14ac:dyDescent="0.25">
      <c r="A984" s="458" t="s">
        <v>704</v>
      </c>
      <c r="B984" s="452">
        <v>908</v>
      </c>
      <c r="C984" s="454" t="s">
        <v>234</v>
      </c>
      <c r="D984" s="454" t="s">
        <v>215</v>
      </c>
      <c r="E984" s="454" t="s">
        <v>1277</v>
      </c>
      <c r="F984" s="454" t="s">
        <v>138</v>
      </c>
      <c r="G984" s="459">
        <f>75</f>
        <v>75</v>
      </c>
      <c r="H984" s="459">
        <f t="shared" ref="H984:H1032" si="88">G984</f>
        <v>75</v>
      </c>
      <c r="I984" s="201"/>
    </row>
    <row r="985" spans="1:9" ht="25.5" hidden="1" customHeight="1" x14ac:dyDescent="0.25">
      <c r="A985" s="45" t="s">
        <v>559</v>
      </c>
      <c r="B985" s="452">
        <v>908</v>
      </c>
      <c r="C985" s="454" t="s">
        <v>234</v>
      </c>
      <c r="D985" s="454" t="s">
        <v>215</v>
      </c>
      <c r="E985" s="454" t="s">
        <v>1278</v>
      </c>
      <c r="F985" s="454"/>
      <c r="G985" s="459">
        <f>'[1]Пр.5 ведом.21'!G973</f>
        <v>0</v>
      </c>
      <c r="H985" s="459">
        <f>H986</f>
        <v>130</v>
      </c>
      <c r="I985" s="201"/>
    </row>
    <row r="986" spans="1:9" ht="31.5" hidden="1" x14ac:dyDescent="0.25">
      <c r="A986" s="458" t="s">
        <v>131</v>
      </c>
      <c r="B986" s="452">
        <v>908</v>
      </c>
      <c r="C986" s="454" t="s">
        <v>234</v>
      </c>
      <c r="D986" s="454" t="s">
        <v>215</v>
      </c>
      <c r="E986" s="454" t="s">
        <v>1278</v>
      </c>
      <c r="F986" s="454" t="s">
        <v>132</v>
      </c>
      <c r="G986" s="459">
        <f>'[1]Пр.5 ведом.21'!G974</f>
        <v>0</v>
      </c>
      <c r="H986" s="459">
        <f>H987</f>
        <v>130</v>
      </c>
      <c r="I986" s="201"/>
    </row>
    <row r="987" spans="1:9" ht="31.5" hidden="1" x14ac:dyDescent="0.25">
      <c r="A987" s="458" t="s">
        <v>133</v>
      </c>
      <c r="B987" s="452">
        <v>908</v>
      </c>
      <c r="C987" s="454" t="s">
        <v>234</v>
      </c>
      <c r="D987" s="454" t="s">
        <v>215</v>
      </c>
      <c r="E987" s="454" t="s">
        <v>1278</v>
      </c>
      <c r="F987" s="454" t="s">
        <v>134</v>
      </c>
      <c r="G987" s="459">
        <f>0</f>
        <v>0</v>
      </c>
      <c r="H987" s="459">
        <v>130</v>
      </c>
      <c r="I987" s="201"/>
    </row>
    <row r="988" spans="1:9" ht="31.5" x14ac:dyDescent="0.25">
      <c r="A988" s="224" t="s">
        <v>1089</v>
      </c>
      <c r="B988" s="452">
        <v>908</v>
      </c>
      <c r="C988" s="454" t="s">
        <v>234</v>
      </c>
      <c r="D988" s="454" t="s">
        <v>215</v>
      </c>
      <c r="E988" s="454" t="s">
        <v>1279</v>
      </c>
      <c r="F988" s="454"/>
      <c r="G988" s="459">
        <f>G989</f>
        <v>50</v>
      </c>
      <c r="H988" s="459">
        <f>H989</f>
        <v>60</v>
      </c>
      <c r="I988" s="201"/>
    </row>
    <row r="989" spans="1:9" ht="31.5" x14ac:dyDescent="0.25">
      <c r="A989" s="458" t="s">
        <v>131</v>
      </c>
      <c r="B989" s="452">
        <v>908</v>
      </c>
      <c r="C989" s="454" t="s">
        <v>234</v>
      </c>
      <c r="D989" s="454" t="s">
        <v>215</v>
      </c>
      <c r="E989" s="454" t="s">
        <v>1279</v>
      </c>
      <c r="F989" s="454" t="s">
        <v>132</v>
      </c>
      <c r="G989" s="459">
        <f>G990</f>
        <v>50</v>
      </c>
      <c r="H989" s="459">
        <f>H990</f>
        <v>60</v>
      </c>
      <c r="I989" s="201"/>
    </row>
    <row r="990" spans="1:9" ht="40.15" customHeight="1" x14ac:dyDescent="0.25">
      <c r="A990" s="458" t="s">
        <v>133</v>
      </c>
      <c r="B990" s="452">
        <v>908</v>
      </c>
      <c r="C990" s="454" t="s">
        <v>234</v>
      </c>
      <c r="D990" s="454" t="s">
        <v>215</v>
      </c>
      <c r="E990" s="454" t="s">
        <v>1279</v>
      </c>
      <c r="F990" s="454" t="s">
        <v>134</v>
      </c>
      <c r="G990" s="459">
        <v>50</v>
      </c>
      <c r="H990" s="459">
        <v>60</v>
      </c>
      <c r="I990" s="201"/>
    </row>
    <row r="991" spans="1:9" ht="31.5" hidden="1" x14ac:dyDescent="0.25">
      <c r="A991" s="456" t="s">
        <v>891</v>
      </c>
      <c r="B991" s="453">
        <v>908</v>
      </c>
      <c r="C991" s="457" t="s">
        <v>234</v>
      </c>
      <c r="D991" s="457" t="s">
        <v>215</v>
      </c>
      <c r="E991" s="457" t="s">
        <v>1297</v>
      </c>
      <c r="F991" s="457"/>
      <c r="G991" s="455">
        <f>G992+G995</f>
        <v>0</v>
      </c>
      <c r="H991" s="455">
        <f>H992+H995</f>
        <v>0</v>
      </c>
      <c r="I991" s="201"/>
    </row>
    <row r="992" spans="1:9" ht="31.5" hidden="1" x14ac:dyDescent="0.25">
      <c r="A992" s="458" t="s">
        <v>690</v>
      </c>
      <c r="B992" s="452">
        <v>908</v>
      </c>
      <c r="C992" s="454" t="s">
        <v>234</v>
      </c>
      <c r="D992" s="454" t="s">
        <v>215</v>
      </c>
      <c r="E992" s="454" t="s">
        <v>1328</v>
      </c>
      <c r="F992" s="454"/>
      <c r="G992" s="459">
        <f>'[1]Пр.5 ведом.21'!G980</f>
        <v>0</v>
      </c>
      <c r="H992" s="459">
        <f t="shared" si="88"/>
        <v>0</v>
      </c>
      <c r="I992" s="201"/>
    </row>
    <row r="993" spans="1:9" ht="31.5" hidden="1" x14ac:dyDescent="0.25">
      <c r="A993" s="458" t="s">
        <v>131</v>
      </c>
      <c r="B993" s="452">
        <v>908</v>
      </c>
      <c r="C993" s="454" t="s">
        <v>234</v>
      </c>
      <c r="D993" s="454" t="s">
        <v>215</v>
      </c>
      <c r="E993" s="454" t="s">
        <v>1328</v>
      </c>
      <c r="F993" s="454" t="s">
        <v>132</v>
      </c>
      <c r="G993" s="459">
        <f>'[1]Пр.5 ведом.21'!G981</f>
        <v>0</v>
      </c>
      <c r="H993" s="459">
        <f t="shared" si="88"/>
        <v>0</v>
      </c>
      <c r="I993" s="201"/>
    </row>
    <row r="994" spans="1:9" ht="31.5" hidden="1" x14ac:dyDescent="0.25">
      <c r="A994" s="458" t="s">
        <v>133</v>
      </c>
      <c r="B994" s="452">
        <v>908</v>
      </c>
      <c r="C994" s="454" t="s">
        <v>234</v>
      </c>
      <c r="D994" s="454" t="s">
        <v>215</v>
      </c>
      <c r="E994" s="454" t="s">
        <v>1328</v>
      </c>
      <c r="F994" s="454" t="s">
        <v>134</v>
      </c>
      <c r="G994" s="459">
        <f>'[1]Пр.5 ведом.21'!G982</f>
        <v>0</v>
      </c>
      <c r="H994" s="459">
        <f t="shared" si="88"/>
        <v>0</v>
      </c>
      <c r="I994" s="201"/>
    </row>
    <row r="995" spans="1:9" ht="63" hidden="1" x14ac:dyDescent="0.25">
      <c r="A995" s="458" t="s">
        <v>1071</v>
      </c>
      <c r="B995" s="452">
        <v>908</v>
      </c>
      <c r="C995" s="454" t="s">
        <v>234</v>
      </c>
      <c r="D995" s="454" t="s">
        <v>215</v>
      </c>
      <c r="E995" s="454" t="s">
        <v>1296</v>
      </c>
      <c r="F995" s="454"/>
      <c r="G995" s="459">
        <f>G996</f>
        <v>0</v>
      </c>
      <c r="H995" s="459">
        <f>H996</f>
        <v>0</v>
      </c>
      <c r="I995" s="201"/>
    </row>
    <row r="996" spans="1:9" ht="31.5" hidden="1" x14ac:dyDescent="0.25">
      <c r="A996" s="458" t="s">
        <v>131</v>
      </c>
      <c r="B996" s="452">
        <v>908</v>
      </c>
      <c r="C996" s="454" t="s">
        <v>234</v>
      </c>
      <c r="D996" s="454" t="s">
        <v>215</v>
      </c>
      <c r="E996" s="454" t="s">
        <v>1296</v>
      </c>
      <c r="F996" s="454" t="s">
        <v>132</v>
      </c>
      <c r="G996" s="459">
        <f>G997</f>
        <v>0</v>
      </c>
      <c r="H996" s="459">
        <f>H997</f>
        <v>0</v>
      </c>
      <c r="I996" s="201"/>
    </row>
    <row r="997" spans="1:9" ht="31.5" hidden="1" x14ac:dyDescent="0.25">
      <c r="A997" s="458" t="s">
        <v>133</v>
      </c>
      <c r="B997" s="452">
        <v>908</v>
      </c>
      <c r="C997" s="454" t="s">
        <v>234</v>
      </c>
      <c r="D997" s="454" t="s">
        <v>215</v>
      </c>
      <c r="E997" s="454" t="s">
        <v>1296</v>
      </c>
      <c r="F997" s="454" t="s">
        <v>134</v>
      </c>
      <c r="G997" s="459"/>
      <c r="H997" s="459"/>
      <c r="I997" s="201"/>
    </row>
    <row r="998" spans="1:9" ht="63" x14ac:dyDescent="0.25">
      <c r="A998" s="456" t="s">
        <v>1538</v>
      </c>
      <c r="B998" s="453">
        <v>908</v>
      </c>
      <c r="C998" s="457" t="s">
        <v>234</v>
      </c>
      <c r="D998" s="457" t="s">
        <v>215</v>
      </c>
      <c r="E998" s="457" t="s">
        <v>711</v>
      </c>
      <c r="F998" s="457"/>
      <c r="G998" s="455">
        <f t="shared" ref="G998:H1001" si="89">G999</f>
        <v>500</v>
      </c>
      <c r="H998" s="455">
        <f t="shared" si="89"/>
        <v>500</v>
      </c>
      <c r="I998" s="201"/>
    </row>
    <row r="999" spans="1:9" ht="31.5" x14ac:dyDescent="0.25">
      <c r="A999" s="456" t="s">
        <v>1067</v>
      </c>
      <c r="B999" s="453">
        <v>908</v>
      </c>
      <c r="C999" s="457" t="s">
        <v>234</v>
      </c>
      <c r="D999" s="457" t="s">
        <v>215</v>
      </c>
      <c r="E999" s="457" t="s">
        <v>1088</v>
      </c>
      <c r="F999" s="457"/>
      <c r="G999" s="455">
        <f t="shared" si="89"/>
        <v>500</v>
      </c>
      <c r="H999" s="455">
        <f t="shared" si="89"/>
        <v>500</v>
      </c>
      <c r="I999" s="201"/>
    </row>
    <row r="1000" spans="1:9" ht="47.25" x14ac:dyDescent="0.25">
      <c r="A1000" s="80" t="s">
        <v>693</v>
      </c>
      <c r="B1000" s="452">
        <v>908</v>
      </c>
      <c r="C1000" s="454" t="s">
        <v>234</v>
      </c>
      <c r="D1000" s="454" t="s">
        <v>215</v>
      </c>
      <c r="E1000" s="454" t="s">
        <v>835</v>
      </c>
      <c r="F1000" s="454"/>
      <c r="G1000" s="459">
        <f t="shared" si="89"/>
        <v>500</v>
      </c>
      <c r="H1000" s="459">
        <f t="shared" si="89"/>
        <v>500</v>
      </c>
      <c r="I1000" s="201"/>
    </row>
    <row r="1001" spans="1:9" ht="31.5" x14ac:dyDescent="0.25">
      <c r="A1001" s="458" t="s">
        <v>131</v>
      </c>
      <c r="B1001" s="452">
        <v>908</v>
      </c>
      <c r="C1001" s="454" t="s">
        <v>234</v>
      </c>
      <c r="D1001" s="454" t="s">
        <v>215</v>
      </c>
      <c r="E1001" s="454" t="s">
        <v>835</v>
      </c>
      <c r="F1001" s="454" t="s">
        <v>132</v>
      </c>
      <c r="G1001" s="459">
        <f t="shared" si="89"/>
        <v>500</v>
      </c>
      <c r="H1001" s="459">
        <f t="shared" si="89"/>
        <v>500</v>
      </c>
      <c r="I1001" s="201"/>
    </row>
    <row r="1002" spans="1:9" ht="31.5" x14ac:dyDescent="0.25">
      <c r="A1002" s="458" t="s">
        <v>133</v>
      </c>
      <c r="B1002" s="452">
        <v>908</v>
      </c>
      <c r="C1002" s="454" t="s">
        <v>234</v>
      </c>
      <c r="D1002" s="454" t="s">
        <v>215</v>
      </c>
      <c r="E1002" s="454" t="s">
        <v>835</v>
      </c>
      <c r="F1002" s="454" t="s">
        <v>134</v>
      </c>
      <c r="G1002" s="459">
        <f>500</f>
        <v>500</v>
      </c>
      <c r="H1002" s="459">
        <f t="shared" si="88"/>
        <v>500</v>
      </c>
      <c r="I1002" s="201"/>
    </row>
    <row r="1003" spans="1:9" ht="31.5" x14ac:dyDescent="0.25">
      <c r="A1003" s="456" t="s">
        <v>569</v>
      </c>
      <c r="B1003" s="453">
        <v>908</v>
      </c>
      <c r="C1003" s="457" t="s">
        <v>234</v>
      </c>
      <c r="D1003" s="457" t="s">
        <v>234</v>
      </c>
      <c r="E1003" s="457"/>
      <c r="F1003" s="457"/>
      <c r="G1003" s="455">
        <f>G1004+G1016+G1033</f>
        <v>25304.5</v>
      </c>
      <c r="H1003" s="455">
        <f>H1004+H1016+H1033</f>
        <v>25304.5</v>
      </c>
      <c r="I1003" s="201"/>
    </row>
    <row r="1004" spans="1:9" ht="31.5" x14ac:dyDescent="0.25">
      <c r="A1004" s="456" t="s">
        <v>917</v>
      </c>
      <c r="B1004" s="453">
        <v>908</v>
      </c>
      <c r="C1004" s="457" t="s">
        <v>234</v>
      </c>
      <c r="D1004" s="457" t="s">
        <v>234</v>
      </c>
      <c r="E1004" s="457" t="s">
        <v>858</v>
      </c>
      <c r="F1004" s="457"/>
      <c r="G1004" s="455">
        <f>G1005</f>
        <v>12879.3</v>
      </c>
      <c r="H1004" s="455">
        <f>H1005</f>
        <v>12879.3</v>
      </c>
      <c r="I1004" s="201"/>
    </row>
    <row r="1005" spans="1:9" ht="15.75" x14ac:dyDescent="0.25">
      <c r="A1005" s="456" t="s">
        <v>918</v>
      </c>
      <c r="B1005" s="453">
        <v>908</v>
      </c>
      <c r="C1005" s="457" t="s">
        <v>234</v>
      </c>
      <c r="D1005" s="457" t="s">
        <v>234</v>
      </c>
      <c r="E1005" s="457" t="s">
        <v>859</v>
      </c>
      <c r="F1005" s="457"/>
      <c r="G1005" s="455">
        <f>G1006+G1013</f>
        <v>12879.3</v>
      </c>
      <c r="H1005" s="455">
        <f>H1006+H1013</f>
        <v>12879.3</v>
      </c>
      <c r="I1005" s="201"/>
    </row>
    <row r="1006" spans="1:9" ht="31.5" x14ac:dyDescent="0.25">
      <c r="A1006" s="458" t="s">
        <v>897</v>
      </c>
      <c r="B1006" s="452">
        <v>908</v>
      </c>
      <c r="C1006" s="454" t="s">
        <v>234</v>
      </c>
      <c r="D1006" s="454" t="s">
        <v>234</v>
      </c>
      <c r="E1006" s="454" t="s">
        <v>860</v>
      </c>
      <c r="F1006" s="454"/>
      <c r="G1006" s="459">
        <f>G1007+G1009+G1011</f>
        <v>12511.3</v>
      </c>
      <c r="H1006" s="459">
        <f>H1007+H1009+H1011</f>
        <v>12511.3</v>
      </c>
      <c r="I1006" s="201"/>
    </row>
    <row r="1007" spans="1:9" ht="78.75" x14ac:dyDescent="0.25">
      <c r="A1007" s="458" t="s">
        <v>127</v>
      </c>
      <c r="B1007" s="452">
        <v>908</v>
      </c>
      <c r="C1007" s="454" t="s">
        <v>234</v>
      </c>
      <c r="D1007" s="454" t="s">
        <v>234</v>
      </c>
      <c r="E1007" s="454" t="s">
        <v>860</v>
      </c>
      <c r="F1007" s="454" t="s">
        <v>128</v>
      </c>
      <c r="G1007" s="459">
        <f>G1008</f>
        <v>12439.3</v>
      </c>
      <c r="H1007" s="459">
        <f>H1008</f>
        <v>12439.3</v>
      </c>
      <c r="I1007" s="201"/>
    </row>
    <row r="1008" spans="1:9" ht="31.5" x14ac:dyDescent="0.25">
      <c r="A1008" s="458" t="s">
        <v>129</v>
      </c>
      <c r="B1008" s="452">
        <v>908</v>
      </c>
      <c r="C1008" s="454" t="s">
        <v>234</v>
      </c>
      <c r="D1008" s="454" t="s">
        <v>234</v>
      </c>
      <c r="E1008" s="454" t="s">
        <v>860</v>
      </c>
      <c r="F1008" s="454" t="s">
        <v>130</v>
      </c>
      <c r="G1008" s="459">
        <v>12439.3</v>
      </c>
      <c r="H1008" s="459">
        <f t="shared" si="88"/>
        <v>12439.3</v>
      </c>
      <c r="I1008" s="201"/>
    </row>
    <row r="1009" spans="1:9" ht="31.5" x14ac:dyDescent="0.25">
      <c r="A1009" s="458" t="s">
        <v>131</v>
      </c>
      <c r="B1009" s="452">
        <v>908</v>
      </c>
      <c r="C1009" s="454" t="s">
        <v>234</v>
      </c>
      <c r="D1009" s="454" t="s">
        <v>234</v>
      </c>
      <c r="E1009" s="454" t="s">
        <v>860</v>
      </c>
      <c r="F1009" s="454" t="s">
        <v>132</v>
      </c>
      <c r="G1009" s="459">
        <f>G1010</f>
        <v>25</v>
      </c>
      <c r="H1009" s="459">
        <f>H1010</f>
        <v>25</v>
      </c>
      <c r="I1009" s="201"/>
    </row>
    <row r="1010" spans="1:9" ht="31.5" x14ac:dyDescent="0.25">
      <c r="A1010" s="458" t="s">
        <v>133</v>
      </c>
      <c r="B1010" s="452">
        <v>908</v>
      </c>
      <c r="C1010" s="454" t="s">
        <v>234</v>
      </c>
      <c r="D1010" s="454" t="s">
        <v>234</v>
      </c>
      <c r="E1010" s="454" t="s">
        <v>860</v>
      </c>
      <c r="F1010" s="454" t="s">
        <v>134</v>
      </c>
      <c r="G1010" s="459">
        <f>25</f>
        <v>25</v>
      </c>
      <c r="H1010" s="459">
        <f t="shared" si="88"/>
        <v>25</v>
      </c>
      <c r="I1010" s="201"/>
    </row>
    <row r="1011" spans="1:9" ht="15.75" x14ac:dyDescent="0.25">
      <c r="A1011" s="458" t="s">
        <v>135</v>
      </c>
      <c r="B1011" s="452">
        <v>908</v>
      </c>
      <c r="C1011" s="454" t="s">
        <v>234</v>
      </c>
      <c r="D1011" s="454" t="s">
        <v>234</v>
      </c>
      <c r="E1011" s="454" t="s">
        <v>860</v>
      </c>
      <c r="F1011" s="454" t="s">
        <v>145</v>
      </c>
      <c r="G1011" s="459">
        <f>G1012</f>
        <v>47</v>
      </c>
      <c r="H1011" s="459">
        <f>H1012</f>
        <v>47</v>
      </c>
      <c r="I1011" s="201"/>
    </row>
    <row r="1012" spans="1:9" ht="15.75" x14ac:dyDescent="0.25">
      <c r="A1012" s="458" t="s">
        <v>568</v>
      </c>
      <c r="B1012" s="452">
        <v>908</v>
      </c>
      <c r="C1012" s="454" t="s">
        <v>234</v>
      </c>
      <c r="D1012" s="454" t="s">
        <v>234</v>
      </c>
      <c r="E1012" s="454" t="s">
        <v>860</v>
      </c>
      <c r="F1012" s="454" t="s">
        <v>138</v>
      </c>
      <c r="G1012" s="459">
        <f>47</f>
        <v>47</v>
      </c>
      <c r="H1012" s="459">
        <f t="shared" si="88"/>
        <v>47</v>
      </c>
      <c r="I1012" s="201"/>
    </row>
    <row r="1013" spans="1:9" ht="47.25" x14ac:dyDescent="0.25">
      <c r="A1013" s="458" t="s">
        <v>839</v>
      </c>
      <c r="B1013" s="452">
        <v>908</v>
      </c>
      <c r="C1013" s="454" t="s">
        <v>234</v>
      </c>
      <c r="D1013" s="454" t="s">
        <v>234</v>
      </c>
      <c r="E1013" s="454" t="s">
        <v>862</v>
      </c>
      <c r="F1013" s="454"/>
      <c r="G1013" s="459">
        <f>G1014</f>
        <v>368</v>
      </c>
      <c r="H1013" s="459">
        <f>H1014</f>
        <v>368</v>
      </c>
      <c r="I1013" s="201"/>
    </row>
    <row r="1014" spans="1:9" ht="78.75" x14ac:dyDescent="0.25">
      <c r="A1014" s="458" t="s">
        <v>127</v>
      </c>
      <c r="B1014" s="452">
        <v>908</v>
      </c>
      <c r="C1014" s="454" t="s">
        <v>234</v>
      </c>
      <c r="D1014" s="454" t="s">
        <v>234</v>
      </c>
      <c r="E1014" s="454" t="s">
        <v>862</v>
      </c>
      <c r="F1014" s="454" t="s">
        <v>128</v>
      </c>
      <c r="G1014" s="459">
        <f>G1015</f>
        <v>368</v>
      </c>
      <c r="H1014" s="459">
        <f>H1015</f>
        <v>368</v>
      </c>
      <c r="I1014" s="201"/>
    </row>
    <row r="1015" spans="1:9" ht="31.5" x14ac:dyDescent="0.25">
      <c r="A1015" s="458" t="s">
        <v>129</v>
      </c>
      <c r="B1015" s="452">
        <v>908</v>
      </c>
      <c r="C1015" s="454" t="s">
        <v>234</v>
      </c>
      <c r="D1015" s="454" t="s">
        <v>234</v>
      </c>
      <c r="E1015" s="454" t="s">
        <v>862</v>
      </c>
      <c r="F1015" s="454" t="s">
        <v>130</v>
      </c>
      <c r="G1015" s="459">
        <v>368</v>
      </c>
      <c r="H1015" s="459">
        <f t="shared" si="88"/>
        <v>368</v>
      </c>
      <c r="I1015" s="201"/>
    </row>
    <row r="1016" spans="1:9" ht="15.75" x14ac:dyDescent="0.25">
      <c r="A1016" s="456" t="s">
        <v>141</v>
      </c>
      <c r="B1016" s="453">
        <v>908</v>
      </c>
      <c r="C1016" s="457" t="s">
        <v>234</v>
      </c>
      <c r="D1016" s="457" t="s">
        <v>234</v>
      </c>
      <c r="E1016" s="457" t="s">
        <v>866</v>
      </c>
      <c r="F1016" s="457"/>
      <c r="G1016" s="455">
        <f>G1017+G1024</f>
        <v>12425.2</v>
      </c>
      <c r="H1016" s="455">
        <f>H1017+H1024</f>
        <v>12425.2</v>
      </c>
      <c r="I1016" s="201"/>
    </row>
    <row r="1017" spans="1:9" ht="31.5" x14ac:dyDescent="0.25">
      <c r="A1017" s="456" t="s">
        <v>870</v>
      </c>
      <c r="B1017" s="453">
        <v>908</v>
      </c>
      <c r="C1017" s="457" t="s">
        <v>234</v>
      </c>
      <c r="D1017" s="457" t="s">
        <v>234</v>
      </c>
      <c r="E1017" s="457" t="s">
        <v>865</v>
      </c>
      <c r="F1017" s="457"/>
      <c r="G1017" s="455">
        <f>G1018+G1021</f>
        <v>982</v>
      </c>
      <c r="H1017" s="455">
        <f>H1018+H1021</f>
        <v>982</v>
      </c>
      <c r="I1017" s="201"/>
    </row>
    <row r="1018" spans="1:9" ht="31.5" x14ac:dyDescent="0.25">
      <c r="A1018" s="458" t="s">
        <v>570</v>
      </c>
      <c r="B1018" s="452">
        <v>908</v>
      </c>
      <c r="C1018" s="454" t="s">
        <v>234</v>
      </c>
      <c r="D1018" s="454" t="s">
        <v>234</v>
      </c>
      <c r="E1018" s="454" t="s">
        <v>984</v>
      </c>
      <c r="F1018" s="454"/>
      <c r="G1018" s="459">
        <f>G1019</f>
        <v>982</v>
      </c>
      <c r="H1018" s="459">
        <f>H1019</f>
        <v>982</v>
      </c>
      <c r="I1018" s="201"/>
    </row>
    <row r="1019" spans="1:9" ht="15.75" x14ac:dyDescent="0.25">
      <c r="A1019" s="458" t="s">
        <v>135</v>
      </c>
      <c r="B1019" s="452">
        <v>908</v>
      </c>
      <c r="C1019" s="454" t="s">
        <v>234</v>
      </c>
      <c r="D1019" s="454" t="s">
        <v>234</v>
      </c>
      <c r="E1019" s="454" t="s">
        <v>984</v>
      </c>
      <c r="F1019" s="454" t="s">
        <v>145</v>
      </c>
      <c r="G1019" s="459">
        <f>G1020</f>
        <v>982</v>
      </c>
      <c r="H1019" s="459">
        <f>H1020</f>
        <v>982</v>
      </c>
      <c r="I1019" s="201"/>
    </row>
    <row r="1020" spans="1:9" ht="47.25" x14ac:dyDescent="0.25">
      <c r="A1020" s="458" t="s">
        <v>184</v>
      </c>
      <c r="B1020" s="452">
        <v>908</v>
      </c>
      <c r="C1020" s="454" t="s">
        <v>234</v>
      </c>
      <c r="D1020" s="454" t="s">
        <v>234</v>
      </c>
      <c r="E1020" s="454" t="s">
        <v>984</v>
      </c>
      <c r="F1020" s="454" t="s">
        <v>160</v>
      </c>
      <c r="G1020" s="459">
        <v>982</v>
      </c>
      <c r="H1020" s="459">
        <f t="shared" si="88"/>
        <v>982</v>
      </c>
      <c r="I1020" s="201"/>
    </row>
    <row r="1021" spans="1:9" ht="31.5" hidden="1" x14ac:dyDescent="0.25">
      <c r="A1021" s="458" t="s">
        <v>823</v>
      </c>
      <c r="B1021" s="452">
        <v>908</v>
      </c>
      <c r="C1021" s="454" t="s">
        <v>234</v>
      </c>
      <c r="D1021" s="454" t="s">
        <v>234</v>
      </c>
      <c r="E1021" s="454" t="s">
        <v>1072</v>
      </c>
      <c r="F1021" s="454"/>
      <c r="G1021" s="459">
        <f>'[1]Пр.5 ведом.21'!G1011</f>
        <v>0</v>
      </c>
      <c r="H1021" s="459">
        <f t="shared" si="88"/>
        <v>0</v>
      </c>
      <c r="I1021" s="201"/>
    </row>
    <row r="1022" spans="1:9" ht="15.75" hidden="1" x14ac:dyDescent="0.25">
      <c r="A1022" s="458" t="s">
        <v>135</v>
      </c>
      <c r="B1022" s="452">
        <v>908</v>
      </c>
      <c r="C1022" s="454" t="s">
        <v>234</v>
      </c>
      <c r="D1022" s="454" t="s">
        <v>234</v>
      </c>
      <c r="E1022" s="454" t="s">
        <v>1072</v>
      </c>
      <c r="F1022" s="454" t="s">
        <v>145</v>
      </c>
      <c r="G1022" s="459">
        <f>'[1]Пр.5 ведом.21'!G1012</f>
        <v>0</v>
      </c>
      <c r="H1022" s="459">
        <f t="shared" si="88"/>
        <v>0</v>
      </c>
      <c r="I1022" s="201"/>
    </row>
    <row r="1023" spans="1:9" ht="47.25" hidden="1" x14ac:dyDescent="0.25">
      <c r="A1023" s="458" t="s">
        <v>184</v>
      </c>
      <c r="B1023" s="452">
        <v>908</v>
      </c>
      <c r="C1023" s="454" t="s">
        <v>234</v>
      </c>
      <c r="D1023" s="454" t="s">
        <v>234</v>
      </c>
      <c r="E1023" s="454" t="s">
        <v>1072</v>
      </c>
      <c r="F1023" s="454" t="s">
        <v>160</v>
      </c>
      <c r="G1023" s="459">
        <f>'[1]Пр.5 ведом.21'!G1013</f>
        <v>0</v>
      </c>
      <c r="H1023" s="459">
        <f t="shared" si="88"/>
        <v>0</v>
      </c>
      <c r="I1023" s="201"/>
    </row>
    <row r="1024" spans="1:9" ht="31.5" x14ac:dyDescent="0.25">
      <c r="A1024" s="456" t="s">
        <v>929</v>
      </c>
      <c r="B1024" s="453">
        <v>908</v>
      </c>
      <c r="C1024" s="457" t="s">
        <v>234</v>
      </c>
      <c r="D1024" s="457" t="s">
        <v>234</v>
      </c>
      <c r="E1024" s="457" t="s">
        <v>914</v>
      </c>
      <c r="F1024" s="457"/>
      <c r="G1024" s="44">
        <f>G1025+G1030</f>
        <v>11443.2</v>
      </c>
      <c r="H1024" s="44">
        <f>H1025+H1030</f>
        <v>11443.2</v>
      </c>
      <c r="I1024" s="201"/>
    </row>
    <row r="1025" spans="1:9" ht="31.5" x14ac:dyDescent="0.25">
      <c r="A1025" s="458" t="s">
        <v>903</v>
      </c>
      <c r="B1025" s="452">
        <v>908</v>
      </c>
      <c r="C1025" s="454" t="s">
        <v>234</v>
      </c>
      <c r="D1025" s="454" t="s">
        <v>234</v>
      </c>
      <c r="E1025" s="454" t="s">
        <v>915</v>
      </c>
      <c r="F1025" s="454"/>
      <c r="G1025" s="459">
        <f>G1026+G1028</f>
        <v>10845.2</v>
      </c>
      <c r="H1025" s="459">
        <f>H1026+H1028</f>
        <v>10845.2</v>
      </c>
      <c r="I1025" s="201"/>
    </row>
    <row r="1026" spans="1:9" ht="78.75" x14ac:dyDescent="0.25">
      <c r="A1026" s="458" t="s">
        <v>127</v>
      </c>
      <c r="B1026" s="452">
        <v>908</v>
      </c>
      <c r="C1026" s="454" t="s">
        <v>234</v>
      </c>
      <c r="D1026" s="454" t="s">
        <v>234</v>
      </c>
      <c r="E1026" s="454" t="s">
        <v>915</v>
      </c>
      <c r="F1026" s="454" t="s">
        <v>128</v>
      </c>
      <c r="G1026" s="459">
        <f>G1027</f>
        <v>9193</v>
      </c>
      <c r="H1026" s="459">
        <f>H1027</f>
        <v>9193</v>
      </c>
      <c r="I1026" s="201"/>
    </row>
    <row r="1027" spans="1:9" ht="31.5" x14ac:dyDescent="0.25">
      <c r="A1027" s="458" t="s">
        <v>342</v>
      </c>
      <c r="B1027" s="452">
        <v>908</v>
      </c>
      <c r="C1027" s="454" t="s">
        <v>234</v>
      </c>
      <c r="D1027" s="454" t="s">
        <v>234</v>
      </c>
      <c r="E1027" s="454" t="s">
        <v>915</v>
      </c>
      <c r="F1027" s="454" t="s">
        <v>209</v>
      </c>
      <c r="G1027" s="459">
        <v>9193</v>
      </c>
      <c r="H1027" s="459">
        <f t="shared" si="88"/>
        <v>9193</v>
      </c>
      <c r="I1027" s="201"/>
    </row>
    <row r="1028" spans="1:9" ht="31.5" x14ac:dyDescent="0.25">
      <c r="A1028" s="458" t="s">
        <v>131</v>
      </c>
      <c r="B1028" s="452">
        <v>908</v>
      </c>
      <c r="C1028" s="454" t="s">
        <v>234</v>
      </c>
      <c r="D1028" s="454" t="s">
        <v>234</v>
      </c>
      <c r="E1028" s="454" t="s">
        <v>915</v>
      </c>
      <c r="F1028" s="454" t="s">
        <v>132</v>
      </c>
      <c r="G1028" s="459">
        <f>G1029</f>
        <v>1652.2</v>
      </c>
      <c r="H1028" s="459">
        <f>H1029</f>
        <v>1652.2</v>
      </c>
      <c r="I1028" s="201"/>
    </row>
    <row r="1029" spans="1:9" ht="31.5" x14ac:dyDescent="0.25">
      <c r="A1029" s="458" t="s">
        <v>133</v>
      </c>
      <c r="B1029" s="452">
        <v>908</v>
      </c>
      <c r="C1029" s="454" t="s">
        <v>234</v>
      </c>
      <c r="D1029" s="454" t="s">
        <v>234</v>
      </c>
      <c r="E1029" s="454" t="s">
        <v>915</v>
      </c>
      <c r="F1029" s="454" t="s">
        <v>134</v>
      </c>
      <c r="G1029" s="459">
        <v>1652.2</v>
      </c>
      <c r="H1029" s="459">
        <f t="shared" si="88"/>
        <v>1652.2</v>
      </c>
      <c r="I1029" s="201"/>
    </row>
    <row r="1030" spans="1:9" ht="47.25" x14ac:dyDescent="0.25">
      <c r="A1030" s="458" t="s">
        <v>839</v>
      </c>
      <c r="B1030" s="452">
        <v>908</v>
      </c>
      <c r="C1030" s="454" t="s">
        <v>234</v>
      </c>
      <c r="D1030" s="454" t="s">
        <v>234</v>
      </c>
      <c r="E1030" s="454" t="s">
        <v>916</v>
      </c>
      <c r="F1030" s="454"/>
      <c r="G1030" s="459">
        <f>G1031</f>
        <v>598</v>
      </c>
      <c r="H1030" s="459">
        <f>H1031</f>
        <v>598</v>
      </c>
      <c r="I1030" s="201"/>
    </row>
    <row r="1031" spans="1:9" ht="78.75" x14ac:dyDescent="0.25">
      <c r="A1031" s="458" t="s">
        <v>127</v>
      </c>
      <c r="B1031" s="452">
        <v>908</v>
      </c>
      <c r="C1031" s="454" t="s">
        <v>234</v>
      </c>
      <c r="D1031" s="454" t="s">
        <v>234</v>
      </c>
      <c r="E1031" s="454" t="s">
        <v>916</v>
      </c>
      <c r="F1031" s="454" t="s">
        <v>128</v>
      </c>
      <c r="G1031" s="459">
        <f>G1032</f>
        <v>598</v>
      </c>
      <c r="H1031" s="459">
        <f>H1032</f>
        <v>598</v>
      </c>
      <c r="I1031" s="201"/>
    </row>
    <row r="1032" spans="1:9" ht="23.25" customHeight="1" x14ac:dyDescent="0.25">
      <c r="A1032" s="458" t="s">
        <v>342</v>
      </c>
      <c r="B1032" s="452">
        <v>908</v>
      </c>
      <c r="C1032" s="454" t="s">
        <v>234</v>
      </c>
      <c r="D1032" s="454" t="s">
        <v>234</v>
      </c>
      <c r="E1032" s="454" t="s">
        <v>916</v>
      </c>
      <c r="F1032" s="454" t="s">
        <v>209</v>
      </c>
      <c r="G1032" s="459">
        <v>598</v>
      </c>
      <c r="H1032" s="459">
        <f t="shared" si="88"/>
        <v>598</v>
      </c>
      <c r="I1032" s="201"/>
    </row>
    <row r="1033" spans="1:9" ht="47.25" hidden="1" x14ac:dyDescent="0.25">
      <c r="A1033" s="34" t="s">
        <v>1360</v>
      </c>
      <c r="B1033" s="453">
        <v>908</v>
      </c>
      <c r="C1033" s="457" t="s">
        <v>234</v>
      </c>
      <c r="D1033" s="457" t="s">
        <v>234</v>
      </c>
      <c r="E1033" s="457" t="s">
        <v>324</v>
      </c>
      <c r="F1033" s="457"/>
      <c r="G1033" s="455">
        <f t="shared" ref="G1033:H1036" si="90">G1034</f>
        <v>0</v>
      </c>
      <c r="H1033" s="455">
        <f t="shared" si="90"/>
        <v>0</v>
      </c>
      <c r="I1033" s="201"/>
    </row>
    <row r="1034" spans="1:9" ht="63" hidden="1" x14ac:dyDescent="0.25">
      <c r="A1034" s="34" t="s">
        <v>1009</v>
      </c>
      <c r="B1034" s="453">
        <v>908</v>
      </c>
      <c r="C1034" s="457" t="s">
        <v>234</v>
      </c>
      <c r="D1034" s="457" t="s">
        <v>234</v>
      </c>
      <c r="E1034" s="457" t="s">
        <v>934</v>
      </c>
      <c r="F1034" s="457"/>
      <c r="G1034" s="455">
        <f t="shared" si="90"/>
        <v>0</v>
      </c>
      <c r="H1034" s="455">
        <f t="shared" si="90"/>
        <v>0</v>
      </c>
      <c r="I1034" s="201"/>
    </row>
    <row r="1035" spans="1:9" ht="47.25" hidden="1" x14ac:dyDescent="0.25">
      <c r="A1035" s="31" t="s">
        <v>1081</v>
      </c>
      <c r="B1035" s="452">
        <v>908</v>
      </c>
      <c r="C1035" s="454" t="s">
        <v>234</v>
      </c>
      <c r="D1035" s="454" t="s">
        <v>234</v>
      </c>
      <c r="E1035" s="454" t="s">
        <v>1026</v>
      </c>
      <c r="F1035" s="454"/>
      <c r="G1035" s="459">
        <f t="shared" si="90"/>
        <v>0</v>
      </c>
      <c r="H1035" s="459">
        <f t="shared" si="90"/>
        <v>0</v>
      </c>
      <c r="I1035" s="201"/>
    </row>
    <row r="1036" spans="1:9" ht="31.5" hidden="1" x14ac:dyDescent="0.25">
      <c r="A1036" s="458" t="s">
        <v>131</v>
      </c>
      <c r="B1036" s="452">
        <v>908</v>
      </c>
      <c r="C1036" s="454" t="s">
        <v>234</v>
      </c>
      <c r="D1036" s="454" t="s">
        <v>234</v>
      </c>
      <c r="E1036" s="454" t="s">
        <v>1026</v>
      </c>
      <c r="F1036" s="454" t="s">
        <v>132</v>
      </c>
      <c r="G1036" s="459">
        <f t="shared" si="90"/>
        <v>0</v>
      </c>
      <c r="H1036" s="459">
        <f t="shared" si="90"/>
        <v>0</v>
      </c>
      <c r="I1036" s="201"/>
    </row>
    <row r="1037" spans="1:9" ht="31.5" hidden="1" x14ac:dyDescent="0.25">
      <c r="A1037" s="458" t="s">
        <v>133</v>
      </c>
      <c r="B1037" s="452">
        <v>908</v>
      </c>
      <c r="C1037" s="454" t="s">
        <v>234</v>
      </c>
      <c r="D1037" s="454" t="s">
        <v>234</v>
      </c>
      <c r="E1037" s="454" t="s">
        <v>1026</v>
      </c>
      <c r="F1037" s="454" t="s">
        <v>134</v>
      </c>
      <c r="G1037" s="459">
        <v>0</v>
      </c>
      <c r="H1037" s="459">
        <v>0</v>
      </c>
      <c r="I1037" s="201"/>
    </row>
    <row r="1038" spans="1:9" ht="15.75" x14ac:dyDescent="0.25">
      <c r="A1038" s="456" t="s">
        <v>243</v>
      </c>
      <c r="B1038" s="453">
        <v>908</v>
      </c>
      <c r="C1038" s="457" t="s">
        <v>244</v>
      </c>
      <c r="D1038" s="457"/>
      <c r="E1038" s="457"/>
      <c r="F1038" s="457"/>
      <c r="G1038" s="455">
        <f t="shared" ref="G1038:H1042" si="91">G1039</f>
        <v>87</v>
      </c>
      <c r="H1038" s="455">
        <f t="shared" si="91"/>
        <v>87</v>
      </c>
      <c r="I1038" s="201"/>
    </row>
    <row r="1039" spans="1:9" ht="15.75" x14ac:dyDescent="0.25">
      <c r="A1039" s="456" t="s">
        <v>258</v>
      </c>
      <c r="B1039" s="453">
        <v>908</v>
      </c>
      <c r="C1039" s="457" t="s">
        <v>244</v>
      </c>
      <c r="D1039" s="457" t="s">
        <v>120</v>
      </c>
      <c r="E1039" s="457"/>
      <c r="F1039" s="457"/>
      <c r="G1039" s="455">
        <f t="shared" si="91"/>
        <v>87</v>
      </c>
      <c r="H1039" s="455">
        <f t="shared" si="91"/>
        <v>87</v>
      </c>
      <c r="I1039" s="201"/>
    </row>
    <row r="1040" spans="1:9" ht="15.75" x14ac:dyDescent="0.25">
      <c r="A1040" s="456" t="s">
        <v>141</v>
      </c>
      <c r="B1040" s="453">
        <v>908</v>
      </c>
      <c r="C1040" s="457" t="s">
        <v>244</v>
      </c>
      <c r="D1040" s="457" t="s">
        <v>120</v>
      </c>
      <c r="E1040" s="457" t="s">
        <v>866</v>
      </c>
      <c r="F1040" s="457"/>
      <c r="G1040" s="455">
        <f t="shared" si="91"/>
        <v>87</v>
      </c>
      <c r="H1040" s="455">
        <f t="shared" si="91"/>
        <v>87</v>
      </c>
      <c r="I1040" s="201"/>
    </row>
    <row r="1041" spans="1:9" ht="15.75" x14ac:dyDescent="0.25">
      <c r="A1041" s="456" t="s">
        <v>141</v>
      </c>
      <c r="B1041" s="453">
        <v>908</v>
      </c>
      <c r="C1041" s="457" t="s">
        <v>244</v>
      </c>
      <c r="D1041" s="457" t="s">
        <v>120</v>
      </c>
      <c r="E1041" s="457" t="s">
        <v>865</v>
      </c>
      <c r="F1041" s="457"/>
      <c r="G1041" s="455">
        <f t="shared" si="91"/>
        <v>87</v>
      </c>
      <c r="H1041" s="455">
        <f t="shared" si="91"/>
        <v>87</v>
      </c>
      <c r="I1041" s="201"/>
    </row>
    <row r="1042" spans="1:9" ht="31.5" x14ac:dyDescent="0.25">
      <c r="A1042" s="456" t="s">
        <v>870</v>
      </c>
      <c r="B1042" s="453">
        <v>908</v>
      </c>
      <c r="C1042" s="457" t="s">
        <v>244</v>
      </c>
      <c r="D1042" s="457" t="s">
        <v>120</v>
      </c>
      <c r="E1042" s="457" t="s">
        <v>865</v>
      </c>
      <c r="F1042" s="457"/>
      <c r="G1042" s="455">
        <f t="shared" si="91"/>
        <v>87</v>
      </c>
      <c r="H1042" s="455">
        <f t="shared" si="91"/>
        <v>87</v>
      </c>
      <c r="I1042" s="201"/>
    </row>
    <row r="1043" spans="1:9" ht="15.75" x14ac:dyDescent="0.25">
      <c r="A1043" s="458" t="s">
        <v>572</v>
      </c>
      <c r="B1043" s="452">
        <v>908</v>
      </c>
      <c r="C1043" s="454" t="s">
        <v>244</v>
      </c>
      <c r="D1043" s="454" t="s">
        <v>120</v>
      </c>
      <c r="E1043" s="454" t="s">
        <v>985</v>
      </c>
      <c r="F1043" s="454"/>
      <c r="G1043" s="459">
        <f>G1044</f>
        <v>87</v>
      </c>
      <c r="H1043" s="459">
        <f>H1044</f>
        <v>87</v>
      </c>
      <c r="I1043" s="201"/>
    </row>
    <row r="1044" spans="1:9" ht="31.5" x14ac:dyDescent="0.25">
      <c r="A1044" s="458" t="s">
        <v>131</v>
      </c>
      <c r="B1044" s="452">
        <v>908</v>
      </c>
      <c r="C1044" s="454" t="s">
        <v>244</v>
      </c>
      <c r="D1044" s="454" t="s">
        <v>120</v>
      </c>
      <c r="E1044" s="454" t="s">
        <v>985</v>
      </c>
      <c r="F1044" s="454" t="s">
        <v>132</v>
      </c>
      <c r="G1044" s="459">
        <f>G1045</f>
        <v>87</v>
      </c>
      <c r="H1044" s="459">
        <f>H1045</f>
        <v>87</v>
      </c>
      <c r="I1044" s="201"/>
    </row>
    <row r="1045" spans="1:9" ht="31.5" x14ac:dyDescent="0.25">
      <c r="A1045" s="458" t="s">
        <v>133</v>
      </c>
      <c r="B1045" s="452">
        <v>908</v>
      </c>
      <c r="C1045" s="454" t="s">
        <v>244</v>
      </c>
      <c r="D1045" s="454" t="s">
        <v>120</v>
      </c>
      <c r="E1045" s="454" t="s">
        <v>985</v>
      </c>
      <c r="F1045" s="454" t="s">
        <v>134</v>
      </c>
      <c r="G1045" s="459">
        <f>87</f>
        <v>87</v>
      </c>
      <c r="H1045" s="459">
        <f t="shared" ref="H1045:H1093" si="92">G1045</f>
        <v>87</v>
      </c>
      <c r="I1045" s="201"/>
    </row>
    <row r="1046" spans="1:9" ht="31.5" x14ac:dyDescent="0.25">
      <c r="A1046" s="453" t="s">
        <v>1374</v>
      </c>
      <c r="B1046" s="453">
        <v>910</v>
      </c>
      <c r="C1046" s="47"/>
      <c r="D1046" s="47"/>
      <c r="E1046" s="47"/>
      <c r="F1046" s="47"/>
      <c r="G1046" s="455">
        <f>G1047</f>
        <v>7286.5</v>
      </c>
      <c r="H1046" s="455">
        <f>H1047</f>
        <v>7286.5</v>
      </c>
      <c r="I1046" s="201"/>
    </row>
    <row r="1047" spans="1:9" ht="15.75" x14ac:dyDescent="0.25">
      <c r="A1047" s="456" t="s">
        <v>117</v>
      </c>
      <c r="B1047" s="453">
        <v>910</v>
      </c>
      <c r="C1047" s="457" t="s">
        <v>118</v>
      </c>
      <c r="D1047" s="457"/>
      <c r="E1047" s="457"/>
      <c r="F1047" s="457"/>
      <c r="G1047" s="455">
        <f>G1048+G1067+G1083</f>
        <v>7286.5</v>
      </c>
      <c r="H1047" s="455">
        <f>H1048+H1067+H1083</f>
        <v>7286.5</v>
      </c>
      <c r="I1047" s="201"/>
    </row>
    <row r="1048" spans="1:9" ht="47.25" hidden="1" x14ac:dyDescent="0.25">
      <c r="A1048" s="456" t="s">
        <v>575</v>
      </c>
      <c r="B1048" s="453">
        <v>910</v>
      </c>
      <c r="C1048" s="457" t="s">
        <v>118</v>
      </c>
      <c r="D1048" s="457" t="s">
        <v>213</v>
      </c>
      <c r="E1048" s="457"/>
      <c r="F1048" s="457"/>
      <c r="G1048" s="455">
        <f>G1049+G1059</f>
        <v>0</v>
      </c>
      <c r="H1048" s="455">
        <f>H1049+H1059</f>
        <v>0</v>
      </c>
      <c r="I1048" s="201"/>
    </row>
    <row r="1049" spans="1:9" ht="31.5" hidden="1" x14ac:dyDescent="0.25">
      <c r="A1049" s="456" t="s">
        <v>917</v>
      </c>
      <c r="B1049" s="453">
        <v>910</v>
      </c>
      <c r="C1049" s="457" t="s">
        <v>118</v>
      </c>
      <c r="D1049" s="457" t="s">
        <v>213</v>
      </c>
      <c r="E1049" s="457" t="s">
        <v>858</v>
      </c>
      <c r="F1049" s="457"/>
      <c r="G1049" s="455">
        <f>G1050</f>
        <v>0</v>
      </c>
      <c r="H1049" s="455">
        <f>H1050</f>
        <v>0</v>
      </c>
      <c r="I1049" s="201"/>
    </row>
    <row r="1050" spans="1:9" ht="31.5" hidden="1" x14ac:dyDescent="0.25">
      <c r="A1050" s="456" t="s">
        <v>986</v>
      </c>
      <c r="B1050" s="453">
        <v>910</v>
      </c>
      <c r="C1050" s="457" t="s">
        <v>118</v>
      </c>
      <c r="D1050" s="457" t="s">
        <v>213</v>
      </c>
      <c r="E1050" s="457" t="s">
        <v>987</v>
      </c>
      <c r="F1050" s="457"/>
      <c r="G1050" s="455">
        <f>G1051+G1056</f>
        <v>0</v>
      </c>
      <c r="H1050" s="455">
        <f>H1051+H1056</f>
        <v>0</v>
      </c>
      <c r="I1050" s="201"/>
    </row>
    <row r="1051" spans="1:9" ht="31.5" hidden="1" x14ac:dyDescent="0.25">
      <c r="A1051" s="458" t="s">
        <v>576</v>
      </c>
      <c r="B1051" s="452">
        <v>910</v>
      </c>
      <c r="C1051" s="454" t="s">
        <v>118</v>
      </c>
      <c r="D1051" s="454" t="s">
        <v>213</v>
      </c>
      <c r="E1051" s="454" t="s">
        <v>988</v>
      </c>
      <c r="F1051" s="454"/>
      <c r="G1051" s="459">
        <f>G1052+G1054</f>
        <v>0</v>
      </c>
      <c r="H1051" s="459">
        <f>H1052+H1054</f>
        <v>0</v>
      </c>
      <c r="I1051" s="201"/>
    </row>
    <row r="1052" spans="1:9" ht="78.75" hidden="1" x14ac:dyDescent="0.25">
      <c r="A1052" s="458" t="s">
        <v>127</v>
      </c>
      <c r="B1052" s="452">
        <v>910</v>
      </c>
      <c r="C1052" s="454" t="s">
        <v>118</v>
      </c>
      <c r="D1052" s="454" t="s">
        <v>213</v>
      </c>
      <c r="E1052" s="454" t="s">
        <v>988</v>
      </c>
      <c r="F1052" s="454" t="s">
        <v>128</v>
      </c>
      <c r="G1052" s="459">
        <f>G1053</f>
        <v>0</v>
      </c>
      <c r="H1052" s="459">
        <f>H1053</f>
        <v>0</v>
      </c>
      <c r="I1052" s="201"/>
    </row>
    <row r="1053" spans="1:9" ht="31.5" hidden="1" x14ac:dyDescent="0.25">
      <c r="A1053" s="458" t="s">
        <v>129</v>
      </c>
      <c r="B1053" s="452">
        <v>910</v>
      </c>
      <c r="C1053" s="454" t="s">
        <v>118</v>
      </c>
      <c r="D1053" s="454" t="s">
        <v>213</v>
      </c>
      <c r="E1053" s="454" t="s">
        <v>988</v>
      </c>
      <c r="F1053" s="454" t="s">
        <v>130</v>
      </c>
      <c r="G1053" s="459">
        <v>0</v>
      </c>
      <c r="H1053" s="459">
        <v>0</v>
      </c>
      <c r="I1053" s="201"/>
    </row>
    <row r="1054" spans="1:9" ht="31.5" hidden="1" x14ac:dyDescent="0.25">
      <c r="A1054" s="458" t="s">
        <v>198</v>
      </c>
      <c r="B1054" s="452">
        <v>910</v>
      </c>
      <c r="C1054" s="454" t="s">
        <v>118</v>
      </c>
      <c r="D1054" s="454" t="s">
        <v>213</v>
      </c>
      <c r="E1054" s="454" t="s">
        <v>988</v>
      </c>
      <c r="F1054" s="454" t="s">
        <v>132</v>
      </c>
      <c r="G1054" s="459">
        <f>G1055</f>
        <v>0</v>
      </c>
      <c r="H1054" s="459">
        <f>H1055</f>
        <v>0</v>
      </c>
      <c r="I1054" s="201"/>
    </row>
    <row r="1055" spans="1:9" ht="31.5" hidden="1" x14ac:dyDescent="0.25">
      <c r="A1055" s="458" t="s">
        <v>133</v>
      </c>
      <c r="B1055" s="452">
        <v>910</v>
      </c>
      <c r="C1055" s="454" t="s">
        <v>118</v>
      </c>
      <c r="D1055" s="454" t="s">
        <v>213</v>
      </c>
      <c r="E1055" s="454" t="s">
        <v>988</v>
      </c>
      <c r="F1055" s="454" t="s">
        <v>134</v>
      </c>
      <c r="G1055" s="459">
        <v>0</v>
      </c>
      <c r="H1055" s="459">
        <v>0</v>
      </c>
      <c r="I1055" s="201"/>
    </row>
    <row r="1056" spans="1:9" ht="47.25" hidden="1" x14ac:dyDescent="0.25">
      <c r="A1056" s="458" t="s">
        <v>839</v>
      </c>
      <c r="B1056" s="452">
        <v>910</v>
      </c>
      <c r="C1056" s="454" t="s">
        <v>118</v>
      </c>
      <c r="D1056" s="454" t="s">
        <v>213</v>
      </c>
      <c r="E1056" s="454" t="s">
        <v>989</v>
      </c>
      <c r="F1056" s="454"/>
      <c r="G1056" s="459">
        <f>G1057</f>
        <v>0</v>
      </c>
      <c r="H1056" s="459">
        <f>H1057</f>
        <v>0</v>
      </c>
      <c r="I1056" s="201"/>
    </row>
    <row r="1057" spans="1:9" ht="78.75" hidden="1" x14ac:dyDescent="0.25">
      <c r="A1057" s="458" t="s">
        <v>127</v>
      </c>
      <c r="B1057" s="452">
        <v>910</v>
      </c>
      <c r="C1057" s="454" t="s">
        <v>118</v>
      </c>
      <c r="D1057" s="454" t="s">
        <v>213</v>
      </c>
      <c r="E1057" s="454" t="s">
        <v>989</v>
      </c>
      <c r="F1057" s="454" t="s">
        <v>128</v>
      </c>
      <c r="G1057" s="459">
        <f>G1058</f>
        <v>0</v>
      </c>
      <c r="H1057" s="459">
        <f>H1058</f>
        <v>0</v>
      </c>
      <c r="I1057" s="201"/>
    </row>
    <row r="1058" spans="1:9" ht="31.5" hidden="1" x14ac:dyDescent="0.25">
      <c r="A1058" s="458" t="s">
        <v>129</v>
      </c>
      <c r="B1058" s="452">
        <v>910</v>
      </c>
      <c r="C1058" s="454" t="s">
        <v>118</v>
      </c>
      <c r="D1058" s="454" t="s">
        <v>213</v>
      </c>
      <c r="E1058" s="454" t="s">
        <v>989</v>
      </c>
      <c r="F1058" s="454" t="s">
        <v>130</v>
      </c>
      <c r="G1058" s="459">
        <v>0</v>
      </c>
      <c r="H1058" s="459">
        <v>0</v>
      </c>
      <c r="I1058" s="201"/>
    </row>
    <row r="1059" spans="1:9" ht="47.25" hidden="1" x14ac:dyDescent="0.25">
      <c r="A1059" s="456" t="s">
        <v>1179</v>
      </c>
      <c r="B1059" s="453">
        <v>910</v>
      </c>
      <c r="C1059" s="457" t="s">
        <v>118</v>
      </c>
      <c r="D1059" s="457" t="s">
        <v>213</v>
      </c>
      <c r="E1059" s="457" t="s">
        <v>162</v>
      </c>
      <c r="F1059" s="457"/>
      <c r="G1059" s="455">
        <f>G1060</f>
        <v>0</v>
      </c>
      <c r="H1059" s="455">
        <f>H1060</f>
        <v>0</v>
      </c>
      <c r="I1059" s="201"/>
    </row>
    <row r="1060" spans="1:9" ht="63" hidden="1" x14ac:dyDescent="0.25">
      <c r="A1060" s="215" t="s">
        <v>843</v>
      </c>
      <c r="B1060" s="453">
        <v>910</v>
      </c>
      <c r="C1060" s="457" t="s">
        <v>118</v>
      </c>
      <c r="D1060" s="457" t="s">
        <v>213</v>
      </c>
      <c r="E1060" s="457" t="s">
        <v>850</v>
      </c>
      <c r="F1060" s="457"/>
      <c r="G1060" s="455">
        <f>G1061+G1064</f>
        <v>0</v>
      </c>
      <c r="H1060" s="455">
        <f>H1061+H1064</f>
        <v>0</v>
      </c>
      <c r="I1060" s="201"/>
    </row>
    <row r="1061" spans="1:9" ht="47.25" hidden="1" x14ac:dyDescent="0.25">
      <c r="A1061" s="31" t="s">
        <v>695</v>
      </c>
      <c r="B1061" s="452">
        <v>910</v>
      </c>
      <c r="C1061" s="454" t="s">
        <v>118</v>
      </c>
      <c r="D1061" s="454" t="s">
        <v>213</v>
      </c>
      <c r="E1061" s="461" t="s">
        <v>993</v>
      </c>
      <c r="F1061" s="454"/>
      <c r="G1061" s="459">
        <f>G1062</f>
        <v>0</v>
      </c>
      <c r="H1061" s="459">
        <f>H1062</f>
        <v>0</v>
      </c>
      <c r="I1061" s="201"/>
    </row>
    <row r="1062" spans="1:9" ht="31.5" hidden="1" x14ac:dyDescent="0.25">
      <c r="A1062" s="458" t="s">
        <v>131</v>
      </c>
      <c r="B1062" s="452">
        <v>910</v>
      </c>
      <c r="C1062" s="454" t="s">
        <v>118</v>
      </c>
      <c r="D1062" s="454" t="s">
        <v>213</v>
      </c>
      <c r="E1062" s="461" t="s">
        <v>993</v>
      </c>
      <c r="F1062" s="454" t="s">
        <v>132</v>
      </c>
      <c r="G1062" s="459">
        <f>G1063</f>
        <v>0</v>
      </c>
      <c r="H1062" s="459">
        <f>H1063</f>
        <v>0</v>
      </c>
      <c r="I1062" s="201"/>
    </row>
    <row r="1063" spans="1:9" ht="31.5" hidden="1" x14ac:dyDescent="0.25">
      <c r="A1063" s="458" t="s">
        <v>133</v>
      </c>
      <c r="B1063" s="452">
        <v>910</v>
      </c>
      <c r="C1063" s="454" t="s">
        <v>118</v>
      </c>
      <c r="D1063" s="454" t="s">
        <v>213</v>
      </c>
      <c r="E1063" s="461" t="s">
        <v>696</v>
      </c>
      <c r="F1063" s="454" t="s">
        <v>134</v>
      </c>
      <c r="G1063" s="459">
        <v>0</v>
      </c>
      <c r="H1063" s="459">
        <v>0</v>
      </c>
      <c r="I1063" s="201"/>
    </row>
    <row r="1064" spans="1:9" ht="47.25" hidden="1" x14ac:dyDescent="0.25">
      <c r="A1064" s="31" t="s">
        <v>695</v>
      </c>
      <c r="B1064" s="452">
        <v>910</v>
      </c>
      <c r="C1064" s="454" t="s">
        <v>118</v>
      </c>
      <c r="D1064" s="454" t="s">
        <v>213</v>
      </c>
      <c r="E1064" s="454" t="s">
        <v>992</v>
      </c>
      <c r="F1064" s="454"/>
      <c r="G1064" s="459">
        <f>G1065</f>
        <v>0</v>
      </c>
      <c r="H1064" s="459">
        <f>H1065</f>
        <v>0</v>
      </c>
      <c r="I1064" s="201"/>
    </row>
    <row r="1065" spans="1:9" ht="31.5" hidden="1" x14ac:dyDescent="0.25">
      <c r="A1065" s="458" t="s">
        <v>131</v>
      </c>
      <c r="B1065" s="452">
        <v>910</v>
      </c>
      <c r="C1065" s="454" t="s">
        <v>118</v>
      </c>
      <c r="D1065" s="454" t="s">
        <v>213</v>
      </c>
      <c r="E1065" s="454" t="s">
        <v>992</v>
      </c>
      <c r="F1065" s="454" t="s">
        <v>132</v>
      </c>
      <c r="G1065" s="459">
        <f>G1066</f>
        <v>0</v>
      </c>
      <c r="H1065" s="459">
        <f>H1066</f>
        <v>0</v>
      </c>
      <c r="I1065" s="201"/>
    </row>
    <row r="1066" spans="1:9" ht="31.5" hidden="1" x14ac:dyDescent="0.25">
      <c r="A1066" s="458" t="s">
        <v>133</v>
      </c>
      <c r="B1066" s="452">
        <v>910</v>
      </c>
      <c r="C1066" s="454" t="s">
        <v>118</v>
      </c>
      <c r="D1066" s="454" t="s">
        <v>213</v>
      </c>
      <c r="E1066" s="454" t="s">
        <v>992</v>
      </c>
      <c r="F1066" s="454" t="s">
        <v>134</v>
      </c>
      <c r="G1066" s="459">
        <v>0</v>
      </c>
      <c r="H1066" s="459">
        <v>0</v>
      </c>
      <c r="I1066" s="201"/>
    </row>
    <row r="1067" spans="1:9" ht="63" x14ac:dyDescent="0.25">
      <c r="A1067" s="456" t="s">
        <v>578</v>
      </c>
      <c r="B1067" s="453">
        <v>910</v>
      </c>
      <c r="C1067" s="457" t="s">
        <v>118</v>
      </c>
      <c r="D1067" s="457" t="s">
        <v>215</v>
      </c>
      <c r="E1067" s="457"/>
      <c r="F1067" s="457"/>
      <c r="G1067" s="455">
        <f>G1068</f>
        <v>5488</v>
      </c>
      <c r="H1067" s="455">
        <f>H1068</f>
        <v>5488</v>
      </c>
      <c r="I1067" s="201"/>
    </row>
    <row r="1068" spans="1:9" ht="31.5" x14ac:dyDescent="0.25">
      <c r="A1068" s="456" t="s">
        <v>917</v>
      </c>
      <c r="B1068" s="453">
        <v>910</v>
      </c>
      <c r="C1068" s="457" t="s">
        <v>118</v>
      </c>
      <c r="D1068" s="457" t="s">
        <v>215</v>
      </c>
      <c r="E1068" s="457" t="s">
        <v>858</v>
      </c>
      <c r="F1068" s="457"/>
      <c r="G1068" s="455">
        <f>G1069</f>
        <v>5488</v>
      </c>
      <c r="H1068" s="455">
        <f>H1069</f>
        <v>5488</v>
      </c>
      <c r="I1068" s="201"/>
    </row>
    <row r="1069" spans="1:9" ht="31.5" x14ac:dyDescent="0.25">
      <c r="A1069" s="456" t="s">
        <v>986</v>
      </c>
      <c r="B1069" s="453">
        <v>910</v>
      </c>
      <c r="C1069" s="457" t="s">
        <v>118</v>
      </c>
      <c r="D1069" s="457" t="s">
        <v>215</v>
      </c>
      <c r="E1069" s="457" t="s">
        <v>987</v>
      </c>
      <c r="F1069" s="457"/>
      <c r="G1069" s="455">
        <f>G1075+G1080+G1070</f>
        <v>5488</v>
      </c>
      <c r="H1069" s="455">
        <f>H1075+H1080+H1070</f>
        <v>5488</v>
      </c>
      <c r="I1069" s="201"/>
    </row>
    <row r="1070" spans="1:9" ht="47.25" x14ac:dyDescent="0.25">
      <c r="A1070" s="284" t="s">
        <v>1366</v>
      </c>
      <c r="B1070" s="452">
        <v>910</v>
      </c>
      <c r="C1070" s="454" t="s">
        <v>118</v>
      </c>
      <c r="D1070" s="454" t="s">
        <v>215</v>
      </c>
      <c r="E1070" s="454" t="s">
        <v>1404</v>
      </c>
      <c r="F1070" s="457"/>
      <c r="G1070" s="459">
        <f>G1071+G1073</f>
        <v>4247.6000000000004</v>
      </c>
      <c r="H1070" s="459">
        <f>H1071+H1073</f>
        <v>4247.6000000000004</v>
      </c>
      <c r="I1070" s="201"/>
    </row>
    <row r="1071" spans="1:9" ht="78.75" x14ac:dyDescent="0.25">
      <c r="A1071" s="458" t="s">
        <v>127</v>
      </c>
      <c r="B1071" s="452">
        <v>910</v>
      </c>
      <c r="C1071" s="454" t="s">
        <v>118</v>
      </c>
      <c r="D1071" s="454" t="s">
        <v>215</v>
      </c>
      <c r="E1071" s="454" t="s">
        <v>1404</v>
      </c>
      <c r="F1071" s="454" t="s">
        <v>128</v>
      </c>
      <c r="G1071" s="459">
        <f>G1072</f>
        <v>4154.6000000000004</v>
      </c>
      <c r="H1071" s="459">
        <f>H1072</f>
        <v>4154.6000000000004</v>
      </c>
      <c r="I1071" s="201"/>
    </row>
    <row r="1072" spans="1:9" ht="31.5" x14ac:dyDescent="0.25">
      <c r="A1072" s="458" t="s">
        <v>129</v>
      </c>
      <c r="B1072" s="452">
        <v>910</v>
      </c>
      <c r="C1072" s="454" t="s">
        <v>118</v>
      </c>
      <c r="D1072" s="454" t="s">
        <v>215</v>
      </c>
      <c r="E1072" s="454" t="s">
        <v>1404</v>
      </c>
      <c r="F1072" s="454" t="s">
        <v>130</v>
      </c>
      <c r="G1072" s="459">
        <v>4154.6000000000004</v>
      </c>
      <c r="H1072" s="459">
        <f>G1072</f>
        <v>4154.6000000000004</v>
      </c>
      <c r="I1072" s="201"/>
    </row>
    <row r="1073" spans="1:9" ht="31.5" x14ac:dyDescent="0.25">
      <c r="A1073" s="458" t="s">
        <v>198</v>
      </c>
      <c r="B1073" s="452">
        <v>910</v>
      </c>
      <c r="C1073" s="454" t="s">
        <v>118</v>
      </c>
      <c r="D1073" s="454" t="s">
        <v>215</v>
      </c>
      <c r="E1073" s="454" t="s">
        <v>1404</v>
      </c>
      <c r="F1073" s="454" t="s">
        <v>132</v>
      </c>
      <c r="G1073" s="459">
        <f>G1074</f>
        <v>93</v>
      </c>
      <c r="H1073" s="459">
        <f>H1074</f>
        <v>93</v>
      </c>
      <c r="I1073" s="201"/>
    </row>
    <row r="1074" spans="1:9" ht="31.5" x14ac:dyDescent="0.25">
      <c r="A1074" s="458" t="s">
        <v>133</v>
      </c>
      <c r="B1074" s="452">
        <v>910</v>
      </c>
      <c r="C1074" s="454" t="s">
        <v>118</v>
      </c>
      <c r="D1074" s="454" t="s">
        <v>215</v>
      </c>
      <c r="E1074" s="454" t="s">
        <v>1404</v>
      </c>
      <c r="F1074" s="454" t="s">
        <v>134</v>
      </c>
      <c r="G1074" s="459">
        <v>93</v>
      </c>
      <c r="H1074" s="459">
        <f>G1074</f>
        <v>93</v>
      </c>
      <c r="I1074" s="201"/>
    </row>
    <row r="1075" spans="1:9" ht="31.5" x14ac:dyDescent="0.25">
      <c r="A1075" s="458" t="s">
        <v>990</v>
      </c>
      <c r="B1075" s="452">
        <v>910</v>
      </c>
      <c r="C1075" s="454" t="s">
        <v>118</v>
      </c>
      <c r="D1075" s="454" t="s">
        <v>215</v>
      </c>
      <c r="E1075" s="454" t="s">
        <v>991</v>
      </c>
      <c r="F1075" s="454"/>
      <c r="G1075" s="459">
        <f>G1076+G1078</f>
        <v>1240.4000000000001</v>
      </c>
      <c r="H1075" s="459">
        <f>H1076+H1078</f>
        <v>1240.4000000000001</v>
      </c>
      <c r="I1075" s="201"/>
    </row>
    <row r="1076" spans="1:9" ht="78.75" x14ac:dyDescent="0.25">
      <c r="A1076" s="458" t="s">
        <v>127</v>
      </c>
      <c r="B1076" s="452">
        <v>910</v>
      </c>
      <c r="C1076" s="454" t="s">
        <v>118</v>
      </c>
      <c r="D1076" s="454" t="s">
        <v>215</v>
      </c>
      <c r="E1076" s="454" t="s">
        <v>991</v>
      </c>
      <c r="F1076" s="454" t="s">
        <v>128</v>
      </c>
      <c r="G1076" s="459">
        <f>G1077</f>
        <v>1240.4000000000001</v>
      </c>
      <c r="H1076" s="459">
        <f>H1077</f>
        <v>1240.4000000000001</v>
      </c>
      <c r="I1076" s="201"/>
    </row>
    <row r="1077" spans="1:9" ht="31.5" x14ac:dyDescent="0.25">
      <c r="A1077" s="458" t="s">
        <v>129</v>
      </c>
      <c r="B1077" s="452">
        <v>910</v>
      </c>
      <c r="C1077" s="454" t="s">
        <v>118</v>
      </c>
      <c r="D1077" s="454" t="s">
        <v>215</v>
      </c>
      <c r="E1077" s="454" t="s">
        <v>991</v>
      </c>
      <c r="F1077" s="454" t="s">
        <v>130</v>
      </c>
      <c r="G1077" s="459">
        <v>1240.4000000000001</v>
      </c>
      <c r="H1077" s="459">
        <f t="shared" si="92"/>
        <v>1240.4000000000001</v>
      </c>
      <c r="I1077" s="201"/>
    </row>
    <row r="1078" spans="1:9" ht="31.5" hidden="1" x14ac:dyDescent="0.25">
      <c r="A1078" s="458" t="s">
        <v>198</v>
      </c>
      <c r="B1078" s="452">
        <v>910</v>
      </c>
      <c r="C1078" s="454" t="s">
        <v>118</v>
      </c>
      <c r="D1078" s="454" t="s">
        <v>215</v>
      </c>
      <c r="E1078" s="454" t="s">
        <v>991</v>
      </c>
      <c r="F1078" s="454" t="s">
        <v>132</v>
      </c>
      <c r="G1078" s="459">
        <f>G1079</f>
        <v>0</v>
      </c>
      <c r="H1078" s="459">
        <f>H1079</f>
        <v>0</v>
      </c>
      <c r="I1078" s="201"/>
    </row>
    <row r="1079" spans="1:9" ht="31.5" hidden="1" x14ac:dyDescent="0.25">
      <c r="A1079" s="458" t="s">
        <v>133</v>
      </c>
      <c r="B1079" s="452">
        <v>910</v>
      </c>
      <c r="C1079" s="454" t="s">
        <v>118</v>
      </c>
      <c r="D1079" s="454" t="s">
        <v>215</v>
      </c>
      <c r="E1079" s="454" t="s">
        <v>991</v>
      </c>
      <c r="F1079" s="454" t="s">
        <v>134</v>
      </c>
      <c r="G1079" s="459">
        <v>0</v>
      </c>
      <c r="H1079" s="459">
        <f t="shared" si="92"/>
        <v>0</v>
      </c>
      <c r="I1079" s="201"/>
    </row>
    <row r="1080" spans="1:9" ht="47.25" hidden="1" x14ac:dyDescent="0.25">
      <c r="A1080" s="458" t="s">
        <v>839</v>
      </c>
      <c r="B1080" s="452">
        <v>910</v>
      </c>
      <c r="C1080" s="454" t="s">
        <v>118</v>
      </c>
      <c r="D1080" s="454" t="s">
        <v>215</v>
      </c>
      <c r="E1080" s="454" t="s">
        <v>989</v>
      </c>
      <c r="F1080" s="454"/>
      <c r="G1080" s="459">
        <f>'[1]Пр.5 ведом.21'!G1051</f>
        <v>0</v>
      </c>
      <c r="H1080" s="459">
        <f t="shared" si="92"/>
        <v>0</v>
      </c>
      <c r="I1080" s="201"/>
    </row>
    <row r="1081" spans="1:9" ht="78.75" hidden="1" x14ac:dyDescent="0.25">
      <c r="A1081" s="458" t="s">
        <v>127</v>
      </c>
      <c r="B1081" s="452">
        <v>910</v>
      </c>
      <c r="C1081" s="454" t="s">
        <v>118</v>
      </c>
      <c r="D1081" s="454" t="s">
        <v>215</v>
      </c>
      <c r="E1081" s="454" t="s">
        <v>989</v>
      </c>
      <c r="F1081" s="454" t="s">
        <v>128</v>
      </c>
      <c r="G1081" s="459">
        <f>'[1]Пр.5 ведом.21'!G1052</f>
        <v>0</v>
      </c>
      <c r="H1081" s="459">
        <f t="shared" si="92"/>
        <v>0</v>
      </c>
      <c r="I1081" s="201"/>
    </row>
    <row r="1082" spans="1:9" ht="31.5" hidden="1" x14ac:dyDescent="0.25">
      <c r="A1082" s="458" t="s">
        <v>129</v>
      </c>
      <c r="B1082" s="452">
        <v>910</v>
      </c>
      <c r="C1082" s="454" t="s">
        <v>118</v>
      </c>
      <c r="D1082" s="454" t="s">
        <v>215</v>
      </c>
      <c r="E1082" s="454" t="s">
        <v>989</v>
      </c>
      <c r="F1082" s="454" t="s">
        <v>130</v>
      </c>
      <c r="G1082" s="459">
        <f>'[1]Пр.5 ведом.21'!G1053</f>
        <v>0</v>
      </c>
      <c r="H1082" s="459">
        <f t="shared" si="92"/>
        <v>0</v>
      </c>
      <c r="I1082" s="201"/>
    </row>
    <row r="1083" spans="1:9" ht="47.25" x14ac:dyDescent="0.25">
      <c r="A1083" s="456" t="s">
        <v>119</v>
      </c>
      <c r="B1083" s="453">
        <v>910</v>
      </c>
      <c r="C1083" s="457" t="s">
        <v>118</v>
      </c>
      <c r="D1083" s="457" t="s">
        <v>120</v>
      </c>
      <c r="E1083" s="457"/>
      <c r="F1083" s="457"/>
      <c r="G1083" s="455">
        <f>G1084</f>
        <v>1798.5</v>
      </c>
      <c r="H1083" s="455">
        <f>H1084</f>
        <v>1798.5</v>
      </c>
      <c r="I1083" s="201"/>
    </row>
    <row r="1084" spans="1:9" ht="31.5" x14ac:dyDescent="0.25">
      <c r="A1084" s="456" t="s">
        <v>917</v>
      </c>
      <c r="B1084" s="453">
        <v>910</v>
      </c>
      <c r="C1084" s="457" t="s">
        <v>118</v>
      </c>
      <c r="D1084" s="457" t="s">
        <v>120</v>
      </c>
      <c r="E1084" s="457" t="s">
        <v>858</v>
      </c>
      <c r="F1084" s="457"/>
      <c r="G1084" s="455">
        <f>G1085</f>
        <v>1798.5</v>
      </c>
      <c r="H1084" s="455">
        <f>H1085</f>
        <v>1798.5</v>
      </c>
      <c r="I1084" s="201"/>
    </row>
    <row r="1085" spans="1:9" ht="31.5" x14ac:dyDescent="0.25">
      <c r="A1085" s="456" t="s">
        <v>986</v>
      </c>
      <c r="B1085" s="453">
        <v>910</v>
      </c>
      <c r="C1085" s="457" t="s">
        <v>118</v>
      </c>
      <c r="D1085" s="457" t="s">
        <v>120</v>
      </c>
      <c r="E1085" s="457" t="s">
        <v>987</v>
      </c>
      <c r="F1085" s="457"/>
      <c r="G1085" s="455">
        <f>G1086+G1091</f>
        <v>1798.5</v>
      </c>
      <c r="H1085" s="455">
        <f>H1086+H1091</f>
        <v>1798.5</v>
      </c>
      <c r="I1085" s="201"/>
    </row>
    <row r="1086" spans="1:9" ht="31.5" x14ac:dyDescent="0.25">
      <c r="A1086" s="458" t="s">
        <v>897</v>
      </c>
      <c r="B1086" s="452">
        <v>910</v>
      </c>
      <c r="C1086" s="454" t="s">
        <v>118</v>
      </c>
      <c r="D1086" s="454" t="s">
        <v>120</v>
      </c>
      <c r="E1086" s="454" t="s">
        <v>991</v>
      </c>
      <c r="F1086" s="454"/>
      <c r="G1086" s="459">
        <f>G1087+G1089</f>
        <v>1752.5</v>
      </c>
      <c r="H1086" s="459">
        <f>H1087+H1089</f>
        <v>1752.5</v>
      </c>
      <c r="I1086" s="201"/>
    </row>
    <row r="1087" spans="1:9" ht="78.75" x14ac:dyDescent="0.25">
      <c r="A1087" s="458" t="s">
        <v>127</v>
      </c>
      <c r="B1087" s="452">
        <v>910</v>
      </c>
      <c r="C1087" s="454" t="s">
        <v>118</v>
      </c>
      <c r="D1087" s="454" t="s">
        <v>120</v>
      </c>
      <c r="E1087" s="454" t="s">
        <v>991</v>
      </c>
      <c r="F1087" s="454" t="s">
        <v>128</v>
      </c>
      <c r="G1087" s="459">
        <f>G1088</f>
        <v>1734.5</v>
      </c>
      <c r="H1087" s="459">
        <f>H1088</f>
        <v>1734.5</v>
      </c>
      <c r="I1087" s="201"/>
    </row>
    <row r="1088" spans="1:9" ht="31.5" x14ac:dyDescent="0.25">
      <c r="A1088" s="458" t="s">
        <v>129</v>
      </c>
      <c r="B1088" s="452">
        <v>910</v>
      </c>
      <c r="C1088" s="454" t="s">
        <v>118</v>
      </c>
      <c r="D1088" s="454" t="s">
        <v>120</v>
      </c>
      <c r="E1088" s="454" t="s">
        <v>991</v>
      </c>
      <c r="F1088" s="454" t="s">
        <v>130</v>
      </c>
      <c r="G1088" s="459">
        <v>1734.5</v>
      </c>
      <c r="H1088" s="459">
        <f t="shared" si="92"/>
        <v>1734.5</v>
      </c>
      <c r="I1088" s="201"/>
    </row>
    <row r="1089" spans="1:41" ht="31.5" x14ac:dyDescent="0.25">
      <c r="A1089" s="458" t="s">
        <v>198</v>
      </c>
      <c r="B1089" s="452">
        <v>910</v>
      </c>
      <c r="C1089" s="454" t="s">
        <v>118</v>
      </c>
      <c r="D1089" s="454" t="s">
        <v>120</v>
      </c>
      <c r="E1089" s="454" t="s">
        <v>991</v>
      </c>
      <c r="F1089" s="454" t="s">
        <v>132</v>
      </c>
      <c r="G1089" s="459">
        <f>G1090</f>
        <v>18</v>
      </c>
      <c r="H1089" s="459">
        <f>H1090</f>
        <v>18</v>
      </c>
      <c r="I1089" s="201"/>
    </row>
    <row r="1090" spans="1:41" ht="34.700000000000003" customHeight="1" x14ac:dyDescent="0.25">
      <c r="A1090" s="458" t="s">
        <v>133</v>
      </c>
      <c r="B1090" s="452">
        <v>910</v>
      </c>
      <c r="C1090" s="454" t="s">
        <v>118</v>
      </c>
      <c r="D1090" s="454" t="s">
        <v>120</v>
      </c>
      <c r="E1090" s="454" t="s">
        <v>991</v>
      </c>
      <c r="F1090" s="454" t="s">
        <v>134</v>
      </c>
      <c r="G1090" s="459">
        <f>18</f>
        <v>18</v>
      </c>
      <c r="H1090" s="459">
        <f t="shared" si="92"/>
        <v>18</v>
      </c>
      <c r="I1090" s="201"/>
    </row>
    <row r="1091" spans="1:41" ht="47.25" x14ac:dyDescent="0.25">
      <c r="A1091" s="458" t="s">
        <v>839</v>
      </c>
      <c r="B1091" s="452">
        <v>910</v>
      </c>
      <c r="C1091" s="454" t="s">
        <v>118</v>
      </c>
      <c r="D1091" s="454" t="s">
        <v>120</v>
      </c>
      <c r="E1091" s="454" t="s">
        <v>989</v>
      </c>
      <c r="F1091" s="454"/>
      <c r="G1091" s="459">
        <f>G1092</f>
        <v>46</v>
      </c>
      <c r="H1091" s="459">
        <f>H1092</f>
        <v>46</v>
      </c>
      <c r="I1091" s="201"/>
    </row>
    <row r="1092" spans="1:41" ht="78.75" x14ac:dyDescent="0.25">
      <c r="A1092" s="458" t="s">
        <v>127</v>
      </c>
      <c r="B1092" s="452">
        <v>910</v>
      </c>
      <c r="C1092" s="454" t="s">
        <v>118</v>
      </c>
      <c r="D1092" s="454" t="s">
        <v>120</v>
      </c>
      <c r="E1092" s="454" t="s">
        <v>989</v>
      </c>
      <c r="F1092" s="454" t="s">
        <v>128</v>
      </c>
      <c r="G1092" s="459">
        <f>G1093</f>
        <v>46</v>
      </c>
      <c r="H1092" s="459">
        <f>H1093</f>
        <v>46</v>
      </c>
      <c r="I1092" s="201"/>
    </row>
    <row r="1093" spans="1:41" ht="31.5" x14ac:dyDescent="0.25">
      <c r="A1093" s="458" t="s">
        <v>129</v>
      </c>
      <c r="B1093" s="452">
        <v>910</v>
      </c>
      <c r="C1093" s="454" t="s">
        <v>118</v>
      </c>
      <c r="D1093" s="454" t="s">
        <v>120</v>
      </c>
      <c r="E1093" s="454" t="s">
        <v>989</v>
      </c>
      <c r="F1093" s="454" t="s">
        <v>130</v>
      </c>
      <c r="G1093" s="459">
        <v>46</v>
      </c>
      <c r="H1093" s="459">
        <f t="shared" si="92"/>
        <v>46</v>
      </c>
      <c r="I1093" s="201"/>
    </row>
    <row r="1094" spans="1:41" ht="15.75" x14ac:dyDescent="0.25">
      <c r="A1094" s="48" t="s">
        <v>587</v>
      </c>
      <c r="B1094" s="48"/>
      <c r="C1094" s="457"/>
      <c r="D1094" s="457"/>
      <c r="E1094" s="457"/>
      <c r="F1094" s="457"/>
      <c r="G1094" s="368">
        <f>G1046+G831+G756+G537+G488+G242+G31+G10+G9</f>
        <v>736280.59999999986</v>
      </c>
      <c r="H1094" s="368">
        <f>H1046+H831+H756+H537+H488+H242+H31+H10+H9</f>
        <v>777267.39999999991</v>
      </c>
      <c r="I1094" s="201"/>
      <c r="N1094" s="574" t="s">
        <v>1553</v>
      </c>
      <c r="O1094" s="574"/>
      <c r="P1094" s="574"/>
      <c r="Q1094" s="574"/>
      <c r="R1094" s="574"/>
      <c r="S1094" s="574"/>
      <c r="T1094" s="574"/>
      <c r="U1094" s="574"/>
      <c r="V1094" s="574"/>
      <c r="W1094" s="574"/>
      <c r="X1094" s="574" t="s">
        <v>1554</v>
      </c>
      <c r="Y1094" s="574"/>
      <c r="Z1094" s="574"/>
      <c r="AA1094" s="574"/>
      <c r="AB1094" s="574"/>
      <c r="AC1094" s="574"/>
      <c r="AD1094" s="574"/>
      <c r="AE1094" s="574"/>
      <c r="AF1094" s="574"/>
      <c r="AG1094" s="574"/>
      <c r="AH1094" s="396"/>
      <c r="AI1094" s="396"/>
      <c r="AJ1094" s="396"/>
    </row>
    <row r="1095" spans="1:41" ht="48" x14ac:dyDescent="0.25">
      <c r="A1095" s="50"/>
      <c r="B1095" s="50"/>
      <c r="C1095" s="50"/>
      <c r="D1095" s="50"/>
      <c r="E1095" s="334">
        <f>G1096-G1095</f>
        <v>-5.3905410459265113E-4</v>
      </c>
      <c r="F1095" s="50"/>
      <c r="G1095" s="373">
        <f>'Пр.1.1. дох.22-23 (2)'!C157</f>
        <v>499147.7</v>
      </c>
      <c r="H1095" s="373">
        <f>'Пр.1.1. дох.22-23 (2)'!D157</f>
        <v>509037.5</v>
      </c>
      <c r="L1095" s="225">
        <f>H1096-H1095</f>
        <v>-1.0891090496443212E-3</v>
      </c>
      <c r="M1095" s="201"/>
      <c r="N1095" s="306" t="s">
        <v>1281</v>
      </c>
      <c r="O1095" s="306" t="s">
        <v>1282</v>
      </c>
      <c r="P1095" s="306" t="s">
        <v>1283</v>
      </c>
      <c r="Q1095" s="306" t="s">
        <v>1284</v>
      </c>
      <c r="R1095" s="306" t="s">
        <v>1335</v>
      </c>
      <c r="S1095" s="306" t="s">
        <v>1413</v>
      </c>
      <c r="T1095" s="306" t="s">
        <v>1482</v>
      </c>
      <c r="U1095" s="306" t="s">
        <v>1483</v>
      </c>
      <c r="V1095" s="306" t="s">
        <v>1484</v>
      </c>
      <c r="W1095" s="306" t="s">
        <v>1488</v>
      </c>
      <c r="X1095" s="394" t="s">
        <v>1281</v>
      </c>
      <c r="Y1095" s="394" t="s">
        <v>1282</v>
      </c>
      <c r="Z1095" s="394" t="s">
        <v>1283</v>
      </c>
      <c r="AA1095" s="394" t="s">
        <v>1284</v>
      </c>
      <c r="AB1095" s="394" t="s">
        <v>1335</v>
      </c>
      <c r="AC1095" s="394" t="s">
        <v>1413</v>
      </c>
      <c r="AD1095" s="394" t="s">
        <v>1482</v>
      </c>
      <c r="AE1095" s="394" t="s">
        <v>1483</v>
      </c>
      <c r="AF1095" s="394" t="s">
        <v>1484</v>
      </c>
      <c r="AG1095" s="394" t="s">
        <v>1488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69">
        <f>G1094-G1097</f>
        <v>499147.69946094591</v>
      </c>
      <c r="H1096" s="369">
        <f>H1094-H1097</f>
        <v>509037.49891089095</v>
      </c>
      <c r="L1096" s="201"/>
      <c r="M1096" s="303" t="s">
        <v>588</v>
      </c>
      <c r="N1096" s="305">
        <v>500</v>
      </c>
      <c r="O1096" s="305">
        <v>0</v>
      </c>
      <c r="P1096" s="305">
        <f>300</f>
        <v>300</v>
      </c>
      <c r="Q1096" s="324">
        <f>Q1097*100/90.9-Q1097</f>
        <v>26.809460946094589</v>
      </c>
      <c r="R1096" s="305">
        <v>0</v>
      </c>
      <c r="S1096" s="305">
        <v>222.05</v>
      </c>
      <c r="T1096" s="305"/>
      <c r="U1096" s="397"/>
      <c r="V1096" s="397">
        <v>0</v>
      </c>
      <c r="W1096" s="324">
        <v>71.75</v>
      </c>
      <c r="X1096" s="395">
        <v>500</v>
      </c>
      <c r="Y1096" s="395">
        <v>0</v>
      </c>
      <c r="Z1096" s="395">
        <v>1500</v>
      </c>
      <c r="AA1096" s="398">
        <f>AA1097*100/90.9-AA1097</f>
        <v>26.308910891089056</v>
      </c>
      <c r="AB1096" s="395">
        <v>0</v>
      </c>
      <c r="AC1096" s="398">
        <v>210.85</v>
      </c>
      <c r="AD1096" s="395"/>
      <c r="AE1096" s="399"/>
      <c r="AF1096" s="399"/>
      <c r="AG1096" s="398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69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237132.90053905392</v>
      </c>
      <c r="H1097" s="369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268229.90108910896</v>
      </c>
      <c r="I1097" s="204">
        <v>267446.40000000002</v>
      </c>
      <c r="J1097" s="449">
        <v>260319.2</v>
      </c>
      <c r="L1097" s="201"/>
      <c r="M1097" s="304" t="s">
        <v>1487</v>
      </c>
      <c r="N1097" s="305">
        <v>0</v>
      </c>
      <c r="O1097" s="305">
        <v>0</v>
      </c>
      <c r="P1097" s="305">
        <v>0</v>
      </c>
      <c r="Q1097" s="305">
        <f>238.3+29.5</f>
        <v>267.8</v>
      </c>
      <c r="R1097" s="305">
        <v>0</v>
      </c>
      <c r="S1097" s="305">
        <f>4622.3+571.3</f>
        <v>5193.6000000000004</v>
      </c>
      <c r="T1097" s="397"/>
      <c r="U1097" s="397"/>
      <c r="V1097" s="397">
        <v>0</v>
      </c>
      <c r="W1097" s="305">
        <f>1644.1+33.6</f>
        <v>1677.6999999999998</v>
      </c>
      <c r="X1097" s="395">
        <v>0</v>
      </c>
      <c r="Y1097" s="395">
        <v>0</v>
      </c>
      <c r="Z1097" s="395">
        <v>0</v>
      </c>
      <c r="AA1097" s="395">
        <f>233.9+28.9</f>
        <v>262.8</v>
      </c>
      <c r="AB1097" s="395">
        <v>0</v>
      </c>
      <c r="AC1097" s="395">
        <f>4389.1+542.5</f>
        <v>4931.6000000000004</v>
      </c>
      <c r="AD1097" s="399">
        <f>[1]пр.1дох.21!M64</f>
        <v>0</v>
      </c>
      <c r="AE1097" s="399"/>
      <c r="AF1097" s="399"/>
      <c r="AG1097" s="395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74">
        <f>'Пр.1.1. дох.22-23 (2)'!C156</f>
        <v>237132.89999999997</v>
      </c>
      <c r="H1098" s="374">
        <f>'Пр.1.1. дох.22-23 (2)'!D156</f>
        <v>268229.89999999991</v>
      </c>
      <c r="I1098" s="227">
        <f>I1097-G1097</f>
        <v>30313.499460946099</v>
      </c>
      <c r="J1098" s="227">
        <f>J1097-H1097</f>
        <v>-7910.7010891089449</v>
      </c>
      <c r="L1098" s="225"/>
      <c r="M1098" s="225"/>
      <c r="N1098" s="400" t="s">
        <v>1286</v>
      </c>
      <c r="O1098" s="400" t="s">
        <v>1287</v>
      </c>
      <c r="P1098" s="400" t="s">
        <v>1288</v>
      </c>
      <c r="Q1098" s="400" t="s">
        <v>1289</v>
      </c>
      <c r="R1098" s="400" t="s">
        <v>1288</v>
      </c>
      <c r="S1098" s="400" t="s">
        <v>1412</v>
      </c>
      <c r="T1098" s="400" t="s">
        <v>1412</v>
      </c>
      <c r="U1098" s="323" t="s">
        <v>1412</v>
      </c>
      <c r="V1098" s="400" t="s">
        <v>1485</v>
      </c>
      <c r="W1098" s="400" t="s">
        <v>1412</v>
      </c>
      <c r="X1098" s="400" t="s">
        <v>1286</v>
      </c>
      <c r="Y1098" s="400" t="s">
        <v>1287</v>
      </c>
      <c r="Z1098" s="400" t="s">
        <v>1288</v>
      </c>
      <c r="AA1098" s="400" t="s">
        <v>1289</v>
      </c>
      <c r="AB1098" s="400" t="s">
        <v>1288</v>
      </c>
      <c r="AC1098" s="400" t="s">
        <v>1412</v>
      </c>
      <c r="AD1098" s="400" t="s">
        <v>1412</v>
      </c>
      <c r="AE1098" s="323" t="s">
        <v>1412</v>
      </c>
      <c r="AF1098" s="400" t="s">
        <v>1485</v>
      </c>
      <c r="AG1098" s="400" t="s">
        <v>1412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74">
        <f>G1097-G1098</f>
        <v>5.3905395907349885E-4</v>
      </c>
      <c r="H1099" s="374">
        <f>H1097-H1098</f>
        <v>1.0891090496443212E-3</v>
      </c>
    </row>
    <row r="1100" spans="1:41" ht="15.75" x14ac:dyDescent="0.25">
      <c r="A1100" s="50"/>
      <c r="B1100" s="50"/>
      <c r="C1100" s="51"/>
      <c r="D1100" s="53"/>
      <c r="E1100" s="53"/>
      <c r="F1100" s="372" t="s">
        <v>674</v>
      </c>
      <c r="G1100" s="374">
        <f>'Пр.1.1. дох.22-23 (2)'!C155-'пр.4.1. рдпр 22-23 (2)'!D51</f>
        <v>-2.5000000605359674E-3</v>
      </c>
      <c r="H1100" s="374">
        <f>'Пр.1.1. дох.22-23 (2)'!D155-'пр.4.1. рдпр 22-23 (2)'!E51</f>
        <v>0</v>
      </c>
    </row>
    <row r="1101" spans="1:4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1"/>
      <c r="N1101" s="567" t="s">
        <v>1555</v>
      </c>
      <c r="O1101" s="568"/>
      <c r="P1101" s="568"/>
      <c r="Q1101" s="568"/>
      <c r="R1101" s="568"/>
      <c r="S1101" s="568"/>
      <c r="T1101" s="568"/>
      <c r="U1101" s="568"/>
      <c r="V1101" s="568"/>
      <c r="W1101" s="568"/>
      <c r="X1101" s="568"/>
      <c r="Y1101" s="568"/>
      <c r="Z1101" s="568"/>
      <c r="AA1101" s="569"/>
      <c r="AB1101" s="575" t="s">
        <v>1556</v>
      </c>
      <c r="AC1101" s="575"/>
      <c r="AD1101" s="575"/>
      <c r="AE1101" s="575"/>
      <c r="AF1101" s="575"/>
      <c r="AG1101" s="575"/>
      <c r="AH1101" s="575"/>
      <c r="AI1101" s="575"/>
      <c r="AJ1101" s="575"/>
      <c r="AK1101" s="575"/>
      <c r="AL1101" s="575"/>
      <c r="AM1101" s="575"/>
      <c r="AN1101" s="575"/>
      <c r="AO1101" s="575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136787.41</v>
      </c>
      <c r="H1102" s="102">
        <f>H10+H32+H243+H489+H538+H832+H1047+H757</f>
        <v>123941.72</v>
      </c>
      <c r="M1102" s="201"/>
      <c r="N1102" s="444" t="s">
        <v>1490</v>
      </c>
      <c r="O1102" s="444" t="s">
        <v>1491</v>
      </c>
      <c r="P1102" s="444" t="s">
        <v>1493</v>
      </c>
      <c r="Q1102" s="444" t="s">
        <v>1494</v>
      </c>
      <c r="R1102" s="444" t="s">
        <v>1495</v>
      </c>
      <c r="S1102" s="444" t="s">
        <v>1496</v>
      </c>
      <c r="T1102" s="444" t="s">
        <v>1499</v>
      </c>
      <c r="U1102" s="444" t="s">
        <v>1501</v>
      </c>
      <c r="V1102" s="444" t="s">
        <v>1505</v>
      </c>
      <c r="W1102" s="444" t="s">
        <v>1506</v>
      </c>
      <c r="X1102" s="444" t="s">
        <v>1512</v>
      </c>
      <c r="Y1102" s="444" t="s">
        <v>1549</v>
      </c>
      <c r="Z1102" s="444" t="s">
        <v>1557</v>
      </c>
      <c r="AA1102" s="444" t="s">
        <v>1558</v>
      </c>
      <c r="AB1102" s="335" t="s">
        <v>1490</v>
      </c>
      <c r="AC1102" s="335" t="s">
        <v>1491</v>
      </c>
      <c r="AD1102" s="335" t="s">
        <v>1493</v>
      </c>
      <c r="AE1102" s="335" t="s">
        <v>1494</v>
      </c>
      <c r="AF1102" s="335" t="s">
        <v>1495</v>
      </c>
      <c r="AG1102" s="335" t="s">
        <v>1496</v>
      </c>
      <c r="AH1102" s="335" t="s">
        <v>1499</v>
      </c>
      <c r="AI1102" s="335" t="s">
        <v>1501</v>
      </c>
      <c r="AJ1102" s="335" t="s">
        <v>1505</v>
      </c>
      <c r="AK1102" s="335" t="s">
        <v>1506</v>
      </c>
      <c r="AL1102" s="335" t="s">
        <v>1512</v>
      </c>
      <c r="AM1102" s="335" t="s">
        <v>1549</v>
      </c>
      <c r="AN1102" s="335" t="s">
        <v>1557</v>
      </c>
      <c r="AO1102" s="335" t="s">
        <v>1558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133416.51</v>
      </c>
      <c r="H1103" s="102">
        <f>H1102-H1104</f>
        <v>120786.32</v>
      </c>
      <c r="M1103" s="301" t="s">
        <v>588</v>
      </c>
      <c r="N1103" s="330">
        <v>3.5</v>
      </c>
      <c r="O1103" s="330">
        <v>3584</v>
      </c>
      <c r="P1103" s="330">
        <v>2200</v>
      </c>
      <c r="Q1103" s="330">
        <v>0</v>
      </c>
      <c r="R1103" s="330">
        <v>868</v>
      </c>
      <c r="S1103" s="330">
        <v>124.4</v>
      </c>
      <c r="T1103" s="330">
        <v>0</v>
      </c>
      <c r="U1103" s="330">
        <v>678</v>
      </c>
      <c r="V1103" s="330">
        <v>19</v>
      </c>
      <c r="W1103" s="330">
        <v>1</v>
      </c>
      <c r="X1103" s="330">
        <v>60</v>
      </c>
      <c r="Y1103" s="330">
        <v>10</v>
      </c>
      <c r="Z1103" s="330">
        <v>150</v>
      </c>
      <c r="AA1103" s="330">
        <v>200</v>
      </c>
      <c r="AB1103" s="336">
        <v>3.5</v>
      </c>
      <c r="AC1103" s="336">
        <v>3584</v>
      </c>
      <c r="AD1103" s="336">
        <v>2200</v>
      </c>
      <c r="AE1103" s="336">
        <v>0</v>
      </c>
      <c r="AF1103" s="336">
        <v>868</v>
      </c>
      <c r="AG1103" s="336">
        <v>124.4</v>
      </c>
      <c r="AH1103" s="336">
        <v>0</v>
      </c>
      <c r="AI1103" s="336">
        <v>678</v>
      </c>
      <c r="AJ1103" s="336">
        <v>19</v>
      </c>
      <c r="AK1103" s="336">
        <v>1</v>
      </c>
      <c r="AL1103" s="336">
        <v>60</v>
      </c>
      <c r="AM1103" s="336">
        <v>10</v>
      </c>
      <c r="AN1103" s="336">
        <v>150</v>
      </c>
      <c r="AO1103" s="336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02" t="s">
        <v>589</v>
      </c>
      <c r="N1104" s="330">
        <v>65.2</v>
      </c>
      <c r="O1104" s="330">
        <v>2161.1</v>
      </c>
      <c r="P1104" s="330">
        <v>1731.8</v>
      </c>
      <c r="Q1104" s="330">
        <v>0</v>
      </c>
      <c r="R1104" s="330">
        <v>516.6</v>
      </c>
      <c r="S1104" s="330">
        <v>173.3</v>
      </c>
      <c r="T1104" s="330">
        <v>1666.6</v>
      </c>
      <c r="U1104" s="330">
        <v>77.8</v>
      </c>
      <c r="V1104" s="330">
        <v>255</v>
      </c>
      <c r="W1104" s="330">
        <v>40</v>
      </c>
      <c r="X1104" s="330">
        <v>200</v>
      </c>
      <c r="Y1104" s="330">
        <v>0</v>
      </c>
      <c r="Z1104" s="330">
        <v>0</v>
      </c>
      <c r="AA1104" s="330">
        <v>0</v>
      </c>
      <c r="AB1104" s="336">
        <v>65.2</v>
      </c>
      <c r="AC1104" s="336">
        <v>2161.1</v>
      </c>
      <c r="AD1104" s="336">
        <v>1665.2</v>
      </c>
      <c r="AE1104" s="336">
        <v>0</v>
      </c>
      <c r="AF1104" s="336">
        <v>516.6</v>
      </c>
      <c r="AG1104" s="336">
        <v>173.3</v>
      </c>
      <c r="AH1104" s="336">
        <v>915</v>
      </c>
      <c r="AI1104" s="336">
        <v>81</v>
      </c>
      <c r="AJ1104" s="336">
        <v>255</v>
      </c>
      <c r="AK1104" s="336">
        <v>40</v>
      </c>
      <c r="AL1104" s="336">
        <v>200</v>
      </c>
      <c r="AM1104" s="336">
        <v>0</v>
      </c>
      <c r="AN1104" s="336">
        <v>0</v>
      </c>
      <c r="AO1104" s="336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5"/>
      <c r="N1105" s="400" t="s">
        <v>1288</v>
      </c>
      <c r="O1105" s="400" t="s">
        <v>1492</v>
      </c>
      <c r="P1105" s="400" t="s">
        <v>1412</v>
      </c>
      <c r="Q1105" s="400" t="s">
        <v>1412</v>
      </c>
      <c r="R1105" s="400" t="s">
        <v>1412</v>
      </c>
      <c r="S1105" s="400" t="s">
        <v>1497</v>
      </c>
      <c r="T1105" s="400" t="s">
        <v>1500</v>
      </c>
      <c r="U1105" s="400" t="s">
        <v>1412</v>
      </c>
      <c r="V1105" s="400" t="s">
        <v>1507</v>
      </c>
      <c r="W1105" s="400" t="s">
        <v>1508</v>
      </c>
      <c r="X1105" s="400" t="s">
        <v>1511</v>
      </c>
      <c r="Y1105" s="400" t="s">
        <v>1289</v>
      </c>
      <c r="Z1105" s="400" t="s">
        <v>1511</v>
      </c>
      <c r="AA1105" s="400" t="s">
        <v>1287</v>
      </c>
      <c r="AB1105" s="501" t="s">
        <v>1288</v>
      </c>
      <c r="AC1105" s="400" t="s">
        <v>1492</v>
      </c>
      <c r="AD1105" s="400" t="s">
        <v>1412</v>
      </c>
      <c r="AE1105" s="501" t="s">
        <v>1412</v>
      </c>
      <c r="AF1105" s="501" t="s">
        <v>1412</v>
      </c>
      <c r="AG1105" s="400" t="s">
        <v>1497</v>
      </c>
      <c r="AH1105" s="501" t="s">
        <v>1497</v>
      </c>
      <c r="AI1105" s="501" t="s">
        <v>1412</v>
      </c>
      <c r="AJ1105" s="501" t="s">
        <v>1507</v>
      </c>
      <c r="AK1105" s="501" t="s">
        <v>1508</v>
      </c>
      <c r="AL1105" s="501" t="s">
        <v>1511</v>
      </c>
      <c r="AM1105" s="400" t="s">
        <v>1289</v>
      </c>
      <c r="AN1105" s="400" t="s">
        <v>1511</v>
      </c>
      <c r="AO1105" s="400" t="s">
        <v>1287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41786.1</v>
      </c>
      <c r="H1110" s="102">
        <f>H874+H521</f>
        <v>49898.450000000004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41786.1</v>
      </c>
      <c r="H1111" s="102">
        <f>H1110-H1112</f>
        <v>49898.450000000004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ht="15.75" x14ac:dyDescent="0.25">
      <c r="A1126" s="50"/>
      <c r="B1126" s="50"/>
      <c r="C1126" s="449"/>
      <c r="D1126" s="449"/>
      <c r="E1126" s="54" t="s">
        <v>1417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70">
        <f>G1102+G1105+G1106+G1107+G1110+G1113+G1116+G1119+G1122+G1125+G1126</f>
        <v>736280.6</v>
      </c>
      <c r="H1127" s="370">
        <f>H1102+H1105+H1106+H1107+H1110+H1113+H1116+H1119+H1122+H1125+H1126</f>
        <v>777267.39999999991</v>
      </c>
    </row>
    <row r="1128" spans="1:13" ht="15.75" x14ac:dyDescent="0.25">
      <c r="A1128" s="50"/>
      <c r="B1128" s="50"/>
      <c r="E1128" s="54" t="s">
        <v>588</v>
      </c>
      <c r="F1128" s="53"/>
      <c r="G1128" s="370">
        <f>G1103+G1105+G1106+G1108+G1111+G1114+G1117+G1120+G1123+G1125+G1126</f>
        <v>499147.69946094614</v>
      </c>
      <c r="H1128" s="370">
        <f>H1103+H1105+H1106+H1108+H1111+H1114+H1117+H1120+H1123+H1125+H1126</f>
        <v>509037.49891089107</v>
      </c>
      <c r="L1128" s="220">
        <f>G1128-G1096</f>
        <v>0</v>
      </c>
      <c r="M1128" s="220">
        <f>H1128-H1096</f>
        <v>0</v>
      </c>
    </row>
    <row r="1129" spans="1:13" ht="15.75" x14ac:dyDescent="0.25">
      <c r="A1129" s="50"/>
      <c r="B1129" s="50"/>
      <c r="E1129" s="54" t="s">
        <v>589</v>
      </c>
      <c r="F1129" s="53"/>
      <c r="G1129" s="370">
        <f>G1127-G1128</f>
        <v>237132.90053905384</v>
      </c>
      <c r="H1129" s="370">
        <f>H1127-H1128</f>
        <v>268229.90108910884</v>
      </c>
    </row>
    <row r="1130" spans="1:13" x14ac:dyDescent="0.25">
      <c r="G1130" s="115">
        <f>G1127-G1094</f>
        <v>0</v>
      </c>
      <c r="H1130" s="115">
        <f>H1127-H1094</f>
        <v>0</v>
      </c>
      <c r="L1130" s="280">
        <f>H1130-G1130</f>
        <v>0</v>
      </c>
    </row>
    <row r="1131" spans="1:13" x14ac:dyDescent="0.25">
      <c r="D1131" s="201" t="s">
        <v>590</v>
      </c>
      <c r="E1131" s="201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1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1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x14ac:dyDescent="0.25">
      <c r="E1134" s="201">
        <v>53</v>
      </c>
      <c r="G1134" s="115">
        <f>G213</f>
        <v>150</v>
      </c>
      <c r="H1134" s="115">
        <f>H213</f>
        <v>150</v>
      </c>
    </row>
    <row r="1135" spans="1:13" x14ac:dyDescent="0.25">
      <c r="E1135" s="201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1">
        <v>55</v>
      </c>
      <c r="G1136" s="115">
        <f>G226</f>
        <v>10</v>
      </c>
      <c r="H1136" s="115">
        <f>H226</f>
        <v>10</v>
      </c>
    </row>
    <row r="1137" spans="5:8" x14ac:dyDescent="0.25">
      <c r="E1137" s="201">
        <v>56</v>
      </c>
    </row>
    <row r="1138" spans="5:8" x14ac:dyDescent="0.25">
      <c r="E1138" s="201">
        <v>57</v>
      </c>
      <c r="G1138" s="115">
        <f>G766+G824</f>
        <v>52873.1</v>
      </c>
      <c r="H1138" s="115">
        <f>H766+H824</f>
        <v>52873.1</v>
      </c>
    </row>
    <row r="1139" spans="5:8" x14ac:dyDescent="0.25">
      <c r="E1139" s="201">
        <v>58</v>
      </c>
      <c r="G1139" s="115">
        <f>G295+G359+G470</f>
        <v>81484.89</v>
      </c>
      <c r="H1139" s="115">
        <f>H295+H359+H470</f>
        <v>82684.89</v>
      </c>
    </row>
    <row r="1140" spans="5:8" x14ac:dyDescent="0.25">
      <c r="E1140" s="201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5:8" x14ac:dyDescent="0.25">
      <c r="E1141" s="201">
        <v>60</v>
      </c>
      <c r="G1141" s="115">
        <f>G959</f>
        <v>1920</v>
      </c>
      <c r="H1141" s="115">
        <f>H959</f>
        <v>2173</v>
      </c>
    </row>
    <row r="1142" spans="5:8" x14ac:dyDescent="0.25">
      <c r="E1142" s="201">
        <v>61</v>
      </c>
      <c r="G1142" s="115">
        <f>G193</f>
        <v>274</v>
      </c>
      <c r="H1142" s="115">
        <f>H193</f>
        <v>274</v>
      </c>
    </row>
    <row r="1143" spans="5:8" x14ac:dyDescent="0.25">
      <c r="E1143" s="201">
        <v>62</v>
      </c>
      <c r="G1143" s="115">
        <f>G919</f>
        <v>700</v>
      </c>
      <c r="H1143" s="115">
        <f>H919</f>
        <v>700</v>
      </c>
    </row>
    <row r="1144" spans="5:8" x14ac:dyDescent="0.25">
      <c r="E1144" s="201">
        <v>63</v>
      </c>
      <c r="G1144" s="115">
        <f>G251+G540+G759</f>
        <v>120</v>
      </c>
      <c r="H1144" s="115">
        <f>H251+H540+H759</f>
        <v>120</v>
      </c>
    </row>
    <row r="1145" spans="5:8" x14ac:dyDescent="0.25">
      <c r="E1145" s="201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5:8" x14ac:dyDescent="0.25">
      <c r="E1146" s="201">
        <v>65</v>
      </c>
      <c r="G1146" s="115">
        <f>G998</f>
        <v>500</v>
      </c>
      <c r="H1146" s="115">
        <f>H998</f>
        <v>500</v>
      </c>
    </row>
    <row r="1147" spans="5:8" x14ac:dyDescent="0.25">
      <c r="E1147" s="201">
        <v>66</v>
      </c>
      <c r="G1147" s="115">
        <f>G516</f>
        <v>0</v>
      </c>
      <c r="H1147" s="115">
        <f>H516</f>
        <v>0</v>
      </c>
    </row>
    <row r="1148" spans="5:8" x14ac:dyDescent="0.25">
      <c r="E1148" s="201">
        <v>67</v>
      </c>
      <c r="G1148" s="115">
        <f>G155</f>
        <v>45</v>
      </c>
      <c r="H1148" s="115">
        <f>H155</f>
        <v>50</v>
      </c>
    </row>
    <row r="1149" spans="5:8" x14ac:dyDescent="0.25">
      <c r="E1149" s="201">
        <v>69</v>
      </c>
      <c r="G1149" s="115">
        <f>G160</f>
        <v>80</v>
      </c>
      <c r="H1149" s="115">
        <f>H160</f>
        <v>90</v>
      </c>
    </row>
    <row r="1150" spans="5:8" x14ac:dyDescent="0.25">
      <c r="E1150" s="201">
        <v>70</v>
      </c>
      <c r="G1150" s="115">
        <f>G948</f>
        <v>204</v>
      </c>
      <c r="H1150" s="115">
        <f>H948</f>
        <v>215</v>
      </c>
    </row>
    <row r="1151" spans="5:8" x14ac:dyDescent="0.25">
      <c r="G1151" s="115">
        <f>SUM(G1131:G1150)</f>
        <v>473372.89999999991</v>
      </c>
      <c r="H1151" s="115">
        <f>SUM(H1131:H1150)</f>
        <v>498426.15</v>
      </c>
    </row>
  </sheetData>
  <mergeCells count="9">
    <mergeCell ref="N1094:W1094"/>
    <mergeCell ref="X1094:AG1094"/>
    <mergeCell ref="N1101:AA1101"/>
    <mergeCell ref="AB1101:AO1101"/>
    <mergeCell ref="G1:H1"/>
    <mergeCell ref="G2:H2"/>
    <mergeCell ref="G3:H3"/>
    <mergeCell ref="A4:F4"/>
    <mergeCell ref="A5:H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3"/>
  <sheetViews>
    <sheetView view="pageBreakPreview" topLeftCell="A934" zoomScaleNormal="100" zoomScaleSheetLayoutView="100" workbookViewId="0">
      <selection activeCell="H4" sqref="H4:I4"/>
    </sheetView>
  </sheetViews>
  <sheetFormatPr defaultRowHeight="15" x14ac:dyDescent="0.25"/>
  <cols>
    <col min="1" max="1" width="56.28515625" style="201" customWidth="1"/>
    <col min="2" max="2" width="17.42578125" style="201" customWidth="1"/>
    <col min="3" max="3" width="8.28515625" style="201" customWidth="1"/>
    <col min="4" max="4" width="7.28515625" style="201" customWidth="1"/>
    <col min="5" max="5" width="8.7109375" style="201" customWidth="1"/>
    <col min="6" max="6" width="9.140625" style="201"/>
    <col min="7" max="7" width="13.28515625" style="115" customWidth="1"/>
    <col min="8" max="8" width="15.85546875" style="115" customWidth="1"/>
    <col min="9" max="9" width="13.42578125" style="115" customWidth="1"/>
    <col min="10" max="10" width="10.7109375" customWidth="1"/>
    <col min="11" max="13" width="8.85546875" customWidth="1"/>
    <col min="14" max="14" width="11.5703125" customWidth="1"/>
  </cols>
  <sheetData>
    <row r="1" spans="1:10" ht="15.75" x14ac:dyDescent="0.25">
      <c r="F1" s="518"/>
      <c r="G1" s="195"/>
      <c r="H1" s="582" t="s">
        <v>108</v>
      </c>
      <c r="I1" s="582"/>
      <c r="J1" s="195"/>
    </row>
    <row r="2" spans="1:10" ht="15.75" x14ac:dyDescent="0.25">
      <c r="F2" s="518"/>
      <c r="G2" s="515"/>
      <c r="H2" s="583" t="s">
        <v>1809</v>
      </c>
      <c r="I2" s="583"/>
      <c r="J2" s="515"/>
    </row>
    <row r="3" spans="1:10" ht="15.75" x14ac:dyDescent="0.25">
      <c r="F3" s="515"/>
      <c r="G3" s="434"/>
      <c r="H3" s="583" t="s">
        <v>1808</v>
      </c>
      <c r="I3" s="583"/>
      <c r="J3" s="515"/>
    </row>
    <row r="4" spans="1:10" s="449" customFormat="1" ht="15.75" x14ac:dyDescent="0.25">
      <c r="A4" s="201"/>
      <c r="B4" s="201"/>
      <c r="C4" s="201"/>
      <c r="D4" s="201"/>
      <c r="E4" s="201"/>
      <c r="F4" s="515"/>
      <c r="G4" s="434"/>
      <c r="H4" s="583" t="s">
        <v>1807</v>
      </c>
      <c r="I4" s="583"/>
      <c r="J4" s="515"/>
    </row>
    <row r="5" spans="1:10" s="449" customFormat="1" ht="15.75" x14ac:dyDescent="0.25">
      <c r="A5" s="201"/>
      <c r="B5" s="201"/>
      <c r="C5" s="201"/>
      <c r="D5" s="201"/>
      <c r="E5" s="201"/>
      <c r="F5" s="515"/>
      <c r="G5" s="434"/>
      <c r="H5" s="583" t="s">
        <v>1812</v>
      </c>
      <c r="I5" s="583"/>
      <c r="J5" s="515"/>
    </row>
    <row r="6" spans="1:10" s="200" customFormat="1" ht="15.75" x14ac:dyDescent="0.25">
      <c r="A6" s="201"/>
      <c r="B6" s="201"/>
      <c r="C6" s="201"/>
      <c r="D6" s="201"/>
      <c r="E6" s="201"/>
      <c r="F6" s="62"/>
      <c r="G6" s="507"/>
      <c r="H6" s="507"/>
      <c r="I6" s="507"/>
    </row>
    <row r="7" spans="1:10" ht="38.25" customHeight="1" x14ac:dyDescent="0.25">
      <c r="A7" s="563" t="s">
        <v>1778</v>
      </c>
      <c r="B7" s="563"/>
      <c r="C7" s="563"/>
      <c r="D7" s="563"/>
      <c r="E7" s="563"/>
      <c r="F7" s="563"/>
      <c r="G7" s="563"/>
      <c r="H7" s="563"/>
      <c r="I7" s="563"/>
    </row>
    <row r="8" spans="1:10" ht="15.75" x14ac:dyDescent="0.25">
      <c r="A8" s="62"/>
      <c r="B8" s="62"/>
      <c r="C8" s="62"/>
      <c r="D8" s="62"/>
      <c r="E8" s="64"/>
      <c r="F8" s="64"/>
      <c r="G8" s="268"/>
      <c r="H8" s="268"/>
      <c r="I8" s="268"/>
    </row>
    <row r="9" spans="1:10" ht="45" x14ac:dyDescent="0.25">
      <c r="A9" s="66" t="s">
        <v>592</v>
      </c>
      <c r="B9" s="66" t="s">
        <v>617</v>
      </c>
      <c r="C9" s="66" t="s">
        <v>618</v>
      </c>
      <c r="D9" s="66" t="s">
        <v>619</v>
      </c>
      <c r="E9" s="66" t="s">
        <v>620</v>
      </c>
      <c r="F9" s="66" t="s">
        <v>621</v>
      </c>
      <c r="G9" s="366" t="s">
        <v>1771</v>
      </c>
      <c r="H9" s="366" t="s">
        <v>1772</v>
      </c>
      <c r="I9" s="366" t="s">
        <v>1773</v>
      </c>
    </row>
    <row r="10" spans="1:10" ht="47.25" x14ac:dyDescent="0.25">
      <c r="A10" s="58" t="s">
        <v>1397</v>
      </c>
      <c r="B10" s="7" t="s">
        <v>510</v>
      </c>
      <c r="C10" s="7"/>
      <c r="D10" s="7"/>
      <c r="E10" s="7"/>
      <c r="F10" s="7"/>
      <c r="G10" s="450">
        <f>G11+G18</f>
        <v>4268.8</v>
      </c>
      <c r="H10" s="450">
        <f t="shared" ref="H10" si="0">H11+H18</f>
        <v>3109.2544500000004</v>
      </c>
      <c r="I10" s="450">
        <f>H10/G10*100</f>
        <v>72.836732805472266</v>
      </c>
    </row>
    <row r="11" spans="1:10" s="200" customFormat="1" ht="31.5" hidden="1" x14ac:dyDescent="0.25">
      <c r="A11" s="34" t="s">
        <v>999</v>
      </c>
      <c r="B11" s="7" t="s">
        <v>958</v>
      </c>
      <c r="C11" s="461"/>
      <c r="D11" s="461"/>
      <c r="E11" s="461"/>
      <c r="F11" s="461"/>
      <c r="G11" s="451">
        <f>G14</f>
        <v>0</v>
      </c>
      <c r="H11" s="451">
        <f t="shared" ref="H11" si="1">H14</f>
        <v>0</v>
      </c>
      <c r="I11" s="450" t="e">
        <f t="shared" ref="I11:I74" si="2">H11/G11*100</f>
        <v>#DIV/0!</v>
      </c>
    </row>
    <row r="12" spans="1:10" ht="15.75" hidden="1" x14ac:dyDescent="0.25">
      <c r="A12" s="29" t="s">
        <v>232</v>
      </c>
      <c r="B12" s="461" t="s">
        <v>958</v>
      </c>
      <c r="C12" s="461" t="s">
        <v>150</v>
      </c>
      <c r="D12" s="461"/>
      <c r="E12" s="461"/>
      <c r="F12" s="461"/>
      <c r="G12" s="451">
        <f t="shared" ref="G12:H15" si="3">G13</f>
        <v>0</v>
      </c>
      <c r="H12" s="451">
        <f t="shared" si="3"/>
        <v>0</v>
      </c>
      <c r="I12" s="450" t="e">
        <f t="shared" si="2"/>
        <v>#DIV/0!</v>
      </c>
    </row>
    <row r="13" spans="1:10" ht="15.75" hidden="1" x14ac:dyDescent="0.25">
      <c r="A13" s="29" t="s">
        <v>508</v>
      </c>
      <c r="B13" s="461" t="s">
        <v>958</v>
      </c>
      <c r="C13" s="461" t="s">
        <v>150</v>
      </c>
      <c r="D13" s="461" t="s">
        <v>219</v>
      </c>
      <c r="E13" s="461"/>
      <c r="F13" s="461"/>
      <c r="G13" s="451">
        <f>G14</f>
        <v>0</v>
      </c>
      <c r="H13" s="451">
        <f t="shared" si="3"/>
        <v>0</v>
      </c>
      <c r="I13" s="450" t="e">
        <f t="shared" si="2"/>
        <v>#DIV/0!</v>
      </c>
    </row>
    <row r="14" spans="1:10" s="200" customFormat="1" ht="15.75" hidden="1" x14ac:dyDescent="0.25">
      <c r="A14" s="29" t="s">
        <v>1001</v>
      </c>
      <c r="B14" s="461" t="s">
        <v>1000</v>
      </c>
      <c r="C14" s="461" t="s">
        <v>150</v>
      </c>
      <c r="D14" s="461" t="s">
        <v>219</v>
      </c>
      <c r="E14" s="461"/>
      <c r="F14" s="461"/>
      <c r="G14" s="451">
        <f>G15</f>
        <v>0</v>
      </c>
      <c r="H14" s="451">
        <f t="shared" si="3"/>
        <v>0</v>
      </c>
      <c r="I14" s="450" t="e">
        <f t="shared" si="2"/>
        <v>#DIV/0!</v>
      </c>
    </row>
    <row r="15" spans="1:10" s="200" customFormat="1" ht="31.5" hidden="1" x14ac:dyDescent="0.25">
      <c r="A15" s="458" t="s">
        <v>131</v>
      </c>
      <c r="B15" s="461" t="s">
        <v>1000</v>
      </c>
      <c r="C15" s="461" t="s">
        <v>150</v>
      </c>
      <c r="D15" s="461" t="s">
        <v>219</v>
      </c>
      <c r="E15" s="461" t="s">
        <v>132</v>
      </c>
      <c r="F15" s="461"/>
      <c r="G15" s="451">
        <f>G16</f>
        <v>0</v>
      </c>
      <c r="H15" s="451">
        <f t="shared" si="3"/>
        <v>0</v>
      </c>
      <c r="I15" s="450" t="e">
        <f t="shared" si="2"/>
        <v>#DIV/0!</v>
      </c>
    </row>
    <row r="16" spans="1:10" s="200" customFormat="1" ht="31.5" hidden="1" x14ac:dyDescent="0.25">
      <c r="A16" s="458" t="s">
        <v>133</v>
      </c>
      <c r="B16" s="461" t="s">
        <v>1000</v>
      </c>
      <c r="C16" s="461" t="s">
        <v>150</v>
      </c>
      <c r="D16" s="461" t="s">
        <v>219</v>
      </c>
      <c r="E16" s="461" t="s">
        <v>134</v>
      </c>
      <c r="F16" s="461"/>
      <c r="G16" s="451">
        <f>'Пр.4 ведом.21'!G910</f>
        <v>0</v>
      </c>
      <c r="H16" s="451">
        <f>'Пр.4 ведом.21'!H910</f>
        <v>0</v>
      </c>
      <c r="I16" s="450" t="e">
        <f t="shared" si="2"/>
        <v>#DIV/0!</v>
      </c>
    </row>
    <row r="17" spans="1:9" s="200" customFormat="1" ht="40.700000000000003" hidden="1" customHeight="1" x14ac:dyDescent="0.25">
      <c r="A17" s="45" t="s">
        <v>623</v>
      </c>
      <c r="B17" s="461" t="s">
        <v>1000</v>
      </c>
      <c r="C17" s="461" t="s">
        <v>150</v>
      </c>
      <c r="D17" s="461" t="s">
        <v>219</v>
      </c>
      <c r="E17" s="461" t="s">
        <v>134</v>
      </c>
      <c r="F17" s="461" t="s">
        <v>624</v>
      </c>
      <c r="G17" s="451">
        <f>G16</f>
        <v>0</v>
      </c>
      <c r="H17" s="451">
        <f t="shared" ref="H17" si="4">H16</f>
        <v>0</v>
      </c>
      <c r="I17" s="450" t="e">
        <f t="shared" si="2"/>
        <v>#DIV/0!</v>
      </c>
    </row>
    <row r="18" spans="1:9" s="200" customFormat="1" ht="31.5" x14ac:dyDescent="0.25">
      <c r="A18" s="34" t="s">
        <v>1061</v>
      </c>
      <c r="B18" s="457" t="s">
        <v>959</v>
      </c>
      <c r="C18" s="461"/>
      <c r="D18" s="461"/>
      <c r="E18" s="461"/>
      <c r="F18" s="461"/>
      <c r="G18" s="450">
        <f>G19</f>
        <v>4268.8</v>
      </c>
      <c r="H18" s="450">
        <f t="shared" ref="H18:H20" si="5">H19</f>
        <v>3109.2544500000004</v>
      </c>
      <c r="I18" s="450">
        <f t="shared" si="2"/>
        <v>72.836732805472266</v>
      </c>
    </row>
    <row r="19" spans="1:9" s="200" customFormat="1" ht="15.75" x14ac:dyDescent="0.25">
      <c r="A19" s="29" t="s">
        <v>232</v>
      </c>
      <c r="B19" s="461" t="s">
        <v>959</v>
      </c>
      <c r="C19" s="461" t="s">
        <v>150</v>
      </c>
      <c r="D19" s="461"/>
      <c r="E19" s="461"/>
      <c r="F19" s="461"/>
      <c r="G19" s="451">
        <f>G20</f>
        <v>4268.8</v>
      </c>
      <c r="H19" s="451">
        <f t="shared" si="5"/>
        <v>3109.2544500000004</v>
      </c>
      <c r="I19" s="451">
        <f t="shared" si="2"/>
        <v>72.836732805472266</v>
      </c>
    </row>
    <row r="20" spans="1:9" s="200" customFormat="1" ht="15.75" x14ac:dyDescent="0.25">
      <c r="A20" s="29" t="s">
        <v>508</v>
      </c>
      <c r="B20" s="461" t="s">
        <v>959</v>
      </c>
      <c r="C20" s="461" t="s">
        <v>150</v>
      </c>
      <c r="D20" s="461" t="s">
        <v>219</v>
      </c>
      <c r="E20" s="461"/>
      <c r="F20" s="461"/>
      <c r="G20" s="451">
        <f>G21</f>
        <v>4268.8</v>
      </c>
      <c r="H20" s="451">
        <f t="shared" si="5"/>
        <v>3109.2544500000004</v>
      </c>
      <c r="I20" s="451">
        <f t="shared" si="2"/>
        <v>72.836732805472266</v>
      </c>
    </row>
    <row r="21" spans="1:9" ht="15.75" x14ac:dyDescent="0.25">
      <c r="A21" s="29" t="s">
        <v>511</v>
      </c>
      <c r="B21" s="461" t="s">
        <v>1002</v>
      </c>
      <c r="C21" s="461" t="s">
        <v>150</v>
      </c>
      <c r="D21" s="461" t="s">
        <v>219</v>
      </c>
      <c r="E21" s="461"/>
      <c r="F21" s="461"/>
      <c r="G21" s="451">
        <f>G25+G28+G23</f>
        <v>4268.8</v>
      </c>
      <c r="H21" s="451">
        <f t="shared" ref="H21" si="6">H25+H28+H23</f>
        <v>3109.2544500000004</v>
      </c>
      <c r="I21" s="451">
        <f t="shared" si="2"/>
        <v>72.836732805472266</v>
      </c>
    </row>
    <row r="22" spans="1:9" s="200" customFormat="1" ht="78.75" x14ac:dyDescent="0.25">
      <c r="A22" s="458" t="s">
        <v>127</v>
      </c>
      <c r="B22" s="461" t="s">
        <v>1002</v>
      </c>
      <c r="C22" s="461" t="s">
        <v>150</v>
      </c>
      <c r="D22" s="461" t="s">
        <v>219</v>
      </c>
      <c r="E22" s="461" t="s">
        <v>128</v>
      </c>
      <c r="F22" s="461"/>
      <c r="G22" s="451">
        <f>G23</f>
        <v>1807</v>
      </c>
      <c r="H22" s="451">
        <f t="shared" ref="H22" si="7">H23</f>
        <v>1631.75287</v>
      </c>
      <c r="I22" s="451">
        <f t="shared" si="2"/>
        <v>90.301763696734923</v>
      </c>
    </row>
    <row r="23" spans="1:9" s="200" customFormat="1" ht="15.75" x14ac:dyDescent="0.25">
      <c r="A23" s="458" t="s">
        <v>342</v>
      </c>
      <c r="B23" s="461" t="s">
        <v>1002</v>
      </c>
      <c r="C23" s="461" t="s">
        <v>150</v>
      </c>
      <c r="D23" s="461" t="s">
        <v>219</v>
      </c>
      <c r="E23" s="461" t="s">
        <v>209</v>
      </c>
      <c r="F23" s="461"/>
      <c r="G23" s="451">
        <f>'Пр.4 ведом.21'!G914</f>
        <v>1807</v>
      </c>
      <c r="H23" s="451">
        <f>'Пр.4 ведом.21'!H914</f>
        <v>1631.75287</v>
      </c>
      <c r="I23" s="451">
        <f t="shared" si="2"/>
        <v>90.301763696734923</v>
      </c>
    </row>
    <row r="24" spans="1:9" s="200" customFormat="1" ht="31.5" x14ac:dyDescent="0.25">
      <c r="A24" s="45" t="s">
        <v>623</v>
      </c>
      <c r="B24" s="461" t="s">
        <v>1002</v>
      </c>
      <c r="C24" s="461" t="s">
        <v>150</v>
      </c>
      <c r="D24" s="461" t="s">
        <v>219</v>
      </c>
      <c r="E24" s="461" t="s">
        <v>209</v>
      </c>
      <c r="F24" s="461" t="s">
        <v>624</v>
      </c>
      <c r="G24" s="451">
        <f>G23</f>
        <v>1807</v>
      </c>
      <c r="H24" s="451">
        <f t="shared" ref="H24" si="8">H23</f>
        <v>1631.75287</v>
      </c>
      <c r="I24" s="451">
        <f t="shared" si="2"/>
        <v>90.301763696734923</v>
      </c>
    </row>
    <row r="25" spans="1:9" ht="31.5" x14ac:dyDescent="0.25">
      <c r="A25" s="29" t="s">
        <v>131</v>
      </c>
      <c r="B25" s="461" t="s">
        <v>1002</v>
      </c>
      <c r="C25" s="461" t="s">
        <v>150</v>
      </c>
      <c r="D25" s="461" t="s">
        <v>219</v>
      </c>
      <c r="E25" s="461" t="s">
        <v>132</v>
      </c>
      <c r="F25" s="461"/>
      <c r="G25" s="451">
        <f t="shared" ref="G25:H25" si="9">G26</f>
        <v>2461.8000000000002</v>
      </c>
      <c r="H25" s="451">
        <f t="shared" si="9"/>
        <v>1477.5015800000001</v>
      </c>
      <c r="I25" s="451">
        <f t="shared" si="2"/>
        <v>60.017124867982773</v>
      </c>
    </row>
    <row r="26" spans="1:9" ht="31.5" x14ac:dyDescent="0.25">
      <c r="A26" s="29" t="s">
        <v>133</v>
      </c>
      <c r="B26" s="461" t="s">
        <v>1002</v>
      </c>
      <c r="C26" s="461" t="s">
        <v>150</v>
      </c>
      <c r="D26" s="461" t="s">
        <v>219</v>
      </c>
      <c r="E26" s="461" t="s">
        <v>134</v>
      </c>
      <c r="F26" s="461"/>
      <c r="G26" s="451">
        <f>'Пр.4 ведом.21'!G916</f>
        <v>2461.8000000000002</v>
      </c>
      <c r="H26" s="451">
        <f>'Пр.4 ведом.21'!H916</f>
        <v>1477.5015800000001</v>
      </c>
      <c r="I26" s="451">
        <f t="shared" si="2"/>
        <v>60.017124867982773</v>
      </c>
    </row>
    <row r="27" spans="1:9" s="200" customFormat="1" ht="31.5" x14ac:dyDescent="0.25">
      <c r="A27" s="45" t="s">
        <v>623</v>
      </c>
      <c r="B27" s="461" t="s">
        <v>1002</v>
      </c>
      <c r="C27" s="461" t="s">
        <v>150</v>
      </c>
      <c r="D27" s="461" t="s">
        <v>219</v>
      </c>
      <c r="E27" s="461" t="s">
        <v>134</v>
      </c>
      <c r="F27" s="461" t="s">
        <v>624</v>
      </c>
      <c r="G27" s="451">
        <f>G26</f>
        <v>2461.8000000000002</v>
      </c>
      <c r="H27" s="451">
        <f t="shared" ref="H27" si="10">H26</f>
        <v>1477.5015800000001</v>
      </c>
      <c r="I27" s="451">
        <f t="shared" si="2"/>
        <v>60.017124867982773</v>
      </c>
    </row>
    <row r="28" spans="1:9" ht="15.75" hidden="1" x14ac:dyDescent="0.25">
      <c r="A28" s="458" t="s">
        <v>135</v>
      </c>
      <c r="B28" s="461" t="s">
        <v>1002</v>
      </c>
      <c r="C28" s="461" t="s">
        <v>150</v>
      </c>
      <c r="D28" s="461" t="s">
        <v>219</v>
      </c>
      <c r="E28" s="461" t="s">
        <v>145</v>
      </c>
      <c r="F28" s="461"/>
      <c r="G28" s="451">
        <f t="shared" ref="G28:H28" si="11">G29</f>
        <v>0</v>
      </c>
      <c r="H28" s="451">
        <f t="shared" si="11"/>
        <v>0</v>
      </c>
      <c r="I28" s="451" t="e">
        <f t="shared" si="2"/>
        <v>#DIV/0!</v>
      </c>
    </row>
    <row r="29" spans="1:9" ht="15.75" hidden="1" x14ac:dyDescent="0.25">
      <c r="A29" s="458" t="s">
        <v>137</v>
      </c>
      <c r="B29" s="461" t="s">
        <v>1002</v>
      </c>
      <c r="C29" s="461" t="s">
        <v>150</v>
      </c>
      <c r="D29" s="461" t="s">
        <v>219</v>
      </c>
      <c r="E29" s="461" t="s">
        <v>138</v>
      </c>
      <c r="F29" s="461"/>
      <c r="G29" s="451">
        <f>'Пр.4 ведом.21'!G918</f>
        <v>0</v>
      </c>
      <c r="H29" s="451">
        <f>'Пр.4 ведом.21'!H918</f>
        <v>0</v>
      </c>
      <c r="I29" s="451" t="e">
        <f t="shared" si="2"/>
        <v>#DIV/0!</v>
      </c>
    </row>
    <row r="30" spans="1:9" ht="31.5" hidden="1" x14ac:dyDescent="0.25">
      <c r="A30" s="45" t="s">
        <v>623</v>
      </c>
      <c r="B30" s="461" t="s">
        <v>1002</v>
      </c>
      <c r="C30" s="461" t="s">
        <v>150</v>
      </c>
      <c r="D30" s="461" t="s">
        <v>219</v>
      </c>
      <c r="E30" s="461" t="s">
        <v>138</v>
      </c>
      <c r="F30" s="461" t="s">
        <v>624</v>
      </c>
      <c r="G30" s="451">
        <f>G29</f>
        <v>0</v>
      </c>
      <c r="H30" s="451">
        <f t="shared" ref="H30" si="12">H29</f>
        <v>0</v>
      </c>
      <c r="I30" s="451" t="e">
        <f t="shared" si="2"/>
        <v>#DIV/0!</v>
      </c>
    </row>
    <row r="31" spans="1:9" ht="47.25" x14ac:dyDescent="0.25">
      <c r="A31" s="58" t="s">
        <v>1398</v>
      </c>
      <c r="B31" s="7" t="s">
        <v>344</v>
      </c>
      <c r="C31" s="7"/>
      <c r="D31" s="7"/>
      <c r="E31" s="7"/>
      <c r="F31" s="7"/>
      <c r="G31" s="59">
        <f>G32+G61+G69+G98+G110</f>
        <v>3304.9</v>
      </c>
      <c r="H31" s="59">
        <f t="shared" ref="H31" si="13">H32+H61+H69+H98+H110</f>
        <v>2437.5930000000003</v>
      </c>
      <c r="I31" s="450">
        <f t="shared" si="2"/>
        <v>73.756936669793348</v>
      </c>
    </row>
    <row r="32" spans="1:9" ht="31.5" x14ac:dyDescent="0.25">
      <c r="A32" s="58" t="s">
        <v>625</v>
      </c>
      <c r="B32" s="7" t="s">
        <v>346</v>
      </c>
      <c r="C32" s="7"/>
      <c r="D32" s="7"/>
      <c r="E32" s="7"/>
      <c r="F32" s="7"/>
      <c r="G32" s="59">
        <f>G34+G44+G54</f>
        <v>760</v>
      </c>
      <c r="H32" s="59">
        <f t="shared" ref="H32" si="14">H34+H44+H54</f>
        <v>654.61300000000006</v>
      </c>
      <c r="I32" s="450">
        <f t="shared" si="2"/>
        <v>86.133289473684215</v>
      </c>
    </row>
    <row r="33" spans="1:9" s="200" customFormat="1" ht="47.25" x14ac:dyDescent="0.25">
      <c r="A33" s="206" t="s">
        <v>1029</v>
      </c>
      <c r="B33" s="457" t="s">
        <v>892</v>
      </c>
      <c r="C33" s="7"/>
      <c r="D33" s="7"/>
      <c r="E33" s="461"/>
      <c r="F33" s="461"/>
      <c r="G33" s="59">
        <f>G34</f>
        <v>280</v>
      </c>
      <c r="H33" s="59">
        <f t="shared" ref="H33" si="15">H34</f>
        <v>263.09399999999999</v>
      </c>
      <c r="I33" s="450">
        <f t="shared" si="2"/>
        <v>93.962142857142851</v>
      </c>
    </row>
    <row r="34" spans="1:9" ht="15.75" x14ac:dyDescent="0.25">
      <c r="A34" s="45" t="s">
        <v>263</v>
      </c>
      <c r="B34" s="461" t="s">
        <v>892</v>
      </c>
      <c r="C34" s="461" t="s">
        <v>264</v>
      </c>
      <c r="D34" s="461"/>
      <c r="E34" s="461"/>
      <c r="F34" s="461"/>
      <c r="G34" s="10">
        <f t="shared" ref="G34:H34" si="16">G35</f>
        <v>280</v>
      </c>
      <c r="H34" s="10">
        <f t="shared" si="16"/>
        <v>263.09399999999999</v>
      </c>
      <c r="I34" s="451">
        <f t="shared" si="2"/>
        <v>93.962142857142851</v>
      </c>
    </row>
    <row r="35" spans="1:9" ht="15.75" x14ac:dyDescent="0.25">
      <c r="A35" s="45" t="s">
        <v>466</v>
      </c>
      <c r="B35" s="461" t="s">
        <v>892</v>
      </c>
      <c r="C35" s="461" t="s">
        <v>264</v>
      </c>
      <c r="D35" s="461" t="s">
        <v>264</v>
      </c>
      <c r="E35" s="461"/>
      <c r="F35" s="461"/>
      <c r="G35" s="10">
        <f>G36+G40</f>
        <v>280</v>
      </c>
      <c r="H35" s="10">
        <f t="shared" ref="H35" si="17">H36+H40</f>
        <v>263.09399999999999</v>
      </c>
      <c r="I35" s="451">
        <f t="shared" si="2"/>
        <v>93.962142857142851</v>
      </c>
    </row>
    <row r="36" spans="1:9" s="200" customFormat="1" ht="31.5" x14ac:dyDescent="0.25">
      <c r="A36" s="98" t="s">
        <v>1035</v>
      </c>
      <c r="B36" s="454" t="s">
        <v>893</v>
      </c>
      <c r="C36" s="461" t="s">
        <v>264</v>
      </c>
      <c r="D36" s="461" t="s">
        <v>264</v>
      </c>
      <c r="E36" s="461"/>
      <c r="F36" s="461"/>
      <c r="G36" s="10">
        <f>G37</f>
        <v>280</v>
      </c>
      <c r="H36" s="10">
        <f t="shared" ref="H36:H37" si="18">H37</f>
        <v>263.09399999999999</v>
      </c>
      <c r="I36" s="451">
        <f t="shared" si="2"/>
        <v>93.962142857142851</v>
      </c>
    </row>
    <row r="37" spans="1:9" s="200" customFormat="1" ht="78.75" x14ac:dyDescent="0.25">
      <c r="A37" s="458" t="s">
        <v>127</v>
      </c>
      <c r="B37" s="454" t="s">
        <v>893</v>
      </c>
      <c r="C37" s="461" t="s">
        <v>264</v>
      </c>
      <c r="D37" s="461" t="s">
        <v>264</v>
      </c>
      <c r="E37" s="461" t="s">
        <v>128</v>
      </c>
      <c r="F37" s="461"/>
      <c r="G37" s="10">
        <f>G38</f>
        <v>280</v>
      </c>
      <c r="H37" s="10">
        <f t="shared" si="18"/>
        <v>263.09399999999999</v>
      </c>
      <c r="I37" s="451">
        <f t="shared" si="2"/>
        <v>93.962142857142851</v>
      </c>
    </row>
    <row r="38" spans="1:9" s="200" customFormat="1" ht="15.75" x14ac:dyDescent="0.25">
      <c r="A38" s="458" t="s">
        <v>342</v>
      </c>
      <c r="B38" s="454" t="s">
        <v>893</v>
      </c>
      <c r="C38" s="461" t="s">
        <v>264</v>
      </c>
      <c r="D38" s="461" t="s">
        <v>264</v>
      </c>
      <c r="E38" s="461" t="s">
        <v>209</v>
      </c>
      <c r="F38" s="461"/>
      <c r="G38" s="10">
        <f>'Пр.4 ведом.21'!G347</f>
        <v>280</v>
      </c>
      <c r="H38" s="10">
        <f>'Пр.4 ведом.21'!H347</f>
        <v>263.09399999999999</v>
      </c>
      <c r="I38" s="451">
        <f t="shared" si="2"/>
        <v>93.962142857142851</v>
      </c>
    </row>
    <row r="39" spans="1:9" s="200" customFormat="1" ht="47.25" x14ac:dyDescent="0.25">
      <c r="A39" s="45" t="s">
        <v>261</v>
      </c>
      <c r="B39" s="454" t="s">
        <v>893</v>
      </c>
      <c r="C39" s="461" t="s">
        <v>264</v>
      </c>
      <c r="D39" s="461" t="s">
        <v>264</v>
      </c>
      <c r="E39" s="461" t="s">
        <v>209</v>
      </c>
      <c r="F39" s="461" t="s">
        <v>627</v>
      </c>
      <c r="G39" s="451">
        <f>G38</f>
        <v>280</v>
      </c>
      <c r="H39" s="451">
        <f t="shared" ref="H39" si="19">H38</f>
        <v>263.09399999999999</v>
      </c>
      <c r="I39" s="451">
        <f t="shared" si="2"/>
        <v>93.962142857142851</v>
      </c>
    </row>
    <row r="40" spans="1:9" s="200" customFormat="1" ht="15.75" hidden="1" x14ac:dyDescent="0.25">
      <c r="A40" s="458" t="s">
        <v>1030</v>
      </c>
      <c r="B40" s="454" t="s">
        <v>1047</v>
      </c>
      <c r="C40" s="461" t="s">
        <v>264</v>
      </c>
      <c r="D40" s="461" t="s">
        <v>264</v>
      </c>
      <c r="E40" s="461"/>
      <c r="F40" s="461"/>
      <c r="G40" s="10">
        <f>G41</f>
        <v>0</v>
      </c>
      <c r="H40" s="10">
        <f t="shared" ref="H40:H41" si="20">H41</f>
        <v>0</v>
      </c>
      <c r="I40" s="451" t="e">
        <f t="shared" si="2"/>
        <v>#DIV/0!</v>
      </c>
    </row>
    <row r="41" spans="1:9" s="200" customFormat="1" ht="31.5" hidden="1" x14ac:dyDescent="0.25">
      <c r="A41" s="458" t="s">
        <v>131</v>
      </c>
      <c r="B41" s="454" t="s">
        <v>1047</v>
      </c>
      <c r="C41" s="461" t="s">
        <v>264</v>
      </c>
      <c r="D41" s="461" t="s">
        <v>264</v>
      </c>
      <c r="E41" s="461" t="s">
        <v>132</v>
      </c>
      <c r="F41" s="461"/>
      <c r="G41" s="10">
        <f>G42</f>
        <v>0</v>
      </c>
      <c r="H41" s="10">
        <f t="shared" si="20"/>
        <v>0</v>
      </c>
      <c r="I41" s="451" t="e">
        <f t="shared" si="2"/>
        <v>#DIV/0!</v>
      </c>
    </row>
    <row r="42" spans="1:9" s="200" customFormat="1" ht="31.5" hidden="1" x14ac:dyDescent="0.25">
      <c r="A42" s="458" t="s">
        <v>133</v>
      </c>
      <c r="B42" s="454" t="s">
        <v>1047</v>
      </c>
      <c r="C42" s="461" t="s">
        <v>264</v>
      </c>
      <c r="D42" s="461" t="s">
        <v>264</v>
      </c>
      <c r="E42" s="461" t="s">
        <v>134</v>
      </c>
      <c r="F42" s="461"/>
      <c r="G42" s="10">
        <f>'Пр.3 Рд,пр, ЦС,ВР 21'!F744</f>
        <v>0</v>
      </c>
      <c r="H42" s="10">
        <f>'Пр.3 Рд,пр, ЦС,ВР 21'!G744</f>
        <v>0</v>
      </c>
      <c r="I42" s="451" t="e">
        <f t="shared" si="2"/>
        <v>#DIV/0!</v>
      </c>
    </row>
    <row r="43" spans="1:9" s="200" customFormat="1" ht="47.25" hidden="1" x14ac:dyDescent="0.25">
      <c r="A43" s="45" t="s">
        <v>261</v>
      </c>
      <c r="B43" s="454" t="s">
        <v>1047</v>
      </c>
      <c r="C43" s="461" t="s">
        <v>264</v>
      </c>
      <c r="D43" s="461" t="s">
        <v>264</v>
      </c>
      <c r="E43" s="461" t="s">
        <v>134</v>
      </c>
      <c r="F43" s="461" t="s">
        <v>627</v>
      </c>
      <c r="G43" s="451">
        <f>G42</f>
        <v>0</v>
      </c>
      <c r="H43" s="451">
        <f t="shared" ref="H43" si="21">H42</f>
        <v>0</v>
      </c>
      <c r="I43" s="451" t="e">
        <f t="shared" si="2"/>
        <v>#DIV/0!</v>
      </c>
    </row>
    <row r="44" spans="1:9" s="200" customFormat="1" ht="63" x14ac:dyDescent="0.25">
      <c r="A44" s="456" t="s">
        <v>1031</v>
      </c>
      <c r="B44" s="457" t="s">
        <v>894</v>
      </c>
      <c r="C44" s="461"/>
      <c r="D44" s="461"/>
      <c r="E44" s="461"/>
      <c r="F44" s="461"/>
      <c r="G44" s="59">
        <f>G45</f>
        <v>455</v>
      </c>
      <c r="H44" s="59">
        <f t="shared" ref="H44:H45" si="22">H45</f>
        <v>366.51900000000001</v>
      </c>
      <c r="I44" s="450">
        <f t="shared" si="2"/>
        <v>80.553626373626372</v>
      </c>
    </row>
    <row r="45" spans="1:9" s="200" customFormat="1" ht="15.75" x14ac:dyDescent="0.25">
      <c r="A45" s="45" t="s">
        <v>263</v>
      </c>
      <c r="B45" s="461" t="s">
        <v>894</v>
      </c>
      <c r="C45" s="461" t="s">
        <v>264</v>
      </c>
      <c r="D45" s="461"/>
      <c r="E45" s="461"/>
      <c r="F45" s="461"/>
      <c r="G45" s="10">
        <f>G46</f>
        <v>455</v>
      </c>
      <c r="H45" s="10">
        <f t="shared" si="22"/>
        <v>366.51900000000001</v>
      </c>
      <c r="I45" s="451">
        <f t="shared" si="2"/>
        <v>80.553626373626372</v>
      </c>
    </row>
    <row r="46" spans="1:9" s="200" customFormat="1" ht="15.75" x14ac:dyDescent="0.25">
      <c r="A46" s="45" t="s">
        <v>466</v>
      </c>
      <c r="B46" s="461" t="s">
        <v>894</v>
      </c>
      <c r="C46" s="461" t="s">
        <v>264</v>
      </c>
      <c r="D46" s="461" t="s">
        <v>264</v>
      </c>
      <c r="E46" s="461"/>
      <c r="F46" s="461"/>
      <c r="G46" s="10">
        <f>G47+G51</f>
        <v>455</v>
      </c>
      <c r="H46" s="10">
        <f t="shared" ref="H46" si="23">H47+H51</f>
        <v>366.51900000000001</v>
      </c>
      <c r="I46" s="451">
        <f t="shared" si="2"/>
        <v>80.553626373626372</v>
      </c>
    </row>
    <row r="47" spans="1:9" ht="15.75" x14ac:dyDescent="0.25">
      <c r="A47" s="458" t="s">
        <v>1032</v>
      </c>
      <c r="B47" s="454" t="s">
        <v>901</v>
      </c>
      <c r="C47" s="461" t="s">
        <v>264</v>
      </c>
      <c r="D47" s="461" t="s">
        <v>264</v>
      </c>
      <c r="E47" s="461"/>
      <c r="F47" s="461"/>
      <c r="G47" s="10">
        <f>G48</f>
        <v>40</v>
      </c>
      <c r="H47" s="10">
        <f t="shared" ref="H47" si="24">H48</f>
        <v>0</v>
      </c>
      <c r="I47" s="451">
        <f t="shared" si="2"/>
        <v>0</v>
      </c>
    </row>
    <row r="48" spans="1:9" ht="78.75" x14ac:dyDescent="0.25">
      <c r="A48" s="458" t="s">
        <v>127</v>
      </c>
      <c r="B48" s="454" t="s">
        <v>901</v>
      </c>
      <c r="C48" s="461" t="s">
        <v>264</v>
      </c>
      <c r="D48" s="461" t="s">
        <v>264</v>
      </c>
      <c r="E48" s="461" t="s">
        <v>128</v>
      </c>
      <c r="F48" s="461"/>
      <c r="G48" s="10">
        <f t="shared" ref="G48:H48" si="25">G49</f>
        <v>40</v>
      </c>
      <c r="H48" s="10">
        <f t="shared" si="25"/>
        <v>0</v>
      </c>
      <c r="I48" s="451">
        <f t="shared" si="2"/>
        <v>0</v>
      </c>
    </row>
    <row r="49" spans="1:9" ht="15.75" x14ac:dyDescent="0.25">
      <c r="A49" s="458" t="s">
        <v>342</v>
      </c>
      <c r="B49" s="454" t="s">
        <v>901</v>
      </c>
      <c r="C49" s="461" t="s">
        <v>264</v>
      </c>
      <c r="D49" s="461" t="s">
        <v>264</v>
      </c>
      <c r="E49" s="461" t="s">
        <v>209</v>
      </c>
      <c r="F49" s="461"/>
      <c r="G49" s="10">
        <f>'Пр.4 ведом.21'!G354</f>
        <v>40</v>
      </c>
      <c r="H49" s="10">
        <f>'Пр.4 ведом.21'!H354</f>
        <v>0</v>
      </c>
      <c r="I49" s="451">
        <f t="shared" si="2"/>
        <v>0</v>
      </c>
    </row>
    <row r="50" spans="1:9" s="200" customFormat="1" ht="47.25" x14ac:dyDescent="0.25">
      <c r="A50" s="45" t="s">
        <v>261</v>
      </c>
      <c r="B50" s="454" t="s">
        <v>901</v>
      </c>
      <c r="C50" s="461" t="s">
        <v>264</v>
      </c>
      <c r="D50" s="461" t="s">
        <v>264</v>
      </c>
      <c r="E50" s="461" t="s">
        <v>209</v>
      </c>
      <c r="F50" s="461" t="s">
        <v>627</v>
      </c>
      <c r="G50" s="451">
        <f>G49</f>
        <v>40</v>
      </c>
      <c r="H50" s="451">
        <f t="shared" ref="H50" si="26">H49</f>
        <v>0</v>
      </c>
      <c r="I50" s="451">
        <f t="shared" si="2"/>
        <v>0</v>
      </c>
    </row>
    <row r="51" spans="1:9" ht="31.5" x14ac:dyDescent="0.25">
      <c r="A51" s="458" t="s">
        <v>131</v>
      </c>
      <c r="B51" s="454" t="s">
        <v>901</v>
      </c>
      <c r="C51" s="461" t="s">
        <v>264</v>
      </c>
      <c r="D51" s="461" t="s">
        <v>264</v>
      </c>
      <c r="E51" s="461" t="s">
        <v>132</v>
      </c>
      <c r="F51" s="461"/>
      <c r="G51" s="10">
        <f t="shared" ref="G51:H51" si="27">G52</f>
        <v>415</v>
      </c>
      <c r="H51" s="10">
        <f t="shared" si="27"/>
        <v>366.51900000000001</v>
      </c>
      <c r="I51" s="451">
        <f t="shared" si="2"/>
        <v>88.317831325301213</v>
      </c>
    </row>
    <row r="52" spans="1:9" ht="31.5" x14ac:dyDescent="0.25">
      <c r="A52" s="458" t="s">
        <v>133</v>
      </c>
      <c r="B52" s="454" t="s">
        <v>901</v>
      </c>
      <c r="C52" s="461" t="s">
        <v>264</v>
      </c>
      <c r="D52" s="461" t="s">
        <v>264</v>
      </c>
      <c r="E52" s="461" t="s">
        <v>134</v>
      </c>
      <c r="F52" s="461"/>
      <c r="G52" s="451">
        <f>'Пр.4 ведом.21'!G356</f>
        <v>415</v>
      </c>
      <c r="H52" s="451">
        <f>'Пр.4 ведом.21'!H356</f>
        <v>366.51900000000001</v>
      </c>
      <c r="I52" s="451">
        <f t="shared" si="2"/>
        <v>88.317831325301213</v>
      </c>
    </row>
    <row r="53" spans="1:9" s="200" customFormat="1" ht="47.25" x14ac:dyDescent="0.25">
      <c r="A53" s="45" t="s">
        <v>261</v>
      </c>
      <c r="B53" s="454" t="s">
        <v>901</v>
      </c>
      <c r="C53" s="461" t="s">
        <v>264</v>
      </c>
      <c r="D53" s="461" t="s">
        <v>264</v>
      </c>
      <c r="E53" s="461" t="s">
        <v>134</v>
      </c>
      <c r="F53" s="461" t="s">
        <v>627</v>
      </c>
      <c r="G53" s="451">
        <f>G52</f>
        <v>415</v>
      </c>
      <c r="H53" s="451">
        <f t="shared" ref="H53" si="28">H52</f>
        <v>366.51900000000001</v>
      </c>
      <c r="I53" s="451">
        <f t="shared" si="2"/>
        <v>88.317831325301213</v>
      </c>
    </row>
    <row r="54" spans="1:9" ht="33" customHeight="1" x14ac:dyDescent="0.25">
      <c r="A54" s="456" t="s">
        <v>1037</v>
      </c>
      <c r="B54" s="457" t="s">
        <v>1033</v>
      </c>
      <c r="C54" s="461"/>
      <c r="D54" s="461"/>
      <c r="E54" s="461"/>
      <c r="F54" s="461"/>
      <c r="G54" s="450">
        <f>G57</f>
        <v>25</v>
      </c>
      <c r="H54" s="450">
        <f t="shared" ref="H54" si="29">H57</f>
        <v>25</v>
      </c>
      <c r="I54" s="450">
        <f t="shared" si="2"/>
        <v>100</v>
      </c>
    </row>
    <row r="55" spans="1:9" s="200" customFormat="1" ht="16.5" customHeight="1" x14ac:dyDescent="0.25">
      <c r="A55" s="45" t="s">
        <v>263</v>
      </c>
      <c r="B55" s="461" t="s">
        <v>1033</v>
      </c>
      <c r="C55" s="461" t="s">
        <v>264</v>
      </c>
      <c r="D55" s="461"/>
      <c r="E55" s="461"/>
      <c r="F55" s="461"/>
      <c r="G55" s="10">
        <f>G56</f>
        <v>25</v>
      </c>
      <c r="H55" s="10">
        <f t="shared" ref="H55:H56" si="30">H56</f>
        <v>25</v>
      </c>
      <c r="I55" s="451">
        <f t="shared" si="2"/>
        <v>100</v>
      </c>
    </row>
    <row r="56" spans="1:9" s="200" customFormat="1" ht="18.75" customHeight="1" x14ac:dyDescent="0.25">
      <c r="A56" s="45" t="s">
        <v>466</v>
      </c>
      <c r="B56" s="461" t="s">
        <v>1033</v>
      </c>
      <c r="C56" s="461" t="s">
        <v>264</v>
      </c>
      <c r="D56" s="461" t="s">
        <v>264</v>
      </c>
      <c r="E56" s="461"/>
      <c r="F56" s="461"/>
      <c r="G56" s="10">
        <f>G57</f>
        <v>25</v>
      </c>
      <c r="H56" s="10">
        <f t="shared" si="30"/>
        <v>25</v>
      </c>
      <c r="I56" s="451">
        <f t="shared" si="2"/>
        <v>100</v>
      </c>
    </row>
    <row r="57" spans="1:9" ht="47.25" x14ac:dyDescent="0.25">
      <c r="A57" s="226" t="s">
        <v>1034</v>
      </c>
      <c r="B57" s="454" t="s">
        <v>1048</v>
      </c>
      <c r="C57" s="461" t="s">
        <v>264</v>
      </c>
      <c r="D57" s="461" t="s">
        <v>264</v>
      </c>
      <c r="E57" s="454"/>
      <c r="F57" s="461"/>
      <c r="G57" s="451">
        <f t="shared" ref="G57:H58" si="31">G58</f>
        <v>25</v>
      </c>
      <c r="H57" s="451">
        <f t="shared" si="31"/>
        <v>25</v>
      </c>
      <c r="I57" s="451">
        <f t="shared" si="2"/>
        <v>100</v>
      </c>
    </row>
    <row r="58" spans="1:9" ht="15.75" x14ac:dyDescent="0.25">
      <c r="A58" s="458" t="s">
        <v>248</v>
      </c>
      <c r="B58" s="454" t="s">
        <v>1048</v>
      </c>
      <c r="C58" s="461" t="s">
        <v>264</v>
      </c>
      <c r="D58" s="461" t="s">
        <v>264</v>
      </c>
      <c r="E58" s="454" t="s">
        <v>249</v>
      </c>
      <c r="F58" s="461"/>
      <c r="G58" s="451">
        <f>G59</f>
        <v>25</v>
      </c>
      <c r="H58" s="451">
        <f t="shared" si="31"/>
        <v>25</v>
      </c>
      <c r="I58" s="451">
        <f t="shared" si="2"/>
        <v>100</v>
      </c>
    </row>
    <row r="59" spans="1:9" ht="32.25" customHeight="1" x14ac:dyDescent="0.25">
      <c r="A59" s="458" t="s">
        <v>1197</v>
      </c>
      <c r="B59" s="454" t="s">
        <v>1048</v>
      </c>
      <c r="C59" s="461" t="s">
        <v>264</v>
      </c>
      <c r="D59" s="461" t="s">
        <v>264</v>
      </c>
      <c r="E59" s="454" t="s">
        <v>1196</v>
      </c>
      <c r="F59" s="461"/>
      <c r="G59" s="10">
        <f>'Пр.4 ведом.21'!G360</f>
        <v>25</v>
      </c>
      <c r="H59" s="10">
        <f>'Пр.4 ведом.21'!H360</f>
        <v>25</v>
      </c>
      <c r="I59" s="451">
        <f t="shared" si="2"/>
        <v>100</v>
      </c>
    </row>
    <row r="60" spans="1:9" s="200" customFormat="1" ht="47.25" x14ac:dyDescent="0.25">
      <c r="A60" s="45" t="s">
        <v>261</v>
      </c>
      <c r="B60" s="454" t="s">
        <v>1048</v>
      </c>
      <c r="C60" s="461" t="s">
        <v>264</v>
      </c>
      <c r="D60" s="461" t="s">
        <v>264</v>
      </c>
      <c r="E60" s="461" t="s">
        <v>1196</v>
      </c>
      <c r="F60" s="461" t="s">
        <v>627</v>
      </c>
      <c r="G60" s="451">
        <f>G59</f>
        <v>25</v>
      </c>
      <c r="H60" s="451">
        <f t="shared" ref="H60" si="32">H59</f>
        <v>25</v>
      </c>
      <c r="I60" s="451">
        <f t="shared" si="2"/>
        <v>100</v>
      </c>
    </row>
    <row r="61" spans="1:9" ht="31.5" hidden="1" x14ac:dyDescent="0.25">
      <c r="A61" s="58" t="s">
        <v>1399</v>
      </c>
      <c r="B61" s="7" t="s">
        <v>353</v>
      </c>
      <c r="C61" s="7"/>
      <c r="D61" s="7"/>
      <c r="E61" s="7"/>
      <c r="F61" s="7"/>
      <c r="G61" s="59">
        <f>G62</f>
        <v>0</v>
      </c>
      <c r="H61" s="59">
        <f t="shared" ref="H61:H62" si="33">H62</f>
        <v>0</v>
      </c>
      <c r="I61" s="451" t="e">
        <f t="shared" si="2"/>
        <v>#DIV/0!</v>
      </c>
    </row>
    <row r="62" spans="1:9" s="200" customFormat="1" ht="31.5" hidden="1" x14ac:dyDescent="0.25">
      <c r="A62" s="456" t="s">
        <v>905</v>
      </c>
      <c r="B62" s="457" t="s">
        <v>904</v>
      </c>
      <c r="C62" s="7"/>
      <c r="D62" s="7"/>
      <c r="E62" s="7"/>
      <c r="F62" s="7"/>
      <c r="G62" s="59">
        <f>G63</f>
        <v>0</v>
      </c>
      <c r="H62" s="59">
        <f t="shared" si="33"/>
        <v>0</v>
      </c>
      <c r="I62" s="451" t="e">
        <f t="shared" si="2"/>
        <v>#DIV/0!</v>
      </c>
    </row>
    <row r="63" spans="1:9" ht="15.75" hidden="1" x14ac:dyDescent="0.25">
      <c r="A63" s="45" t="s">
        <v>243</v>
      </c>
      <c r="B63" s="461" t="s">
        <v>904</v>
      </c>
      <c r="C63" s="461" t="s">
        <v>244</v>
      </c>
      <c r="D63" s="461"/>
      <c r="E63" s="461"/>
      <c r="F63" s="461"/>
      <c r="G63" s="10">
        <f t="shared" ref="G63:H66" si="34">G64</f>
        <v>0</v>
      </c>
      <c r="H63" s="10">
        <f t="shared" si="34"/>
        <v>0</v>
      </c>
      <c r="I63" s="451" t="e">
        <f t="shared" si="2"/>
        <v>#DIV/0!</v>
      </c>
    </row>
    <row r="64" spans="1:9" ht="15.75" hidden="1" x14ac:dyDescent="0.25">
      <c r="A64" s="45" t="s">
        <v>252</v>
      </c>
      <c r="B64" s="461" t="s">
        <v>904</v>
      </c>
      <c r="C64" s="461" t="s">
        <v>244</v>
      </c>
      <c r="D64" s="461" t="s">
        <v>215</v>
      </c>
      <c r="E64" s="461"/>
      <c r="F64" s="461"/>
      <c r="G64" s="10">
        <f>G65</f>
        <v>0</v>
      </c>
      <c r="H64" s="10">
        <f t="shared" si="34"/>
        <v>0</v>
      </c>
      <c r="I64" s="451" t="e">
        <f t="shared" si="2"/>
        <v>#DIV/0!</v>
      </c>
    </row>
    <row r="65" spans="1:9" ht="31.5" hidden="1" x14ac:dyDescent="0.25">
      <c r="A65" s="458" t="s">
        <v>824</v>
      </c>
      <c r="B65" s="454" t="s">
        <v>906</v>
      </c>
      <c r="C65" s="461" t="s">
        <v>244</v>
      </c>
      <c r="D65" s="461" t="s">
        <v>215</v>
      </c>
      <c r="E65" s="461"/>
      <c r="F65" s="461"/>
      <c r="G65" s="10">
        <f t="shared" si="34"/>
        <v>0</v>
      </c>
      <c r="H65" s="10">
        <f t="shared" si="34"/>
        <v>0</v>
      </c>
      <c r="I65" s="451" t="e">
        <f t="shared" si="2"/>
        <v>#DIV/0!</v>
      </c>
    </row>
    <row r="66" spans="1:9" ht="15.75" hidden="1" x14ac:dyDescent="0.25">
      <c r="A66" s="29" t="s">
        <v>248</v>
      </c>
      <c r="B66" s="454" t="s">
        <v>906</v>
      </c>
      <c r="C66" s="461" t="s">
        <v>244</v>
      </c>
      <c r="D66" s="461" t="s">
        <v>215</v>
      </c>
      <c r="E66" s="461" t="s">
        <v>249</v>
      </c>
      <c r="F66" s="461"/>
      <c r="G66" s="10">
        <f t="shared" si="34"/>
        <v>0</v>
      </c>
      <c r="H66" s="10">
        <f t="shared" si="34"/>
        <v>0</v>
      </c>
      <c r="I66" s="451" t="e">
        <f t="shared" si="2"/>
        <v>#DIV/0!</v>
      </c>
    </row>
    <row r="67" spans="1:9" ht="31.5" hidden="1" x14ac:dyDescent="0.25">
      <c r="A67" s="29" t="s">
        <v>250</v>
      </c>
      <c r="B67" s="454" t="s">
        <v>906</v>
      </c>
      <c r="C67" s="461" t="s">
        <v>244</v>
      </c>
      <c r="D67" s="461" t="s">
        <v>215</v>
      </c>
      <c r="E67" s="461" t="s">
        <v>251</v>
      </c>
      <c r="F67" s="461"/>
      <c r="G67" s="10">
        <f>'Пр.4 ведом.21'!G472</f>
        <v>0</v>
      </c>
      <c r="H67" s="10">
        <f>'Пр.4 ведом.21'!H472</f>
        <v>0</v>
      </c>
      <c r="I67" s="451" t="e">
        <f t="shared" si="2"/>
        <v>#DIV/0!</v>
      </c>
    </row>
    <row r="68" spans="1:9" ht="47.25" hidden="1" x14ac:dyDescent="0.25">
      <c r="A68" s="45" t="s">
        <v>261</v>
      </c>
      <c r="B68" s="454" t="s">
        <v>906</v>
      </c>
      <c r="C68" s="461" t="s">
        <v>244</v>
      </c>
      <c r="D68" s="461" t="s">
        <v>215</v>
      </c>
      <c r="E68" s="461" t="s">
        <v>251</v>
      </c>
      <c r="F68" s="461" t="s">
        <v>627</v>
      </c>
      <c r="G68" s="10">
        <f t="shared" ref="G68:H68" si="35">G61</f>
        <v>0</v>
      </c>
      <c r="H68" s="10">
        <f t="shared" si="35"/>
        <v>0</v>
      </c>
      <c r="I68" s="451" t="e">
        <f t="shared" si="2"/>
        <v>#DIV/0!</v>
      </c>
    </row>
    <row r="69" spans="1:9" s="200" customFormat="1" ht="54" hidden="1" customHeight="1" x14ac:dyDescent="0.25">
      <c r="A69" s="462" t="s">
        <v>1400</v>
      </c>
      <c r="B69" s="7" t="s">
        <v>356</v>
      </c>
      <c r="C69" s="7"/>
      <c r="D69" s="7"/>
      <c r="E69" s="7"/>
      <c r="F69" s="7"/>
      <c r="G69" s="59">
        <f>G70+G77+G84+G91</f>
        <v>0</v>
      </c>
      <c r="H69" s="59">
        <f t="shared" ref="H69" si="36">H70+H77+H84+H91</f>
        <v>0</v>
      </c>
      <c r="I69" s="451" t="e">
        <f t="shared" si="2"/>
        <v>#DIV/0!</v>
      </c>
    </row>
    <row r="70" spans="1:9" s="200" customFormat="1" ht="47.25" hidden="1" x14ac:dyDescent="0.25">
      <c r="A70" s="210" t="s">
        <v>1043</v>
      </c>
      <c r="B70" s="457" t="s">
        <v>907</v>
      </c>
      <c r="C70" s="7"/>
      <c r="D70" s="7"/>
      <c r="E70" s="7"/>
      <c r="F70" s="7"/>
      <c r="G70" s="59">
        <f>G71</f>
        <v>0</v>
      </c>
      <c r="H70" s="59">
        <f t="shared" ref="H70:H74" si="37">H71</f>
        <v>0</v>
      </c>
      <c r="I70" s="451" t="e">
        <f t="shared" si="2"/>
        <v>#DIV/0!</v>
      </c>
    </row>
    <row r="71" spans="1:9" s="200" customFormat="1" ht="15.75" hidden="1" x14ac:dyDescent="0.25">
      <c r="A71" s="45" t="s">
        <v>232</v>
      </c>
      <c r="B71" s="461" t="s">
        <v>907</v>
      </c>
      <c r="C71" s="461" t="s">
        <v>150</v>
      </c>
      <c r="D71" s="461"/>
      <c r="E71" s="461"/>
      <c r="F71" s="461"/>
      <c r="G71" s="10">
        <f>G72</f>
        <v>0</v>
      </c>
      <c r="H71" s="10">
        <f t="shared" si="37"/>
        <v>0</v>
      </c>
      <c r="I71" s="451" t="e">
        <f t="shared" si="2"/>
        <v>#DIV/0!</v>
      </c>
    </row>
    <row r="72" spans="1:9" s="200" customFormat="1" ht="15.75" hidden="1" x14ac:dyDescent="0.25">
      <c r="A72" s="45" t="s">
        <v>237</v>
      </c>
      <c r="B72" s="461" t="s">
        <v>907</v>
      </c>
      <c r="C72" s="461" t="s">
        <v>150</v>
      </c>
      <c r="D72" s="461" t="s">
        <v>238</v>
      </c>
      <c r="E72" s="461"/>
      <c r="F72" s="461"/>
      <c r="G72" s="10">
        <f>G73</f>
        <v>0</v>
      </c>
      <c r="H72" s="10">
        <f t="shared" si="37"/>
        <v>0</v>
      </c>
      <c r="I72" s="451" t="e">
        <f t="shared" si="2"/>
        <v>#DIV/0!</v>
      </c>
    </row>
    <row r="73" spans="1:9" s="200" customFormat="1" ht="47.25" hidden="1" x14ac:dyDescent="0.25">
      <c r="A73" s="458" t="s">
        <v>375</v>
      </c>
      <c r="B73" s="454" t="s">
        <v>1317</v>
      </c>
      <c r="C73" s="461" t="s">
        <v>150</v>
      </c>
      <c r="D73" s="461" t="s">
        <v>238</v>
      </c>
      <c r="E73" s="461"/>
      <c r="F73" s="461"/>
      <c r="G73" s="10">
        <f>G74</f>
        <v>0</v>
      </c>
      <c r="H73" s="10">
        <f t="shared" si="37"/>
        <v>0</v>
      </c>
      <c r="I73" s="451" t="e">
        <f t="shared" si="2"/>
        <v>#DIV/0!</v>
      </c>
    </row>
    <row r="74" spans="1:9" s="200" customFormat="1" ht="15.75" hidden="1" x14ac:dyDescent="0.25">
      <c r="A74" s="458" t="s">
        <v>248</v>
      </c>
      <c r="B74" s="454" t="s">
        <v>1317</v>
      </c>
      <c r="C74" s="461" t="s">
        <v>150</v>
      </c>
      <c r="D74" s="461" t="s">
        <v>238</v>
      </c>
      <c r="E74" s="461" t="s">
        <v>249</v>
      </c>
      <c r="F74" s="461"/>
      <c r="G74" s="10">
        <f>G75</f>
        <v>0</v>
      </c>
      <c r="H74" s="10">
        <f t="shared" si="37"/>
        <v>0</v>
      </c>
      <c r="I74" s="451" t="e">
        <f t="shared" si="2"/>
        <v>#DIV/0!</v>
      </c>
    </row>
    <row r="75" spans="1:9" s="200" customFormat="1" ht="31.5" hidden="1" x14ac:dyDescent="0.25">
      <c r="A75" s="458" t="s">
        <v>250</v>
      </c>
      <c r="B75" s="454" t="s">
        <v>1317</v>
      </c>
      <c r="C75" s="461" t="s">
        <v>150</v>
      </c>
      <c r="D75" s="461" t="s">
        <v>238</v>
      </c>
      <c r="E75" s="461" t="s">
        <v>251</v>
      </c>
      <c r="F75" s="461"/>
      <c r="G75" s="10">
        <f>'Пр.4 ведом.21'!G281</f>
        <v>0</v>
      </c>
      <c r="H75" s="10">
        <f>'Пр.4 ведом.21'!H281</f>
        <v>0</v>
      </c>
      <c r="I75" s="451" t="e">
        <f t="shared" ref="I75:I138" si="38">H75/G75*100</f>
        <v>#DIV/0!</v>
      </c>
    </row>
    <row r="76" spans="1:9" s="200" customFormat="1" ht="47.25" hidden="1" x14ac:dyDescent="0.25">
      <c r="A76" s="45" t="s">
        <v>261</v>
      </c>
      <c r="B76" s="454" t="s">
        <v>1317</v>
      </c>
      <c r="C76" s="461" t="s">
        <v>150</v>
      </c>
      <c r="D76" s="461" t="s">
        <v>238</v>
      </c>
      <c r="E76" s="461" t="s">
        <v>251</v>
      </c>
      <c r="F76" s="461" t="s">
        <v>627</v>
      </c>
      <c r="G76" s="10">
        <f>G75</f>
        <v>0</v>
      </c>
      <c r="H76" s="10">
        <f t="shared" ref="H76" si="39">H75</f>
        <v>0</v>
      </c>
      <c r="I76" s="451" t="e">
        <f t="shared" si="38"/>
        <v>#DIV/0!</v>
      </c>
    </row>
    <row r="77" spans="1:9" s="200" customFormat="1" ht="31.5" hidden="1" x14ac:dyDescent="0.25">
      <c r="A77" s="456" t="s">
        <v>1041</v>
      </c>
      <c r="B77" s="7" t="s">
        <v>1200</v>
      </c>
      <c r="C77" s="7"/>
      <c r="D77" s="7"/>
      <c r="E77" s="7"/>
      <c r="F77" s="7"/>
      <c r="G77" s="59">
        <f>G78</f>
        <v>0</v>
      </c>
      <c r="H77" s="59">
        <f t="shared" ref="H77:H81" si="40">H78</f>
        <v>0</v>
      </c>
      <c r="I77" s="451" t="e">
        <f t="shared" si="38"/>
        <v>#DIV/0!</v>
      </c>
    </row>
    <row r="78" spans="1:9" s="200" customFormat="1" ht="15.75" hidden="1" x14ac:dyDescent="0.25">
      <c r="A78" s="45" t="s">
        <v>232</v>
      </c>
      <c r="B78" s="461" t="s">
        <v>1200</v>
      </c>
      <c r="C78" s="461" t="s">
        <v>150</v>
      </c>
      <c r="D78" s="461"/>
      <c r="E78" s="461"/>
      <c r="F78" s="461"/>
      <c r="G78" s="10">
        <f>G79</f>
        <v>0</v>
      </c>
      <c r="H78" s="10">
        <f t="shared" si="40"/>
        <v>0</v>
      </c>
      <c r="I78" s="451" t="e">
        <f t="shared" si="38"/>
        <v>#DIV/0!</v>
      </c>
    </row>
    <row r="79" spans="1:9" s="200" customFormat="1" ht="15.75" hidden="1" x14ac:dyDescent="0.25">
      <c r="A79" s="45" t="s">
        <v>237</v>
      </c>
      <c r="B79" s="461" t="s">
        <v>1200</v>
      </c>
      <c r="C79" s="461" t="s">
        <v>150</v>
      </c>
      <c r="D79" s="461" t="s">
        <v>238</v>
      </c>
      <c r="E79" s="461"/>
      <c r="F79" s="461"/>
      <c r="G79" s="10">
        <f>G80</f>
        <v>0</v>
      </c>
      <c r="H79" s="10">
        <f t="shared" si="40"/>
        <v>0</v>
      </c>
      <c r="I79" s="451" t="e">
        <f t="shared" si="38"/>
        <v>#DIV/0!</v>
      </c>
    </row>
    <row r="80" spans="1:9" s="200" customFormat="1" ht="110.25" hidden="1" x14ac:dyDescent="0.25">
      <c r="A80" s="458" t="s">
        <v>1509</v>
      </c>
      <c r="B80" s="454" t="s">
        <v>1201</v>
      </c>
      <c r="C80" s="461" t="s">
        <v>150</v>
      </c>
      <c r="D80" s="461" t="s">
        <v>238</v>
      </c>
      <c r="E80" s="461"/>
      <c r="F80" s="461"/>
      <c r="G80" s="10">
        <f>G81</f>
        <v>0</v>
      </c>
      <c r="H80" s="10">
        <f t="shared" si="40"/>
        <v>0</v>
      </c>
      <c r="I80" s="451" t="e">
        <f t="shared" si="38"/>
        <v>#DIV/0!</v>
      </c>
    </row>
    <row r="81" spans="1:9" s="200" customFormat="1" ht="31.5" hidden="1" x14ac:dyDescent="0.25">
      <c r="A81" s="458" t="s">
        <v>272</v>
      </c>
      <c r="B81" s="454" t="s">
        <v>1201</v>
      </c>
      <c r="C81" s="461" t="s">
        <v>150</v>
      </c>
      <c r="D81" s="461" t="s">
        <v>238</v>
      </c>
      <c r="E81" s="461" t="s">
        <v>273</v>
      </c>
      <c r="F81" s="461"/>
      <c r="G81" s="10">
        <f>G82</f>
        <v>0</v>
      </c>
      <c r="H81" s="10">
        <f t="shared" si="40"/>
        <v>0</v>
      </c>
      <c r="I81" s="451" t="e">
        <f t="shared" si="38"/>
        <v>#DIV/0!</v>
      </c>
    </row>
    <row r="82" spans="1:9" s="200" customFormat="1" ht="63" hidden="1" x14ac:dyDescent="0.25">
      <c r="A82" s="458" t="s">
        <v>1090</v>
      </c>
      <c r="B82" s="454" t="s">
        <v>1201</v>
      </c>
      <c r="C82" s="461" t="s">
        <v>150</v>
      </c>
      <c r="D82" s="461" t="s">
        <v>238</v>
      </c>
      <c r="E82" s="461" t="s">
        <v>372</v>
      </c>
      <c r="F82" s="461"/>
      <c r="G82" s="10">
        <f>'Пр.4 ведом.21'!G285</f>
        <v>0</v>
      </c>
      <c r="H82" s="10">
        <f>'Пр.4 ведом.21'!H285</f>
        <v>0</v>
      </c>
      <c r="I82" s="451" t="e">
        <f t="shared" si="38"/>
        <v>#DIV/0!</v>
      </c>
    </row>
    <row r="83" spans="1:9" s="200" customFormat="1" ht="47.25" hidden="1" x14ac:dyDescent="0.25">
      <c r="A83" s="45" t="s">
        <v>261</v>
      </c>
      <c r="B83" s="454" t="s">
        <v>1201</v>
      </c>
      <c r="C83" s="461" t="s">
        <v>150</v>
      </c>
      <c r="D83" s="461" t="s">
        <v>238</v>
      </c>
      <c r="E83" s="461" t="s">
        <v>372</v>
      </c>
      <c r="F83" s="461" t="s">
        <v>627</v>
      </c>
      <c r="G83" s="10">
        <f>G82</f>
        <v>0</v>
      </c>
      <c r="H83" s="10">
        <f t="shared" ref="H83" si="41">H82</f>
        <v>0</v>
      </c>
      <c r="I83" s="451" t="e">
        <f t="shared" si="38"/>
        <v>#DIV/0!</v>
      </c>
    </row>
    <row r="84" spans="1:9" s="200" customFormat="1" ht="31.5" hidden="1" x14ac:dyDescent="0.25">
      <c r="A84" s="456" t="s">
        <v>995</v>
      </c>
      <c r="B84" s="457" t="s">
        <v>1310</v>
      </c>
      <c r="C84" s="7"/>
      <c r="D84" s="7"/>
      <c r="E84" s="7"/>
      <c r="F84" s="7"/>
      <c r="G84" s="59">
        <f>G85</f>
        <v>0</v>
      </c>
      <c r="H84" s="59">
        <f t="shared" ref="H84:H88" si="42">H85</f>
        <v>0</v>
      </c>
      <c r="I84" s="451" t="e">
        <f t="shared" si="38"/>
        <v>#DIV/0!</v>
      </c>
    </row>
    <row r="85" spans="1:9" s="200" customFormat="1" ht="15.75" hidden="1" x14ac:dyDescent="0.25">
      <c r="A85" s="45" t="s">
        <v>232</v>
      </c>
      <c r="B85" s="461" t="s">
        <v>1310</v>
      </c>
      <c r="C85" s="461" t="s">
        <v>150</v>
      </c>
      <c r="D85" s="461"/>
      <c r="E85" s="461"/>
      <c r="F85" s="461"/>
      <c r="G85" s="10">
        <f>G86</f>
        <v>0</v>
      </c>
      <c r="H85" s="10">
        <f t="shared" si="42"/>
        <v>0</v>
      </c>
      <c r="I85" s="451" t="e">
        <f t="shared" si="38"/>
        <v>#DIV/0!</v>
      </c>
    </row>
    <row r="86" spans="1:9" s="200" customFormat="1" ht="15.75" hidden="1" x14ac:dyDescent="0.25">
      <c r="A86" s="45" t="s">
        <v>237</v>
      </c>
      <c r="B86" s="461" t="s">
        <v>1310</v>
      </c>
      <c r="C86" s="461" t="s">
        <v>150</v>
      </c>
      <c r="D86" s="461" t="s">
        <v>238</v>
      </c>
      <c r="E86" s="461"/>
      <c r="F86" s="461"/>
      <c r="G86" s="10">
        <f>G87</f>
        <v>0</v>
      </c>
      <c r="H86" s="10">
        <f t="shared" si="42"/>
        <v>0</v>
      </c>
      <c r="I86" s="451" t="e">
        <f t="shared" si="38"/>
        <v>#DIV/0!</v>
      </c>
    </row>
    <row r="87" spans="1:9" s="200" customFormat="1" ht="31.5" hidden="1" x14ac:dyDescent="0.25">
      <c r="A87" s="247" t="s">
        <v>1044</v>
      </c>
      <c r="B87" s="454" t="s">
        <v>1311</v>
      </c>
      <c r="C87" s="461" t="s">
        <v>150</v>
      </c>
      <c r="D87" s="461" t="s">
        <v>238</v>
      </c>
      <c r="E87" s="461"/>
      <c r="F87" s="461"/>
      <c r="G87" s="10">
        <f>G88</f>
        <v>0</v>
      </c>
      <c r="H87" s="10">
        <f t="shared" si="42"/>
        <v>0</v>
      </c>
      <c r="I87" s="451" t="e">
        <f t="shared" si="38"/>
        <v>#DIV/0!</v>
      </c>
    </row>
    <row r="88" spans="1:9" s="200" customFormat="1" ht="31.5" hidden="1" x14ac:dyDescent="0.25">
      <c r="A88" s="458" t="s">
        <v>131</v>
      </c>
      <c r="B88" s="454" t="s">
        <v>1311</v>
      </c>
      <c r="C88" s="461" t="s">
        <v>150</v>
      </c>
      <c r="D88" s="461" t="s">
        <v>238</v>
      </c>
      <c r="E88" s="461" t="s">
        <v>132</v>
      </c>
      <c r="F88" s="461"/>
      <c r="G88" s="10">
        <f>G89</f>
        <v>0</v>
      </c>
      <c r="H88" s="10">
        <f t="shared" si="42"/>
        <v>0</v>
      </c>
      <c r="I88" s="451" t="e">
        <f t="shared" si="38"/>
        <v>#DIV/0!</v>
      </c>
    </row>
    <row r="89" spans="1:9" s="200" customFormat="1" ht="31.5" hidden="1" x14ac:dyDescent="0.25">
      <c r="A89" s="458" t="s">
        <v>133</v>
      </c>
      <c r="B89" s="454" t="s">
        <v>1311</v>
      </c>
      <c r="C89" s="461" t="s">
        <v>150</v>
      </c>
      <c r="D89" s="461" t="s">
        <v>238</v>
      </c>
      <c r="E89" s="461" t="s">
        <v>134</v>
      </c>
      <c r="F89" s="461"/>
      <c r="G89" s="10">
        <f>'Пр.4 ведом.21'!G289</f>
        <v>0</v>
      </c>
      <c r="H89" s="10">
        <f>'Пр.4 ведом.21'!H289</f>
        <v>0</v>
      </c>
      <c r="I89" s="451" t="e">
        <f t="shared" si="38"/>
        <v>#DIV/0!</v>
      </c>
    </row>
    <row r="90" spans="1:9" s="200" customFormat="1" ht="47.25" hidden="1" x14ac:dyDescent="0.25">
      <c r="A90" s="45" t="s">
        <v>261</v>
      </c>
      <c r="B90" s="454" t="s">
        <v>1311</v>
      </c>
      <c r="C90" s="461" t="s">
        <v>150</v>
      </c>
      <c r="D90" s="461" t="s">
        <v>238</v>
      </c>
      <c r="E90" s="461" t="s">
        <v>134</v>
      </c>
      <c r="F90" s="9" t="s">
        <v>627</v>
      </c>
      <c r="G90" s="10">
        <f>G89</f>
        <v>0</v>
      </c>
      <c r="H90" s="10">
        <f t="shared" ref="H90" si="43">H89</f>
        <v>0</v>
      </c>
      <c r="I90" s="451" t="e">
        <f t="shared" si="38"/>
        <v>#DIV/0!</v>
      </c>
    </row>
    <row r="91" spans="1:9" s="200" customFormat="1" ht="31.5" hidden="1" x14ac:dyDescent="0.25">
      <c r="A91" s="464" t="s">
        <v>1103</v>
      </c>
      <c r="B91" s="457" t="s">
        <v>1202</v>
      </c>
      <c r="C91" s="7"/>
      <c r="D91" s="7"/>
      <c r="E91" s="7"/>
      <c r="F91" s="7"/>
      <c r="G91" s="59">
        <f>G92</f>
        <v>0</v>
      </c>
      <c r="H91" s="59">
        <f t="shared" ref="H91:H95" si="44">H92</f>
        <v>0</v>
      </c>
      <c r="I91" s="451" t="e">
        <f t="shared" si="38"/>
        <v>#DIV/0!</v>
      </c>
    </row>
    <row r="92" spans="1:9" s="200" customFormat="1" ht="15.75" hidden="1" x14ac:dyDescent="0.25">
      <c r="A92" s="45" t="s">
        <v>232</v>
      </c>
      <c r="B92" s="461" t="s">
        <v>1202</v>
      </c>
      <c r="C92" s="461" t="s">
        <v>150</v>
      </c>
      <c r="D92" s="461"/>
      <c r="E92" s="461"/>
      <c r="F92" s="461"/>
      <c r="G92" s="10">
        <f>G93</f>
        <v>0</v>
      </c>
      <c r="H92" s="10">
        <f t="shared" si="44"/>
        <v>0</v>
      </c>
      <c r="I92" s="451" t="e">
        <f t="shared" si="38"/>
        <v>#DIV/0!</v>
      </c>
    </row>
    <row r="93" spans="1:9" s="200" customFormat="1" ht="15.75" hidden="1" x14ac:dyDescent="0.25">
      <c r="A93" s="45" t="s">
        <v>237</v>
      </c>
      <c r="B93" s="461" t="s">
        <v>1202</v>
      </c>
      <c r="C93" s="461" t="s">
        <v>150</v>
      </c>
      <c r="D93" s="461" t="s">
        <v>238</v>
      </c>
      <c r="E93" s="461"/>
      <c r="F93" s="461"/>
      <c r="G93" s="10">
        <f>G94</f>
        <v>0</v>
      </c>
      <c r="H93" s="10">
        <f t="shared" si="44"/>
        <v>0</v>
      </c>
      <c r="I93" s="451" t="e">
        <f t="shared" si="38"/>
        <v>#DIV/0!</v>
      </c>
    </row>
    <row r="94" spans="1:9" s="200" customFormat="1" ht="31.5" hidden="1" x14ac:dyDescent="0.25">
      <c r="A94" s="226" t="s">
        <v>1401</v>
      </c>
      <c r="B94" s="454" t="s">
        <v>1203</v>
      </c>
      <c r="C94" s="461" t="s">
        <v>150</v>
      </c>
      <c r="D94" s="461" t="s">
        <v>238</v>
      </c>
      <c r="E94" s="461"/>
      <c r="F94" s="461"/>
      <c r="G94" s="10">
        <f>G95</f>
        <v>0</v>
      </c>
      <c r="H94" s="10">
        <f t="shared" si="44"/>
        <v>0</v>
      </c>
      <c r="I94" s="451" t="e">
        <f t="shared" si="38"/>
        <v>#DIV/0!</v>
      </c>
    </row>
    <row r="95" spans="1:9" s="200" customFormat="1" ht="31.5" hidden="1" x14ac:dyDescent="0.25">
      <c r="A95" s="458" t="s">
        <v>131</v>
      </c>
      <c r="B95" s="454" t="s">
        <v>1203</v>
      </c>
      <c r="C95" s="461" t="s">
        <v>150</v>
      </c>
      <c r="D95" s="461" t="s">
        <v>238</v>
      </c>
      <c r="E95" s="461" t="s">
        <v>132</v>
      </c>
      <c r="F95" s="461"/>
      <c r="G95" s="10">
        <f>G96</f>
        <v>0</v>
      </c>
      <c r="H95" s="10">
        <f t="shared" si="44"/>
        <v>0</v>
      </c>
      <c r="I95" s="451" t="e">
        <f t="shared" si="38"/>
        <v>#DIV/0!</v>
      </c>
    </row>
    <row r="96" spans="1:9" s="200" customFormat="1" ht="31.5" hidden="1" x14ac:dyDescent="0.25">
      <c r="A96" s="458" t="s">
        <v>133</v>
      </c>
      <c r="B96" s="454" t="s">
        <v>1203</v>
      </c>
      <c r="C96" s="461" t="s">
        <v>150</v>
      </c>
      <c r="D96" s="461" t="s">
        <v>238</v>
      </c>
      <c r="E96" s="461" t="s">
        <v>134</v>
      </c>
      <c r="F96" s="461"/>
      <c r="G96" s="10">
        <f>'Пр.4 ведом.21'!G293</f>
        <v>0</v>
      </c>
      <c r="H96" s="10">
        <f>'Пр.4 ведом.21'!H293</f>
        <v>0</v>
      </c>
      <c r="I96" s="451" t="e">
        <f t="shared" si="38"/>
        <v>#DIV/0!</v>
      </c>
    </row>
    <row r="97" spans="1:9" s="200" customFormat="1" ht="47.25" hidden="1" x14ac:dyDescent="0.25">
      <c r="A97" s="45" t="s">
        <v>261</v>
      </c>
      <c r="B97" s="454" t="s">
        <v>1203</v>
      </c>
      <c r="C97" s="461" t="s">
        <v>150</v>
      </c>
      <c r="D97" s="461" t="s">
        <v>238</v>
      </c>
      <c r="E97" s="461" t="s">
        <v>134</v>
      </c>
      <c r="F97" s="9" t="s">
        <v>627</v>
      </c>
      <c r="G97" s="10">
        <f>G96</f>
        <v>0</v>
      </c>
      <c r="H97" s="10">
        <f t="shared" ref="H97" si="45">H96</f>
        <v>0</v>
      </c>
      <c r="I97" s="451" t="e">
        <f t="shared" si="38"/>
        <v>#DIV/0!</v>
      </c>
    </row>
    <row r="98" spans="1:9" s="200" customFormat="1" ht="78.75" x14ac:dyDescent="0.25">
      <c r="A98" s="462" t="s">
        <v>1351</v>
      </c>
      <c r="B98" s="7" t="s">
        <v>359</v>
      </c>
      <c r="C98" s="7"/>
      <c r="D98" s="7"/>
      <c r="E98" s="7"/>
      <c r="F98" s="8"/>
      <c r="G98" s="59">
        <f>G99</f>
        <v>637.9</v>
      </c>
      <c r="H98" s="59">
        <f t="shared" ref="H98:H99" si="46">H99</f>
        <v>616.995</v>
      </c>
      <c r="I98" s="450">
        <f t="shared" si="38"/>
        <v>96.722840570622353</v>
      </c>
    </row>
    <row r="99" spans="1:9" s="200" customFormat="1" ht="63" x14ac:dyDescent="0.25">
      <c r="A99" s="245" t="s">
        <v>1045</v>
      </c>
      <c r="B99" s="7" t="s">
        <v>909</v>
      </c>
      <c r="C99" s="7"/>
      <c r="D99" s="7"/>
      <c r="E99" s="7"/>
      <c r="F99" s="8"/>
      <c r="G99" s="59">
        <f>G100</f>
        <v>637.9</v>
      </c>
      <c r="H99" s="59">
        <f t="shared" si="46"/>
        <v>616.995</v>
      </c>
      <c r="I99" s="450">
        <f t="shared" si="38"/>
        <v>96.722840570622353</v>
      </c>
    </row>
    <row r="100" spans="1:9" s="200" customFormat="1" ht="15.75" x14ac:dyDescent="0.25">
      <c r="A100" s="45" t="s">
        <v>117</v>
      </c>
      <c r="B100" s="461" t="s">
        <v>909</v>
      </c>
      <c r="C100" s="461" t="s">
        <v>118</v>
      </c>
      <c r="D100" s="461"/>
      <c r="E100" s="461"/>
      <c r="F100" s="9"/>
      <c r="G100" s="10">
        <f t="shared" ref="G100:H103" si="47">G101</f>
        <v>637.9</v>
      </c>
      <c r="H100" s="10">
        <f t="shared" si="47"/>
        <v>616.995</v>
      </c>
      <c r="I100" s="451">
        <f t="shared" si="38"/>
        <v>96.722840570622353</v>
      </c>
    </row>
    <row r="101" spans="1:9" s="200" customFormat="1" ht="15.75" x14ac:dyDescent="0.25">
      <c r="A101" s="45" t="s">
        <v>139</v>
      </c>
      <c r="B101" s="461" t="s">
        <v>909</v>
      </c>
      <c r="C101" s="461" t="s">
        <v>118</v>
      </c>
      <c r="D101" s="461" t="s">
        <v>140</v>
      </c>
      <c r="E101" s="461"/>
      <c r="F101" s="9"/>
      <c r="G101" s="10">
        <f>G102+G106</f>
        <v>637.9</v>
      </c>
      <c r="H101" s="10">
        <f t="shared" ref="H101" si="48">H102+H106</f>
        <v>616.995</v>
      </c>
      <c r="I101" s="451">
        <f t="shared" si="38"/>
        <v>96.722840570622353</v>
      </c>
    </row>
    <row r="102" spans="1:9" s="200" customFormat="1" ht="31.5" x14ac:dyDescent="0.25">
      <c r="A102" s="98" t="s">
        <v>1096</v>
      </c>
      <c r="B102" s="461" t="s">
        <v>1199</v>
      </c>
      <c r="C102" s="461" t="s">
        <v>118</v>
      </c>
      <c r="D102" s="461" t="s">
        <v>140</v>
      </c>
      <c r="E102" s="461"/>
      <c r="F102" s="9"/>
      <c r="G102" s="10">
        <f t="shared" si="47"/>
        <v>447.29999999999995</v>
      </c>
      <c r="H102" s="10">
        <f t="shared" si="47"/>
        <v>426.39499999999998</v>
      </c>
      <c r="I102" s="451">
        <f t="shared" si="38"/>
        <v>95.326402861614127</v>
      </c>
    </row>
    <row r="103" spans="1:9" s="200" customFormat="1" ht="31.5" x14ac:dyDescent="0.25">
      <c r="A103" s="29" t="s">
        <v>131</v>
      </c>
      <c r="B103" s="461" t="s">
        <v>1199</v>
      </c>
      <c r="C103" s="461" t="s">
        <v>118</v>
      </c>
      <c r="D103" s="461" t="s">
        <v>140</v>
      </c>
      <c r="E103" s="461" t="s">
        <v>132</v>
      </c>
      <c r="F103" s="9"/>
      <c r="G103" s="10">
        <f t="shared" si="47"/>
        <v>447.29999999999995</v>
      </c>
      <c r="H103" s="10">
        <f t="shared" si="47"/>
        <v>426.39499999999998</v>
      </c>
      <c r="I103" s="451">
        <f t="shared" si="38"/>
        <v>95.326402861614127</v>
      </c>
    </row>
    <row r="104" spans="1:9" s="200" customFormat="1" ht="31.5" x14ac:dyDescent="0.25">
      <c r="A104" s="29" t="s">
        <v>133</v>
      </c>
      <c r="B104" s="461" t="s">
        <v>1199</v>
      </c>
      <c r="C104" s="461" t="s">
        <v>118</v>
      </c>
      <c r="D104" s="461" t="s">
        <v>140</v>
      </c>
      <c r="E104" s="461" t="s">
        <v>134</v>
      </c>
      <c r="F104" s="9"/>
      <c r="G104" s="10">
        <f>'Пр.4 ведом.21'!G248</f>
        <v>447.29999999999995</v>
      </c>
      <c r="H104" s="10">
        <f>'Пр.4 ведом.21'!H248</f>
        <v>426.39499999999998</v>
      </c>
      <c r="I104" s="451">
        <f t="shared" si="38"/>
        <v>95.326402861614127</v>
      </c>
    </row>
    <row r="105" spans="1:9" s="200" customFormat="1" ht="47.25" x14ac:dyDescent="0.25">
      <c r="A105" s="45" t="s">
        <v>261</v>
      </c>
      <c r="B105" s="461" t="s">
        <v>1199</v>
      </c>
      <c r="C105" s="461" t="s">
        <v>118</v>
      </c>
      <c r="D105" s="461" t="s">
        <v>140</v>
      </c>
      <c r="E105" s="461" t="s">
        <v>134</v>
      </c>
      <c r="F105" s="9" t="s">
        <v>627</v>
      </c>
      <c r="G105" s="10">
        <f>G104</f>
        <v>447.29999999999995</v>
      </c>
      <c r="H105" s="10">
        <f t="shared" ref="H105" si="49">H104</f>
        <v>426.39499999999998</v>
      </c>
      <c r="I105" s="451">
        <f t="shared" si="38"/>
        <v>95.326402861614127</v>
      </c>
    </row>
    <row r="106" spans="1:9" s="436" customFormat="1" ht="31.5" x14ac:dyDescent="0.25">
      <c r="A106" s="45" t="s">
        <v>1649</v>
      </c>
      <c r="B106" s="461" t="s">
        <v>1693</v>
      </c>
      <c r="C106" s="461" t="s">
        <v>118</v>
      </c>
      <c r="D106" s="461" t="s">
        <v>140</v>
      </c>
      <c r="E106" s="461"/>
      <c r="F106" s="9"/>
      <c r="G106" s="10">
        <f>G107</f>
        <v>190.6</v>
      </c>
      <c r="H106" s="10">
        <f t="shared" ref="H106:H107" si="50">H107</f>
        <v>190.6</v>
      </c>
      <c r="I106" s="451">
        <f t="shared" si="38"/>
        <v>100</v>
      </c>
    </row>
    <row r="107" spans="1:9" s="436" customFormat="1" ht="31.5" x14ac:dyDescent="0.25">
      <c r="A107" s="29" t="s">
        <v>131</v>
      </c>
      <c r="B107" s="461" t="s">
        <v>1693</v>
      </c>
      <c r="C107" s="461" t="s">
        <v>118</v>
      </c>
      <c r="D107" s="461" t="s">
        <v>140</v>
      </c>
      <c r="E107" s="461" t="s">
        <v>132</v>
      </c>
      <c r="F107" s="9"/>
      <c r="G107" s="10">
        <f>G108</f>
        <v>190.6</v>
      </c>
      <c r="H107" s="10">
        <f t="shared" si="50"/>
        <v>190.6</v>
      </c>
      <c r="I107" s="451">
        <f t="shared" si="38"/>
        <v>100</v>
      </c>
    </row>
    <row r="108" spans="1:9" s="436" customFormat="1" ht="31.5" x14ac:dyDescent="0.25">
      <c r="A108" s="29" t="s">
        <v>133</v>
      </c>
      <c r="B108" s="461" t="s">
        <v>1693</v>
      </c>
      <c r="C108" s="461" t="s">
        <v>118</v>
      </c>
      <c r="D108" s="461" t="s">
        <v>140</v>
      </c>
      <c r="E108" s="461" t="s">
        <v>134</v>
      </c>
      <c r="F108" s="9"/>
      <c r="G108" s="10">
        <f>'Пр.4 ведом.21'!G251</f>
        <v>190.6</v>
      </c>
      <c r="H108" s="10">
        <f>'Пр.4 ведом.21'!H251</f>
        <v>190.6</v>
      </c>
      <c r="I108" s="451">
        <f t="shared" si="38"/>
        <v>100</v>
      </c>
    </row>
    <row r="109" spans="1:9" s="436" customFormat="1" ht="47.25" x14ac:dyDescent="0.25">
      <c r="A109" s="45" t="s">
        <v>261</v>
      </c>
      <c r="B109" s="461" t="s">
        <v>1693</v>
      </c>
      <c r="C109" s="461" t="s">
        <v>118</v>
      </c>
      <c r="D109" s="461" t="s">
        <v>140</v>
      </c>
      <c r="E109" s="461" t="s">
        <v>134</v>
      </c>
      <c r="F109" s="9" t="s">
        <v>627</v>
      </c>
      <c r="G109" s="10">
        <f>G108</f>
        <v>190.6</v>
      </c>
      <c r="H109" s="10">
        <f t="shared" ref="H109" si="51">H108</f>
        <v>190.6</v>
      </c>
      <c r="I109" s="451">
        <f t="shared" si="38"/>
        <v>100</v>
      </c>
    </row>
    <row r="110" spans="1:9" ht="39.200000000000003" customHeight="1" x14ac:dyDescent="0.25">
      <c r="A110" s="58" t="s">
        <v>629</v>
      </c>
      <c r="B110" s="7" t="s">
        <v>362</v>
      </c>
      <c r="C110" s="7"/>
      <c r="D110" s="7"/>
      <c r="E110" s="7"/>
      <c r="F110" s="7"/>
      <c r="G110" s="59">
        <f>G111+G121+G131</f>
        <v>1907</v>
      </c>
      <c r="H110" s="59">
        <f t="shared" ref="H110" si="52">H111+H121+H131</f>
        <v>1165.9850000000001</v>
      </c>
      <c r="I110" s="450">
        <f t="shared" si="38"/>
        <v>61.142370214997385</v>
      </c>
    </row>
    <row r="111" spans="1:9" s="200" customFormat="1" ht="31.5" x14ac:dyDescent="0.25">
      <c r="A111" s="456" t="s">
        <v>1038</v>
      </c>
      <c r="B111" s="457" t="s">
        <v>913</v>
      </c>
      <c r="C111" s="461"/>
      <c r="D111" s="461"/>
      <c r="E111" s="461"/>
      <c r="F111" s="461"/>
      <c r="G111" s="59">
        <f>G112</f>
        <v>1030</v>
      </c>
      <c r="H111" s="59">
        <f t="shared" ref="H111" si="53">H112</f>
        <v>668.01499999999999</v>
      </c>
      <c r="I111" s="450">
        <f t="shared" si="38"/>
        <v>64.855825242718453</v>
      </c>
    </row>
    <row r="112" spans="1:9" ht="15.75" x14ac:dyDescent="0.25">
      <c r="A112" s="45" t="s">
        <v>243</v>
      </c>
      <c r="B112" s="461" t="s">
        <v>913</v>
      </c>
      <c r="C112" s="461" t="s">
        <v>244</v>
      </c>
      <c r="D112" s="461"/>
      <c r="E112" s="461"/>
      <c r="F112" s="461"/>
      <c r="G112" s="10">
        <f t="shared" ref="G112:H118" si="54">G113</f>
        <v>1030</v>
      </c>
      <c r="H112" s="10">
        <f t="shared" si="54"/>
        <v>668.01499999999999</v>
      </c>
      <c r="I112" s="451">
        <f t="shared" si="38"/>
        <v>64.855825242718453</v>
      </c>
    </row>
    <row r="113" spans="1:9" ht="15.75" x14ac:dyDescent="0.25">
      <c r="A113" s="45" t="s">
        <v>252</v>
      </c>
      <c r="B113" s="461" t="s">
        <v>913</v>
      </c>
      <c r="C113" s="461" t="s">
        <v>244</v>
      </c>
      <c r="D113" s="461" t="s">
        <v>215</v>
      </c>
      <c r="E113" s="461"/>
      <c r="F113" s="461"/>
      <c r="G113" s="10">
        <f>G114</f>
        <v>1030</v>
      </c>
      <c r="H113" s="10">
        <f t="shared" si="54"/>
        <v>668.01499999999999</v>
      </c>
      <c r="I113" s="451">
        <f t="shared" si="38"/>
        <v>64.855825242718453</v>
      </c>
    </row>
    <row r="114" spans="1:9" ht="47.25" x14ac:dyDescent="0.25">
      <c r="A114" s="98" t="s">
        <v>1039</v>
      </c>
      <c r="B114" s="454" t="s">
        <v>1225</v>
      </c>
      <c r="C114" s="461" t="s">
        <v>244</v>
      </c>
      <c r="D114" s="461" t="s">
        <v>215</v>
      </c>
      <c r="E114" s="461"/>
      <c r="F114" s="461"/>
      <c r="G114" s="10">
        <f>G118+G115</f>
        <v>1030</v>
      </c>
      <c r="H114" s="10">
        <f t="shared" ref="H114" si="55">H118+H115</f>
        <v>668.01499999999999</v>
      </c>
      <c r="I114" s="451">
        <f t="shared" si="38"/>
        <v>64.855825242718453</v>
      </c>
    </row>
    <row r="115" spans="1:9" s="200" customFormat="1" ht="31.5" x14ac:dyDescent="0.25">
      <c r="A115" s="29" t="s">
        <v>131</v>
      </c>
      <c r="B115" s="454" t="s">
        <v>1225</v>
      </c>
      <c r="C115" s="461" t="s">
        <v>244</v>
      </c>
      <c r="D115" s="461" t="s">
        <v>215</v>
      </c>
      <c r="E115" s="461" t="s">
        <v>132</v>
      </c>
      <c r="F115" s="461"/>
      <c r="G115" s="10">
        <f>G116</f>
        <v>400</v>
      </c>
      <c r="H115" s="10">
        <f t="shared" ref="H115" si="56">H116</f>
        <v>297.71499999999997</v>
      </c>
      <c r="I115" s="451">
        <f t="shared" si="38"/>
        <v>74.428749999999994</v>
      </c>
    </row>
    <row r="116" spans="1:9" s="200" customFormat="1" ht="31.5" x14ac:dyDescent="0.25">
      <c r="A116" s="29" t="s">
        <v>133</v>
      </c>
      <c r="B116" s="454" t="s">
        <v>1225</v>
      </c>
      <c r="C116" s="461" t="s">
        <v>244</v>
      </c>
      <c r="D116" s="461" t="s">
        <v>215</v>
      </c>
      <c r="E116" s="461" t="s">
        <v>134</v>
      </c>
      <c r="F116" s="461"/>
      <c r="G116" s="10">
        <f>'Пр.4 ведом.21'!G477</f>
        <v>400</v>
      </c>
      <c r="H116" s="10">
        <f>'Пр.4 ведом.21'!H477</f>
        <v>297.71499999999997</v>
      </c>
      <c r="I116" s="451">
        <f t="shared" si="38"/>
        <v>74.428749999999994</v>
      </c>
    </row>
    <row r="117" spans="1:9" s="200" customFormat="1" ht="47.25" x14ac:dyDescent="0.25">
      <c r="A117" s="45" t="s">
        <v>261</v>
      </c>
      <c r="B117" s="454" t="s">
        <v>1225</v>
      </c>
      <c r="C117" s="461" t="s">
        <v>244</v>
      </c>
      <c r="D117" s="461" t="s">
        <v>215</v>
      </c>
      <c r="E117" s="461" t="s">
        <v>134</v>
      </c>
      <c r="F117" s="461" t="s">
        <v>627</v>
      </c>
      <c r="G117" s="10">
        <f>G116</f>
        <v>400</v>
      </c>
      <c r="H117" s="10">
        <f t="shared" ref="H117" si="57">H116</f>
        <v>297.71499999999997</v>
      </c>
      <c r="I117" s="451">
        <f t="shared" si="38"/>
        <v>74.428749999999994</v>
      </c>
    </row>
    <row r="118" spans="1:9" ht="15.75" x14ac:dyDescent="0.25">
      <c r="A118" s="458" t="s">
        <v>248</v>
      </c>
      <c r="B118" s="454" t="s">
        <v>1225</v>
      </c>
      <c r="C118" s="461" t="s">
        <v>244</v>
      </c>
      <c r="D118" s="461" t="s">
        <v>215</v>
      </c>
      <c r="E118" s="461" t="s">
        <v>249</v>
      </c>
      <c r="F118" s="461"/>
      <c r="G118" s="10">
        <f t="shared" si="54"/>
        <v>630</v>
      </c>
      <c r="H118" s="10">
        <f t="shared" si="54"/>
        <v>370.3</v>
      </c>
      <c r="I118" s="451">
        <f t="shared" si="38"/>
        <v>58.777777777777786</v>
      </c>
    </row>
    <row r="119" spans="1:9" ht="31.5" x14ac:dyDescent="0.25">
      <c r="A119" s="458" t="s">
        <v>348</v>
      </c>
      <c r="B119" s="454" t="s">
        <v>1225</v>
      </c>
      <c r="C119" s="461" t="s">
        <v>244</v>
      </c>
      <c r="D119" s="461" t="s">
        <v>215</v>
      </c>
      <c r="E119" s="461" t="s">
        <v>349</v>
      </c>
      <c r="F119" s="461"/>
      <c r="G119" s="10">
        <f>'Пр.4 ведом.21'!G479</f>
        <v>630</v>
      </c>
      <c r="H119" s="10">
        <f>'Пр.4 ведом.21'!H479</f>
        <v>370.3</v>
      </c>
      <c r="I119" s="451">
        <f t="shared" si="38"/>
        <v>58.777777777777786</v>
      </c>
    </row>
    <row r="120" spans="1:9" ht="47.25" x14ac:dyDescent="0.25">
      <c r="A120" s="45" t="s">
        <v>261</v>
      </c>
      <c r="B120" s="454" t="s">
        <v>1225</v>
      </c>
      <c r="C120" s="461" t="s">
        <v>244</v>
      </c>
      <c r="D120" s="461" t="s">
        <v>215</v>
      </c>
      <c r="E120" s="461" t="s">
        <v>349</v>
      </c>
      <c r="F120" s="461" t="s">
        <v>627</v>
      </c>
      <c r="G120" s="10">
        <f>G119</f>
        <v>630</v>
      </c>
      <c r="H120" s="10">
        <f t="shared" ref="H120" si="58">H119</f>
        <v>370.3</v>
      </c>
      <c r="I120" s="451">
        <f t="shared" si="38"/>
        <v>58.777777777777786</v>
      </c>
    </row>
    <row r="121" spans="1:9" s="200" customFormat="1" ht="31.5" x14ac:dyDescent="0.25">
      <c r="A121" s="456" t="s">
        <v>1402</v>
      </c>
      <c r="B121" s="457" t="s">
        <v>1227</v>
      </c>
      <c r="C121" s="7"/>
      <c r="D121" s="7"/>
      <c r="E121" s="7"/>
      <c r="F121" s="7"/>
      <c r="G121" s="59">
        <f>G122</f>
        <v>257</v>
      </c>
      <c r="H121" s="59">
        <f t="shared" ref="H121" si="59">H122</f>
        <v>190</v>
      </c>
      <c r="I121" s="450">
        <f t="shared" si="38"/>
        <v>73.929961089494171</v>
      </c>
    </row>
    <row r="122" spans="1:9" s="200" customFormat="1" ht="15.75" x14ac:dyDescent="0.25">
      <c r="A122" s="45" t="s">
        <v>243</v>
      </c>
      <c r="B122" s="461" t="s">
        <v>1227</v>
      </c>
      <c r="C122" s="461" t="s">
        <v>244</v>
      </c>
      <c r="D122" s="461"/>
      <c r="E122" s="461"/>
      <c r="F122" s="461"/>
      <c r="G122" s="10">
        <f t="shared" ref="G122:H123" si="60">G123</f>
        <v>257</v>
      </c>
      <c r="H122" s="10">
        <f t="shared" si="60"/>
        <v>190</v>
      </c>
      <c r="I122" s="451">
        <f t="shared" si="38"/>
        <v>73.929961089494171</v>
      </c>
    </row>
    <row r="123" spans="1:9" s="200" customFormat="1" ht="15.75" x14ac:dyDescent="0.25">
      <c r="A123" s="45" t="s">
        <v>252</v>
      </c>
      <c r="B123" s="461" t="s">
        <v>1227</v>
      </c>
      <c r="C123" s="461" t="s">
        <v>244</v>
      </c>
      <c r="D123" s="461" t="s">
        <v>215</v>
      </c>
      <c r="E123" s="461"/>
      <c r="F123" s="461"/>
      <c r="G123" s="10">
        <f>G124</f>
        <v>257</v>
      </c>
      <c r="H123" s="10">
        <f t="shared" si="60"/>
        <v>190</v>
      </c>
      <c r="I123" s="451">
        <f t="shared" si="38"/>
        <v>73.929961089494171</v>
      </c>
    </row>
    <row r="124" spans="1:9" s="200" customFormat="1" ht="31.5" x14ac:dyDescent="0.25">
      <c r="A124" s="458" t="s">
        <v>1226</v>
      </c>
      <c r="B124" s="454" t="s">
        <v>1228</v>
      </c>
      <c r="C124" s="461" t="s">
        <v>244</v>
      </c>
      <c r="D124" s="461" t="s">
        <v>215</v>
      </c>
      <c r="E124" s="461"/>
      <c r="F124" s="461"/>
      <c r="G124" s="10">
        <f>G125+G128</f>
        <v>257</v>
      </c>
      <c r="H124" s="10">
        <f t="shared" ref="H124" si="61">H125+H128</f>
        <v>190</v>
      </c>
      <c r="I124" s="451">
        <f t="shared" si="38"/>
        <v>73.929961089494171</v>
      </c>
    </row>
    <row r="125" spans="1:9" s="200" customFormat="1" ht="31.5" hidden="1" x14ac:dyDescent="0.25">
      <c r="A125" s="458" t="s">
        <v>131</v>
      </c>
      <c r="B125" s="454" t="s">
        <v>1228</v>
      </c>
      <c r="C125" s="461" t="s">
        <v>244</v>
      </c>
      <c r="D125" s="461" t="s">
        <v>215</v>
      </c>
      <c r="E125" s="461" t="s">
        <v>132</v>
      </c>
      <c r="F125" s="461"/>
      <c r="G125" s="10">
        <f>G126</f>
        <v>0</v>
      </c>
      <c r="H125" s="10">
        <f t="shared" ref="H125" si="62">H126</f>
        <v>0</v>
      </c>
      <c r="I125" s="451" t="e">
        <f t="shared" si="38"/>
        <v>#DIV/0!</v>
      </c>
    </row>
    <row r="126" spans="1:9" s="200" customFormat="1" ht="31.5" hidden="1" x14ac:dyDescent="0.25">
      <c r="A126" s="458" t="s">
        <v>133</v>
      </c>
      <c r="B126" s="454" t="s">
        <v>1228</v>
      </c>
      <c r="C126" s="461" t="s">
        <v>244</v>
      </c>
      <c r="D126" s="461" t="s">
        <v>215</v>
      </c>
      <c r="E126" s="461" t="s">
        <v>134</v>
      </c>
      <c r="F126" s="461"/>
      <c r="G126" s="10">
        <f>'Пр.4 ведом.21'!G483</f>
        <v>0</v>
      </c>
      <c r="H126" s="10">
        <f>'Пр.4 ведом.21'!H483</f>
        <v>0</v>
      </c>
      <c r="I126" s="451" t="e">
        <f t="shared" si="38"/>
        <v>#DIV/0!</v>
      </c>
    </row>
    <row r="127" spans="1:9" s="200" customFormat="1" ht="47.25" hidden="1" x14ac:dyDescent="0.25">
      <c r="A127" s="45" t="s">
        <v>261</v>
      </c>
      <c r="B127" s="454" t="s">
        <v>1228</v>
      </c>
      <c r="C127" s="461" t="s">
        <v>244</v>
      </c>
      <c r="D127" s="461" t="s">
        <v>215</v>
      </c>
      <c r="E127" s="461" t="s">
        <v>134</v>
      </c>
      <c r="F127" s="461" t="s">
        <v>627</v>
      </c>
      <c r="G127" s="10">
        <f>G126</f>
        <v>0</v>
      </c>
      <c r="H127" s="10">
        <f t="shared" ref="H127" si="63">H126</f>
        <v>0</v>
      </c>
      <c r="I127" s="451" t="e">
        <f t="shared" si="38"/>
        <v>#DIV/0!</v>
      </c>
    </row>
    <row r="128" spans="1:9" s="200" customFormat="1" ht="15.75" x14ac:dyDescent="0.25">
      <c r="A128" s="458" t="s">
        <v>248</v>
      </c>
      <c r="B128" s="454" t="s">
        <v>1228</v>
      </c>
      <c r="C128" s="461" t="s">
        <v>244</v>
      </c>
      <c r="D128" s="461" t="s">
        <v>215</v>
      </c>
      <c r="E128" s="461" t="s">
        <v>249</v>
      </c>
      <c r="F128" s="461"/>
      <c r="G128" s="10">
        <f>G129</f>
        <v>257</v>
      </c>
      <c r="H128" s="10">
        <f t="shared" ref="H128" si="64">H129</f>
        <v>190</v>
      </c>
      <c r="I128" s="451">
        <f t="shared" si="38"/>
        <v>73.929961089494171</v>
      </c>
    </row>
    <row r="129" spans="1:11" s="200" customFormat="1" ht="31.5" x14ac:dyDescent="0.25">
      <c r="A129" s="458" t="s">
        <v>348</v>
      </c>
      <c r="B129" s="454" t="s">
        <v>1228</v>
      </c>
      <c r="C129" s="461" t="s">
        <v>244</v>
      </c>
      <c r="D129" s="461" t="s">
        <v>215</v>
      </c>
      <c r="E129" s="461" t="s">
        <v>349</v>
      </c>
      <c r="F129" s="461"/>
      <c r="G129" s="10">
        <f>'Пр.4 ведом.21'!G485</f>
        <v>257</v>
      </c>
      <c r="H129" s="10">
        <f>'Пр.4 ведом.21'!H485</f>
        <v>190</v>
      </c>
      <c r="I129" s="451">
        <f t="shared" si="38"/>
        <v>73.929961089494171</v>
      </c>
    </row>
    <row r="130" spans="1:11" s="200" customFormat="1" ht="47.25" x14ac:dyDescent="0.25">
      <c r="A130" s="45" t="s">
        <v>261</v>
      </c>
      <c r="B130" s="454" t="s">
        <v>1228</v>
      </c>
      <c r="C130" s="461" t="s">
        <v>244</v>
      </c>
      <c r="D130" s="461" t="s">
        <v>215</v>
      </c>
      <c r="E130" s="461" t="s">
        <v>349</v>
      </c>
      <c r="F130" s="461" t="s">
        <v>627</v>
      </c>
      <c r="G130" s="10">
        <f>G129</f>
        <v>257</v>
      </c>
      <c r="H130" s="10">
        <f t="shared" ref="H130" si="65">H129</f>
        <v>190</v>
      </c>
      <c r="I130" s="451">
        <f t="shared" si="38"/>
        <v>73.929961089494171</v>
      </c>
    </row>
    <row r="131" spans="1:11" s="200" customFormat="1" ht="31.5" x14ac:dyDescent="0.25">
      <c r="A131" s="456" t="s">
        <v>997</v>
      </c>
      <c r="B131" s="457" t="s">
        <v>1222</v>
      </c>
      <c r="C131" s="7"/>
      <c r="D131" s="7"/>
      <c r="E131" s="7"/>
      <c r="F131" s="7"/>
      <c r="G131" s="59">
        <f>G138+G132</f>
        <v>620</v>
      </c>
      <c r="H131" s="59">
        <f t="shared" ref="H131" si="66">H138+H132</f>
        <v>307.97000000000003</v>
      </c>
      <c r="I131" s="450">
        <f t="shared" si="38"/>
        <v>49.672580645161297</v>
      </c>
    </row>
    <row r="132" spans="1:11" s="200" customFormat="1" ht="15.75" x14ac:dyDescent="0.25">
      <c r="A132" s="458" t="s">
        <v>298</v>
      </c>
      <c r="B132" s="454" t="s">
        <v>1222</v>
      </c>
      <c r="C132" s="461" t="s">
        <v>299</v>
      </c>
      <c r="D132" s="461"/>
      <c r="E132" s="7"/>
      <c r="F132" s="7"/>
      <c r="G132" s="10">
        <f>G133</f>
        <v>200</v>
      </c>
      <c r="H132" s="10">
        <f t="shared" ref="H132:H135" si="67">H133</f>
        <v>127.97</v>
      </c>
      <c r="I132" s="451">
        <f t="shared" si="38"/>
        <v>63.984999999999999</v>
      </c>
    </row>
    <row r="133" spans="1:11" s="200" customFormat="1" ht="15.75" x14ac:dyDescent="0.25">
      <c r="A133" s="458" t="s">
        <v>300</v>
      </c>
      <c r="B133" s="454" t="s">
        <v>1222</v>
      </c>
      <c r="C133" s="461" t="s">
        <v>299</v>
      </c>
      <c r="D133" s="461" t="s">
        <v>150</v>
      </c>
      <c r="E133" s="7"/>
      <c r="F133" s="7"/>
      <c r="G133" s="10">
        <f>G134</f>
        <v>200</v>
      </c>
      <c r="H133" s="10">
        <f t="shared" si="67"/>
        <v>127.97</v>
      </c>
      <c r="I133" s="451">
        <f t="shared" si="38"/>
        <v>63.984999999999999</v>
      </c>
    </row>
    <row r="134" spans="1:11" s="200" customFormat="1" ht="31.5" x14ac:dyDescent="0.25">
      <c r="A134" s="458" t="s">
        <v>996</v>
      </c>
      <c r="B134" s="454" t="s">
        <v>1223</v>
      </c>
      <c r="C134" s="461" t="s">
        <v>299</v>
      </c>
      <c r="D134" s="461" t="s">
        <v>150</v>
      </c>
      <c r="E134" s="7"/>
      <c r="F134" s="7"/>
      <c r="G134" s="10">
        <f>G135</f>
        <v>200</v>
      </c>
      <c r="H134" s="10">
        <f t="shared" si="67"/>
        <v>127.97</v>
      </c>
      <c r="I134" s="451">
        <f t="shared" si="38"/>
        <v>63.984999999999999</v>
      </c>
    </row>
    <row r="135" spans="1:11" s="200" customFormat="1" ht="31.5" x14ac:dyDescent="0.25">
      <c r="A135" s="458" t="s">
        <v>131</v>
      </c>
      <c r="B135" s="454" t="s">
        <v>1223</v>
      </c>
      <c r="C135" s="461" t="s">
        <v>299</v>
      </c>
      <c r="D135" s="461" t="s">
        <v>150</v>
      </c>
      <c r="E135" s="461" t="s">
        <v>132</v>
      </c>
      <c r="F135" s="461"/>
      <c r="G135" s="10">
        <f>G136</f>
        <v>200</v>
      </c>
      <c r="H135" s="10">
        <f t="shared" si="67"/>
        <v>127.97</v>
      </c>
      <c r="I135" s="451">
        <f t="shared" si="38"/>
        <v>63.984999999999999</v>
      </c>
    </row>
    <row r="136" spans="1:11" s="200" customFormat="1" ht="31.5" x14ac:dyDescent="0.25">
      <c r="A136" s="458" t="s">
        <v>133</v>
      </c>
      <c r="B136" s="454" t="s">
        <v>1223</v>
      </c>
      <c r="C136" s="461" t="s">
        <v>299</v>
      </c>
      <c r="D136" s="461" t="s">
        <v>150</v>
      </c>
      <c r="E136" s="461" t="s">
        <v>134</v>
      </c>
      <c r="F136" s="461"/>
      <c r="G136" s="10">
        <f>'Пр.4 ведом.21'!G459</f>
        <v>200</v>
      </c>
      <c r="H136" s="10">
        <f>'Пр.4 ведом.21'!H459</f>
        <v>127.97</v>
      </c>
      <c r="I136" s="451">
        <f t="shared" si="38"/>
        <v>63.984999999999999</v>
      </c>
    </row>
    <row r="137" spans="1:11" s="200" customFormat="1" ht="47.25" x14ac:dyDescent="0.25">
      <c r="A137" s="45" t="s">
        <v>261</v>
      </c>
      <c r="B137" s="454" t="s">
        <v>1223</v>
      </c>
      <c r="C137" s="461" t="s">
        <v>299</v>
      </c>
      <c r="D137" s="461" t="s">
        <v>150</v>
      </c>
      <c r="E137" s="461" t="s">
        <v>134</v>
      </c>
      <c r="F137" s="461" t="s">
        <v>627</v>
      </c>
      <c r="G137" s="10">
        <f>G136</f>
        <v>200</v>
      </c>
      <c r="H137" s="10">
        <f t="shared" ref="H137" si="68">H136</f>
        <v>127.97</v>
      </c>
      <c r="I137" s="451">
        <f t="shared" si="38"/>
        <v>63.984999999999999</v>
      </c>
    </row>
    <row r="138" spans="1:11" s="200" customFormat="1" ht="15.75" x14ac:dyDescent="0.25">
      <c r="A138" s="45" t="s">
        <v>243</v>
      </c>
      <c r="B138" s="454" t="s">
        <v>1222</v>
      </c>
      <c r="C138" s="461" t="s">
        <v>244</v>
      </c>
      <c r="D138" s="461"/>
      <c r="E138" s="461"/>
      <c r="F138" s="461"/>
      <c r="G138" s="10">
        <f>G139</f>
        <v>420</v>
      </c>
      <c r="H138" s="10">
        <f t="shared" ref="H138:H141" si="69">H139</f>
        <v>180</v>
      </c>
      <c r="I138" s="451">
        <f t="shared" si="38"/>
        <v>42.857142857142854</v>
      </c>
    </row>
    <row r="139" spans="1:11" s="200" customFormat="1" ht="15.75" x14ac:dyDescent="0.25">
      <c r="A139" s="45" t="s">
        <v>252</v>
      </c>
      <c r="B139" s="454" t="s">
        <v>1222</v>
      </c>
      <c r="C139" s="461" t="s">
        <v>244</v>
      </c>
      <c r="D139" s="461" t="s">
        <v>215</v>
      </c>
      <c r="E139" s="461"/>
      <c r="F139" s="461"/>
      <c r="G139" s="10">
        <f>G140</f>
        <v>420</v>
      </c>
      <c r="H139" s="10">
        <f t="shared" si="69"/>
        <v>180</v>
      </c>
      <c r="I139" s="451">
        <f t="shared" ref="I139:I202" si="70">H139/G139*100</f>
        <v>42.857142857142854</v>
      </c>
    </row>
    <row r="140" spans="1:11" s="200" customFormat="1" ht="15.75" x14ac:dyDescent="0.25">
      <c r="A140" s="458" t="s">
        <v>1036</v>
      </c>
      <c r="B140" s="454" t="s">
        <v>1224</v>
      </c>
      <c r="C140" s="461" t="s">
        <v>244</v>
      </c>
      <c r="D140" s="461" t="s">
        <v>215</v>
      </c>
      <c r="E140" s="461"/>
      <c r="F140" s="461"/>
      <c r="G140" s="10">
        <f>G141</f>
        <v>420</v>
      </c>
      <c r="H140" s="10">
        <f t="shared" si="69"/>
        <v>180</v>
      </c>
      <c r="I140" s="451">
        <f t="shared" si="70"/>
        <v>42.857142857142854</v>
      </c>
    </row>
    <row r="141" spans="1:11" s="200" customFormat="1" ht="15.75" x14ac:dyDescent="0.25">
      <c r="A141" s="458" t="s">
        <v>248</v>
      </c>
      <c r="B141" s="454" t="s">
        <v>1224</v>
      </c>
      <c r="C141" s="461" t="s">
        <v>244</v>
      </c>
      <c r="D141" s="461" t="s">
        <v>215</v>
      </c>
      <c r="E141" s="461" t="s">
        <v>249</v>
      </c>
      <c r="F141" s="461"/>
      <c r="G141" s="10">
        <f>G142</f>
        <v>420</v>
      </c>
      <c r="H141" s="10">
        <f t="shared" si="69"/>
        <v>180</v>
      </c>
      <c r="I141" s="451">
        <f t="shared" si="70"/>
        <v>42.857142857142854</v>
      </c>
    </row>
    <row r="142" spans="1:11" s="200" customFormat="1" ht="31.5" x14ac:dyDescent="0.25">
      <c r="A142" s="458" t="s">
        <v>348</v>
      </c>
      <c r="B142" s="454" t="s">
        <v>1224</v>
      </c>
      <c r="C142" s="461" t="s">
        <v>244</v>
      </c>
      <c r="D142" s="461" t="s">
        <v>215</v>
      </c>
      <c r="E142" s="461" t="s">
        <v>349</v>
      </c>
      <c r="F142" s="461"/>
      <c r="G142" s="10">
        <f>'Пр.4 ведом.21'!G489</f>
        <v>420</v>
      </c>
      <c r="H142" s="10">
        <f>'Пр.4 ведом.21'!H489</f>
        <v>180</v>
      </c>
      <c r="I142" s="451">
        <f t="shared" si="70"/>
        <v>42.857142857142854</v>
      </c>
    </row>
    <row r="143" spans="1:11" s="200" customFormat="1" ht="47.25" x14ac:dyDescent="0.25">
      <c r="A143" s="45" t="s">
        <v>261</v>
      </c>
      <c r="B143" s="454" t="s">
        <v>1224</v>
      </c>
      <c r="C143" s="461" t="s">
        <v>244</v>
      </c>
      <c r="D143" s="461" t="s">
        <v>215</v>
      </c>
      <c r="E143" s="461" t="s">
        <v>349</v>
      </c>
      <c r="F143" s="461" t="s">
        <v>627</v>
      </c>
      <c r="G143" s="10">
        <f>G142</f>
        <v>420</v>
      </c>
      <c r="H143" s="10">
        <f t="shared" ref="H143" si="71">H142</f>
        <v>180</v>
      </c>
      <c r="I143" s="451">
        <f t="shared" si="70"/>
        <v>42.857142857142854</v>
      </c>
    </row>
    <row r="144" spans="1:11" ht="31.5" x14ac:dyDescent="0.25">
      <c r="A144" s="58" t="s">
        <v>1361</v>
      </c>
      <c r="B144" s="7" t="s">
        <v>406</v>
      </c>
      <c r="C144" s="7"/>
      <c r="D144" s="7"/>
      <c r="E144" s="7"/>
      <c r="F144" s="7"/>
      <c r="G144" s="59">
        <f>G145+G166+G223+G256+G263+G292+G299+G306+G313+G320+G367+G327+G334+G374+G341+G348+G360</f>
        <v>369746.57999999996</v>
      </c>
      <c r="H144" s="59">
        <f t="shared" ref="H144" si="72">H145+H166+H223+H256+H263+H292+H299+H306+H313+H320+H367+H327+H334+H374+H341+H348+H360</f>
        <v>263196.65551000001</v>
      </c>
      <c r="I144" s="450">
        <f t="shared" si="70"/>
        <v>71.182985792593414</v>
      </c>
      <c r="K144" s="227"/>
    </row>
    <row r="145" spans="1:9" s="200" customFormat="1" ht="31.5" x14ac:dyDescent="0.25">
      <c r="A145" s="456" t="s">
        <v>937</v>
      </c>
      <c r="B145" s="457" t="s">
        <v>1231</v>
      </c>
      <c r="C145" s="7"/>
      <c r="D145" s="7"/>
      <c r="E145" s="7"/>
      <c r="F145" s="7"/>
      <c r="G145" s="59">
        <f>G146+G153+G158+G162</f>
        <v>85057.55</v>
      </c>
      <c r="H145" s="59">
        <f t="shared" ref="H145" si="73">H146+H153+H158+H162</f>
        <v>51273.855459999999</v>
      </c>
      <c r="I145" s="450">
        <f t="shared" si="70"/>
        <v>60.281368861435581</v>
      </c>
    </row>
    <row r="146" spans="1:9" ht="15.75" x14ac:dyDescent="0.25">
      <c r="A146" s="29" t="s">
        <v>263</v>
      </c>
      <c r="B146" s="461" t="s">
        <v>1231</v>
      </c>
      <c r="C146" s="461" t="s">
        <v>264</v>
      </c>
      <c r="D146" s="461"/>
      <c r="E146" s="461"/>
      <c r="F146" s="461"/>
      <c r="G146" s="10">
        <f>G147</f>
        <v>14838.4</v>
      </c>
      <c r="H146" s="10">
        <f t="shared" ref="H146:H147" si="74">H147</f>
        <v>8713.8919999999998</v>
      </c>
      <c r="I146" s="451">
        <f t="shared" si="70"/>
        <v>58.725280353676943</v>
      </c>
    </row>
    <row r="147" spans="1:9" ht="15.75" x14ac:dyDescent="0.25">
      <c r="A147" s="45" t="s">
        <v>404</v>
      </c>
      <c r="B147" s="461" t="s">
        <v>1231</v>
      </c>
      <c r="C147" s="461" t="s">
        <v>264</v>
      </c>
      <c r="D147" s="461" t="s">
        <v>118</v>
      </c>
      <c r="E147" s="461"/>
      <c r="F147" s="461"/>
      <c r="G147" s="10">
        <f>G148</f>
        <v>14838.4</v>
      </c>
      <c r="H147" s="10">
        <f t="shared" si="74"/>
        <v>8713.8919999999998</v>
      </c>
      <c r="I147" s="451">
        <f t="shared" si="70"/>
        <v>58.725280353676943</v>
      </c>
    </row>
    <row r="148" spans="1:9" ht="47.25" x14ac:dyDescent="0.25">
      <c r="A148" s="458" t="s">
        <v>1230</v>
      </c>
      <c r="B148" s="454" t="s">
        <v>1232</v>
      </c>
      <c r="C148" s="461" t="s">
        <v>264</v>
      </c>
      <c r="D148" s="461" t="s">
        <v>118</v>
      </c>
      <c r="E148" s="461"/>
      <c r="F148" s="461"/>
      <c r="G148" s="10">
        <f t="shared" ref="G148:H149" si="75">G149</f>
        <v>14838.4</v>
      </c>
      <c r="H148" s="10">
        <f t="shared" si="75"/>
        <v>8713.8919999999998</v>
      </c>
      <c r="I148" s="451">
        <f t="shared" si="70"/>
        <v>58.725280353676943</v>
      </c>
    </row>
    <row r="149" spans="1:9" ht="31.5" x14ac:dyDescent="0.25">
      <c r="A149" s="458" t="s">
        <v>272</v>
      </c>
      <c r="B149" s="454" t="s">
        <v>1232</v>
      </c>
      <c r="C149" s="461" t="s">
        <v>264</v>
      </c>
      <c r="D149" s="461" t="s">
        <v>118</v>
      </c>
      <c r="E149" s="461" t="s">
        <v>273</v>
      </c>
      <c r="F149" s="461"/>
      <c r="G149" s="10">
        <f t="shared" si="75"/>
        <v>14838.4</v>
      </c>
      <c r="H149" s="10">
        <f t="shared" si="75"/>
        <v>8713.8919999999998</v>
      </c>
      <c r="I149" s="451">
        <f t="shared" si="70"/>
        <v>58.725280353676943</v>
      </c>
    </row>
    <row r="150" spans="1:9" ht="15.75" x14ac:dyDescent="0.25">
      <c r="A150" s="458" t="s">
        <v>274</v>
      </c>
      <c r="B150" s="454" t="s">
        <v>1232</v>
      </c>
      <c r="C150" s="461" t="s">
        <v>264</v>
      </c>
      <c r="D150" s="461" t="s">
        <v>118</v>
      </c>
      <c r="E150" s="461" t="s">
        <v>275</v>
      </c>
      <c r="F150" s="461"/>
      <c r="G150" s="451">
        <f>'Пр.4 ведом.21'!G575</f>
        <v>14838.4</v>
      </c>
      <c r="H150" s="451">
        <f>'Пр.4 ведом.21'!H575</f>
        <v>8713.8919999999998</v>
      </c>
      <c r="I150" s="451">
        <f t="shared" si="70"/>
        <v>58.725280353676943</v>
      </c>
    </row>
    <row r="151" spans="1:9" s="200" customFormat="1" ht="31.5" x14ac:dyDescent="0.25">
      <c r="A151" s="29" t="s">
        <v>403</v>
      </c>
      <c r="B151" s="454" t="s">
        <v>1232</v>
      </c>
      <c r="C151" s="461" t="s">
        <v>264</v>
      </c>
      <c r="D151" s="461" t="s">
        <v>118</v>
      </c>
      <c r="E151" s="461" t="s">
        <v>275</v>
      </c>
      <c r="F151" s="461" t="s">
        <v>636</v>
      </c>
      <c r="G151" s="10">
        <f>G150</f>
        <v>14838.4</v>
      </c>
      <c r="H151" s="10">
        <f t="shared" ref="H151" si="76">H150</f>
        <v>8713.8919999999998</v>
      </c>
      <c r="I151" s="451">
        <f t="shared" si="70"/>
        <v>58.725280353676943</v>
      </c>
    </row>
    <row r="152" spans="1:9" s="200" customFormat="1" ht="15.75" x14ac:dyDescent="0.25">
      <c r="A152" s="29" t="s">
        <v>425</v>
      </c>
      <c r="B152" s="461" t="s">
        <v>1231</v>
      </c>
      <c r="C152" s="461" t="s">
        <v>264</v>
      </c>
      <c r="D152" s="461" t="s">
        <v>213</v>
      </c>
      <c r="E152" s="461"/>
      <c r="F152" s="461"/>
      <c r="G152" s="10">
        <f>G153</f>
        <v>31571.8</v>
      </c>
      <c r="H152" s="10">
        <f t="shared" ref="H152:H154" si="77">H153</f>
        <v>18895.798999999999</v>
      </c>
      <c r="I152" s="451">
        <f t="shared" si="70"/>
        <v>59.850242938318374</v>
      </c>
    </row>
    <row r="153" spans="1:9" s="200" customFormat="1" ht="31.5" x14ac:dyDescent="0.25">
      <c r="A153" s="458" t="s">
        <v>427</v>
      </c>
      <c r="B153" s="454" t="s">
        <v>1250</v>
      </c>
      <c r="C153" s="461" t="s">
        <v>264</v>
      </c>
      <c r="D153" s="461" t="s">
        <v>213</v>
      </c>
      <c r="E153" s="461"/>
      <c r="F153" s="461"/>
      <c r="G153" s="451">
        <f>G154</f>
        <v>31571.8</v>
      </c>
      <c r="H153" s="451">
        <f t="shared" si="77"/>
        <v>18895.798999999999</v>
      </c>
      <c r="I153" s="451">
        <f t="shared" si="70"/>
        <v>59.850242938318374</v>
      </c>
    </row>
    <row r="154" spans="1:9" s="200" customFormat="1" ht="31.5" x14ac:dyDescent="0.25">
      <c r="A154" s="458" t="s">
        <v>272</v>
      </c>
      <c r="B154" s="454" t="s">
        <v>1250</v>
      </c>
      <c r="C154" s="461" t="s">
        <v>264</v>
      </c>
      <c r="D154" s="461" t="s">
        <v>213</v>
      </c>
      <c r="E154" s="461" t="s">
        <v>273</v>
      </c>
      <c r="F154" s="461"/>
      <c r="G154" s="451">
        <f>G155</f>
        <v>31571.8</v>
      </c>
      <c r="H154" s="451">
        <f t="shared" si="77"/>
        <v>18895.798999999999</v>
      </c>
      <c r="I154" s="451">
        <f t="shared" si="70"/>
        <v>59.850242938318374</v>
      </c>
    </row>
    <row r="155" spans="1:9" s="200" customFormat="1" ht="15.75" x14ac:dyDescent="0.25">
      <c r="A155" s="458" t="s">
        <v>274</v>
      </c>
      <c r="B155" s="454" t="s">
        <v>1250</v>
      </c>
      <c r="C155" s="461" t="s">
        <v>264</v>
      </c>
      <c r="D155" s="461" t="s">
        <v>213</v>
      </c>
      <c r="E155" s="461" t="s">
        <v>275</v>
      </c>
      <c r="F155" s="461"/>
      <c r="G155" s="451">
        <f>'Пр.4 ведом.21'!G643</f>
        <v>31571.8</v>
      </c>
      <c r="H155" s="451">
        <f>'Пр.4 ведом.21'!H643</f>
        <v>18895.798999999999</v>
      </c>
      <c r="I155" s="451">
        <f t="shared" si="70"/>
        <v>59.850242938318374</v>
      </c>
    </row>
    <row r="156" spans="1:9" s="200" customFormat="1" ht="31.5" x14ac:dyDescent="0.25">
      <c r="A156" s="29" t="s">
        <v>403</v>
      </c>
      <c r="B156" s="454" t="s">
        <v>1250</v>
      </c>
      <c r="C156" s="461" t="s">
        <v>264</v>
      </c>
      <c r="D156" s="461" t="s">
        <v>213</v>
      </c>
      <c r="E156" s="461" t="s">
        <v>275</v>
      </c>
      <c r="F156" s="461" t="s">
        <v>636</v>
      </c>
      <c r="G156" s="10">
        <f>G155</f>
        <v>31571.8</v>
      </c>
      <c r="H156" s="10">
        <f t="shared" ref="H156" si="78">H155</f>
        <v>18895.798999999999</v>
      </c>
      <c r="I156" s="451">
        <f t="shared" si="70"/>
        <v>59.850242938318374</v>
      </c>
    </row>
    <row r="157" spans="1:9" s="200" customFormat="1" ht="15.75" x14ac:dyDescent="0.25">
      <c r="A157" s="29" t="s">
        <v>265</v>
      </c>
      <c r="B157" s="461" t="s">
        <v>1231</v>
      </c>
      <c r="C157" s="461" t="s">
        <v>264</v>
      </c>
      <c r="D157" s="461" t="s">
        <v>215</v>
      </c>
      <c r="E157" s="461"/>
      <c r="F157" s="461"/>
      <c r="G157" s="451">
        <f>G158+G162</f>
        <v>38647.350000000006</v>
      </c>
      <c r="H157" s="451">
        <f t="shared" ref="H157" si="79">H158+H162</f>
        <v>23664.16446</v>
      </c>
      <c r="I157" s="451">
        <f t="shared" si="70"/>
        <v>61.231014442128625</v>
      </c>
    </row>
    <row r="158" spans="1:9" s="200" customFormat="1" ht="47.25" x14ac:dyDescent="0.25">
      <c r="A158" s="29" t="s">
        <v>270</v>
      </c>
      <c r="B158" s="454" t="s">
        <v>1261</v>
      </c>
      <c r="C158" s="461" t="s">
        <v>264</v>
      </c>
      <c r="D158" s="461" t="s">
        <v>215</v>
      </c>
      <c r="E158" s="7"/>
      <c r="F158" s="7"/>
      <c r="G158" s="10">
        <f t="shared" ref="G158:H159" si="80">G159</f>
        <v>14829.75</v>
      </c>
      <c r="H158" s="10">
        <f t="shared" si="80"/>
        <v>9474.5774600000004</v>
      </c>
      <c r="I158" s="451">
        <f t="shared" si="70"/>
        <v>63.888989767190949</v>
      </c>
    </row>
    <row r="159" spans="1:9" s="200" customFormat="1" ht="31.5" x14ac:dyDescent="0.25">
      <c r="A159" s="29" t="s">
        <v>272</v>
      </c>
      <c r="B159" s="454" t="s">
        <v>1261</v>
      </c>
      <c r="C159" s="461" t="s">
        <v>264</v>
      </c>
      <c r="D159" s="461" t="s">
        <v>215</v>
      </c>
      <c r="E159" s="461" t="s">
        <v>273</v>
      </c>
      <c r="F159" s="461"/>
      <c r="G159" s="10">
        <f t="shared" si="80"/>
        <v>14829.75</v>
      </c>
      <c r="H159" s="10">
        <f t="shared" si="80"/>
        <v>9474.5774600000004</v>
      </c>
      <c r="I159" s="451">
        <f t="shared" si="70"/>
        <v>63.888989767190949</v>
      </c>
    </row>
    <row r="160" spans="1:9" s="200" customFormat="1" ht="15.75" x14ac:dyDescent="0.25">
      <c r="A160" s="29" t="s">
        <v>274</v>
      </c>
      <c r="B160" s="454" t="s">
        <v>1261</v>
      </c>
      <c r="C160" s="461" t="s">
        <v>264</v>
      </c>
      <c r="D160" s="461" t="s">
        <v>215</v>
      </c>
      <c r="E160" s="461" t="s">
        <v>275</v>
      </c>
      <c r="F160" s="461"/>
      <c r="G160" s="451">
        <f>'Пр.4 ведом.21'!G734</f>
        <v>14829.75</v>
      </c>
      <c r="H160" s="451">
        <f>'Пр.4 ведом.21'!H734</f>
        <v>9474.5774600000004</v>
      </c>
      <c r="I160" s="451">
        <f t="shared" si="70"/>
        <v>63.888989767190949</v>
      </c>
    </row>
    <row r="161" spans="1:10" s="200" customFormat="1" ht="31.5" x14ac:dyDescent="0.25">
      <c r="A161" s="29" t="s">
        <v>403</v>
      </c>
      <c r="B161" s="454" t="s">
        <v>1261</v>
      </c>
      <c r="C161" s="461" t="s">
        <v>264</v>
      </c>
      <c r="D161" s="461" t="s">
        <v>215</v>
      </c>
      <c r="E161" s="461" t="s">
        <v>275</v>
      </c>
      <c r="F161" s="461" t="s">
        <v>636</v>
      </c>
      <c r="G161" s="10">
        <f>G160</f>
        <v>14829.75</v>
      </c>
      <c r="H161" s="10">
        <f t="shared" ref="H161" si="81">H160</f>
        <v>9474.5774600000004</v>
      </c>
      <c r="I161" s="451">
        <f t="shared" si="70"/>
        <v>63.888989767190949</v>
      </c>
    </row>
    <row r="162" spans="1:10" s="200" customFormat="1" ht="31.5" x14ac:dyDescent="0.25">
      <c r="A162" s="31" t="s">
        <v>1514</v>
      </c>
      <c r="B162" s="454" t="s">
        <v>1513</v>
      </c>
      <c r="C162" s="454" t="s">
        <v>264</v>
      </c>
      <c r="D162" s="454" t="s">
        <v>215</v>
      </c>
      <c r="E162" s="454"/>
      <c r="F162" s="461"/>
      <c r="G162" s="10">
        <f>G163</f>
        <v>23817.600000000002</v>
      </c>
      <c r="H162" s="10">
        <f t="shared" ref="H162:H163" si="82">H163</f>
        <v>14189.587</v>
      </c>
      <c r="I162" s="451">
        <f t="shared" si="70"/>
        <v>59.576057201397283</v>
      </c>
    </row>
    <row r="163" spans="1:10" s="200" customFormat="1" ht="31.5" x14ac:dyDescent="0.25">
      <c r="A163" s="458" t="s">
        <v>272</v>
      </c>
      <c r="B163" s="454" t="s">
        <v>1513</v>
      </c>
      <c r="C163" s="454" t="s">
        <v>264</v>
      </c>
      <c r="D163" s="454" t="s">
        <v>215</v>
      </c>
      <c r="E163" s="454" t="s">
        <v>273</v>
      </c>
      <c r="F163" s="461"/>
      <c r="G163" s="10">
        <f>G164</f>
        <v>23817.600000000002</v>
      </c>
      <c r="H163" s="10">
        <f t="shared" si="82"/>
        <v>14189.587</v>
      </c>
      <c r="I163" s="451">
        <f t="shared" si="70"/>
        <v>59.576057201397283</v>
      </c>
    </row>
    <row r="164" spans="1:10" s="200" customFormat="1" ht="15.75" x14ac:dyDescent="0.25">
      <c r="A164" s="31" t="s">
        <v>274</v>
      </c>
      <c r="B164" s="454" t="s">
        <v>1513</v>
      </c>
      <c r="C164" s="454" t="s">
        <v>264</v>
      </c>
      <c r="D164" s="454" t="s">
        <v>215</v>
      </c>
      <c r="E164" s="454" t="s">
        <v>275</v>
      </c>
      <c r="F164" s="461"/>
      <c r="G164" s="10">
        <f>'Пр.4 ведом.21'!G737</f>
        <v>23817.600000000002</v>
      </c>
      <c r="H164" s="10">
        <f>'Пр.4 ведом.21'!H737</f>
        <v>14189.587</v>
      </c>
      <c r="I164" s="451">
        <f t="shared" si="70"/>
        <v>59.576057201397283</v>
      </c>
    </row>
    <row r="165" spans="1:10" s="200" customFormat="1" ht="31.5" x14ac:dyDescent="0.25">
      <c r="A165" s="182" t="s">
        <v>403</v>
      </c>
      <c r="B165" s="454" t="s">
        <v>1513</v>
      </c>
      <c r="C165" s="454" t="s">
        <v>264</v>
      </c>
      <c r="D165" s="454" t="s">
        <v>215</v>
      </c>
      <c r="E165" s="454" t="s">
        <v>275</v>
      </c>
      <c r="F165" s="461" t="s">
        <v>636</v>
      </c>
      <c r="G165" s="10">
        <f>G162</f>
        <v>23817.600000000002</v>
      </c>
      <c r="H165" s="10">
        <f t="shared" ref="H165" si="83">H162</f>
        <v>14189.587</v>
      </c>
      <c r="I165" s="451">
        <f t="shared" si="70"/>
        <v>59.576057201397283</v>
      </c>
    </row>
    <row r="166" spans="1:10" s="200" customFormat="1" ht="47.25" x14ac:dyDescent="0.25">
      <c r="A166" s="456" t="s">
        <v>900</v>
      </c>
      <c r="B166" s="457" t="s">
        <v>1233</v>
      </c>
      <c r="C166" s="7"/>
      <c r="D166" s="7"/>
      <c r="E166" s="7"/>
      <c r="F166" s="7"/>
      <c r="G166" s="450">
        <f>G167</f>
        <v>239992.24000000002</v>
      </c>
      <c r="H166" s="450">
        <f t="shared" ref="H166" si="84">H167</f>
        <v>180105.96400000001</v>
      </c>
      <c r="I166" s="450">
        <f t="shared" si="70"/>
        <v>75.04657817269424</v>
      </c>
    </row>
    <row r="167" spans="1:10" s="200" customFormat="1" ht="15.75" x14ac:dyDescent="0.25">
      <c r="A167" s="29" t="s">
        <v>263</v>
      </c>
      <c r="B167" s="461" t="s">
        <v>1233</v>
      </c>
      <c r="C167" s="461" t="s">
        <v>264</v>
      </c>
      <c r="D167" s="461"/>
      <c r="E167" s="461"/>
      <c r="F167" s="461"/>
      <c r="G167" s="10">
        <f>G168+G185+G210</f>
        <v>239992.24000000002</v>
      </c>
      <c r="H167" s="10">
        <f t="shared" ref="H167" si="85">H168+H185+H210</f>
        <v>180105.96400000001</v>
      </c>
      <c r="I167" s="451">
        <f t="shared" si="70"/>
        <v>75.04657817269424</v>
      </c>
    </row>
    <row r="168" spans="1:10" s="200" customFormat="1" ht="15.75" x14ac:dyDescent="0.25">
      <c r="A168" s="45" t="s">
        <v>404</v>
      </c>
      <c r="B168" s="461" t="s">
        <v>1233</v>
      </c>
      <c r="C168" s="461" t="s">
        <v>264</v>
      </c>
      <c r="D168" s="461" t="s">
        <v>118</v>
      </c>
      <c r="E168" s="461"/>
      <c r="F168" s="461"/>
      <c r="G168" s="10">
        <f>G173+G177+G181+G169</f>
        <v>95135.87</v>
      </c>
      <c r="H168" s="10">
        <f t="shared" ref="H168" si="86">H173+H177+H181+H169</f>
        <v>67566.053</v>
      </c>
      <c r="I168" s="451">
        <f t="shared" si="70"/>
        <v>71.020586662002458</v>
      </c>
    </row>
    <row r="169" spans="1:10" s="200" customFormat="1" ht="94.5" x14ac:dyDescent="0.25">
      <c r="A169" s="31" t="s">
        <v>293</v>
      </c>
      <c r="B169" s="454" t="s">
        <v>1393</v>
      </c>
      <c r="C169" s="461" t="s">
        <v>264</v>
      </c>
      <c r="D169" s="461" t="s">
        <v>118</v>
      </c>
      <c r="E169" s="461"/>
      <c r="F169" s="461"/>
      <c r="G169" s="451">
        <f>G170</f>
        <v>3230</v>
      </c>
      <c r="H169" s="451">
        <f t="shared" ref="H169:H170" si="87">H170</f>
        <v>2416</v>
      </c>
      <c r="I169" s="451">
        <f t="shared" si="70"/>
        <v>74.798761609907118</v>
      </c>
      <c r="J169" s="227"/>
    </row>
    <row r="170" spans="1:10" s="200" customFormat="1" ht="31.5" x14ac:dyDescent="0.25">
      <c r="A170" s="458" t="s">
        <v>272</v>
      </c>
      <c r="B170" s="454" t="s">
        <v>1393</v>
      </c>
      <c r="C170" s="461" t="s">
        <v>264</v>
      </c>
      <c r="D170" s="461" t="s">
        <v>118</v>
      </c>
      <c r="E170" s="461" t="s">
        <v>273</v>
      </c>
      <c r="F170" s="461"/>
      <c r="G170" s="451">
        <f>G171</f>
        <v>3230</v>
      </c>
      <c r="H170" s="451">
        <f t="shared" si="87"/>
        <v>2416</v>
      </c>
      <c r="I170" s="451">
        <f t="shared" si="70"/>
        <v>74.798761609907118</v>
      </c>
    </row>
    <row r="171" spans="1:10" s="200" customFormat="1" ht="15.75" x14ac:dyDescent="0.25">
      <c r="A171" s="458" t="s">
        <v>274</v>
      </c>
      <c r="B171" s="454" t="s">
        <v>1393</v>
      </c>
      <c r="C171" s="461" t="s">
        <v>264</v>
      </c>
      <c r="D171" s="461" t="s">
        <v>118</v>
      </c>
      <c r="E171" s="461" t="s">
        <v>275</v>
      </c>
      <c r="F171" s="461"/>
      <c r="G171" s="451">
        <f>'Пр.3 Рд,пр, ЦС,ВР 21'!F513</f>
        <v>3230</v>
      </c>
      <c r="H171" s="451">
        <f>'Пр.3 Рд,пр, ЦС,ВР 21'!G513</f>
        <v>2416</v>
      </c>
      <c r="I171" s="451">
        <f t="shared" si="70"/>
        <v>74.798761609907118</v>
      </c>
    </row>
    <row r="172" spans="1:10" s="200" customFormat="1" ht="31.5" x14ac:dyDescent="0.25">
      <c r="A172" s="29" t="s">
        <v>403</v>
      </c>
      <c r="B172" s="454" t="s">
        <v>1393</v>
      </c>
      <c r="C172" s="461" t="s">
        <v>264</v>
      </c>
      <c r="D172" s="461" t="s">
        <v>118</v>
      </c>
      <c r="E172" s="461" t="s">
        <v>275</v>
      </c>
      <c r="F172" s="461" t="s">
        <v>636</v>
      </c>
      <c r="G172" s="10">
        <f>G171</f>
        <v>3230</v>
      </c>
      <c r="H172" s="10">
        <f t="shared" ref="H172" si="88">H171</f>
        <v>2416</v>
      </c>
      <c r="I172" s="451">
        <f t="shared" si="70"/>
        <v>74.798761609907118</v>
      </c>
    </row>
    <row r="173" spans="1:10" s="200" customFormat="1" ht="63" x14ac:dyDescent="0.25">
      <c r="A173" s="31" t="s">
        <v>289</v>
      </c>
      <c r="B173" s="454" t="s">
        <v>1234</v>
      </c>
      <c r="C173" s="461" t="s">
        <v>264</v>
      </c>
      <c r="D173" s="461" t="s">
        <v>118</v>
      </c>
      <c r="E173" s="461"/>
      <c r="F173" s="461"/>
      <c r="G173" s="451">
        <f>G174</f>
        <v>589</v>
      </c>
      <c r="H173" s="451">
        <f t="shared" ref="H173:H174" si="89">H174</f>
        <v>372</v>
      </c>
      <c r="I173" s="451">
        <f t="shared" si="70"/>
        <v>63.157894736842103</v>
      </c>
      <c r="J173" s="227"/>
    </row>
    <row r="174" spans="1:10" s="200" customFormat="1" ht="31.5" x14ac:dyDescent="0.25">
      <c r="A174" s="458" t="s">
        <v>272</v>
      </c>
      <c r="B174" s="454" t="s">
        <v>1234</v>
      </c>
      <c r="C174" s="461" t="s">
        <v>264</v>
      </c>
      <c r="D174" s="461" t="s">
        <v>118</v>
      </c>
      <c r="E174" s="461" t="s">
        <v>273</v>
      </c>
      <c r="F174" s="461"/>
      <c r="G174" s="451">
        <f>G175</f>
        <v>589</v>
      </c>
      <c r="H174" s="451">
        <f t="shared" si="89"/>
        <v>372</v>
      </c>
      <c r="I174" s="451">
        <f t="shared" si="70"/>
        <v>63.157894736842103</v>
      </c>
      <c r="J174" s="227"/>
    </row>
    <row r="175" spans="1:10" s="200" customFormat="1" ht="15.75" x14ac:dyDescent="0.25">
      <c r="A175" s="458" t="s">
        <v>274</v>
      </c>
      <c r="B175" s="454" t="s">
        <v>1234</v>
      </c>
      <c r="C175" s="461" t="s">
        <v>264</v>
      </c>
      <c r="D175" s="461" t="s">
        <v>118</v>
      </c>
      <c r="E175" s="461" t="s">
        <v>275</v>
      </c>
      <c r="F175" s="461"/>
      <c r="G175" s="451">
        <f>'Пр.3 Рд,пр, ЦС,ВР 21'!F516</f>
        <v>589</v>
      </c>
      <c r="H175" s="451">
        <f>'Пр.3 Рд,пр, ЦС,ВР 21'!G516</f>
        <v>372</v>
      </c>
      <c r="I175" s="451">
        <f t="shared" si="70"/>
        <v>63.157894736842103</v>
      </c>
    </row>
    <row r="176" spans="1:10" s="200" customFormat="1" ht="31.5" x14ac:dyDescent="0.25">
      <c r="A176" s="29" t="s">
        <v>403</v>
      </c>
      <c r="B176" s="454" t="s">
        <v>1234</v>
      </c>
      <c r="C176" s="461" t="s">
        <v>264</v>
      </c>
      <c r="D176" s="461" t="s">
        <v>118</v>
      </c>
      <c r="E176" s="461" t="s">
        <v>275</v>
      </c>
      <c r="F176" s="461" t="s">
        <v>636</v>
      </c>
      <c r="G176" s="10">
        <f>G175</f>
        <v>589</v>
      </c>
      <c r="H176" s="10">
        <f t="shared" ref="H176" si="90">H175</f>
        <v>372</v>
      </c>
      <c r="I176" s="451">
        <f t="shared" si="70"/>
        <v>63.157894736842103</v>
      </c>
    </row>
    <row r="177" spans="1:9" s="200" customFormat="1" ht="63" x14ac:dyDescent="0.25">
      <c r="A177" s="31" t="s">
        <v>291</v>
      </c>
      <c r="B177" s="454" t="s">
        <v>1235</v>
      </c>
      <c r="C177" s="461" t="s">
        <v>264</v>
      </c>
      <c r="D177" s="461" t="s">
        <v>118</v>
      </c>
      <c r="E177" s="461"/>
      <c r="F177" s="461"/>
      <c r="G177" s="451">
        <f>G178</f>
        <v>1497.5</v>
      </c>
      <c r="H177" s="451">
        <f t="shared" ref="H177:H178" si="91">H178</f>
        <v>1062.3800000000001</v>
      </c>
      <c r="I177" s="451">
        <f t="shared" si="70"/>
        <v>70.943572621035074</v>
      </c>
    </row>
    <row r="178" spans="1:9" s="200" customFormat="1" ht="31.5" x14ac:dyDescent="0.25">
      <c r="A178" s="458" t="s">
        <v>272</v>
      </c>
      <c r="B178" s="454" t="s">
        <v>1235</v>
      </c>
      <c r="C178" s="461" t="s">
        <v>264</v>
      </c>
      <c r="D178" s="461" t="s">
        <v>118</v>
      </c>
      <c r="E178" s="461" t="s">
        <v>273</v>
      </c>
      <c r="F178" s="461"/>
      <c r="G178" s="451">
        <f>G179</f>
        <v>1497.5</v>
      </c>
      <c r="H178" s="451">
        <f t="shared" si="91"/>
        <v>1062.3800000000001</v>
      </c>
      <c r="I178" s="451">
        <f t="shared" si="70"/>
        <v>70.943572621035074</v>
      </c>
    </row>
    <row r="179" spans="1:9" s="200" customFormat="1" ht="15.75" x14ac:dyDescent="0.25">
      <c r="A179" s="458" t="s">
        <v>274</v>
      </c>
      <c r="B179" s="454" t="s">
        <v>1235</v>
      </c>
      <c r="C179" s="461" t="s">
        <v>264</v>
      </c>
      <c r="D179" s="461" t="s">
        <v>118</v>
      </c>
      <c r="E179" s="461" t="s">
        <v>275</v>
      </c>
      <c r="F179" s="461"/>
      <c r="G179" s="451">
        <f>'Пр.3 Рд,пр, ЦС,ВР 21'!F519</f>
        <v>1497.5</v>
      </c>
      <c r="H179" s="451">
        <f>'Пр.3 Рд,пр, ЦС,ВР 21'!G519</f>
        <v>1062.3800000000001</v>
      </c>
      <c r="I179" s="451">
        <f t="shared" si="70"/>
        <v>70.943572621035074</v>
      </c>
    </row>
    <row r="180" spans="1:9" s="200" customFormat="1" ht="31.5" x14ac:dyDescent="0.25">
      <c r="A180" s="29" t="s">
        <v>403</v>
      </c>
      <c r="B180" s="454" t="s">
        <v>1235</v>
      </c>
      <c r="C180" s="461" t="s">
        <v>264</v>
      </c>
      <c r="D180" s="461" t="s">
        <v>118</v>
      </c>
      <c r="E180" s="461" t="s">
        <v>275</v>
      </c>
      <c r="F180" s="461" t="s">
        <v>636</v>
      </c>
      <c r="G180" s="10">
        <f>G179</f>
        <v>1497.5</v>
      </c>
      <c r="H180" s="10">
        <f t="shared" ref="H180" si="92">H179</f>
        <v>1062.3800000000001</v>
      </c>
      <c r="I180" s="451">
        <f t="shared" si="70"/>
        <v>70.943572621035074</v>
      </c>
    </row>
    <row r="181" spans="1:9" s="200" customFormat="1" ht="94.5" x14ac:dyDescent="0.25">
      <c r="A181" s="31" t="s">
        <v>1184</v>
      </c>
      <c r="B181" s="454" t="s">
        <v>1236</v>
      </c>
      <c r="C181" s="461" t="s">
        <v>264</v>
      </c>
      <c r="D181" s="461" t="s">
        <v>118</v>
      </c>
      <c r="E181" s="461"/>
      <c r="F181" s="461"/>
      <c r="G181" s="451">
        <f>G182</f>
        <v>89819.37</v>
      </c>
      <c r="H181" s="451">
        <f t="shared" ref="H181:H182" si="93">H182</f>
        <v>63715.673000000003</v>
      </c>
      <c r="I181" s="451">
        <f t="shared" si="70"/>
        <v>70.937563912995614</v>
      </c>
    </row>
    <row r="182" spans="1:9" s="200" customFormat="1" ht="31.5" x14ac:dyDescent="0.25">
      <c r="A182" s="458" t="s">
        <v>272</v>
      </c>
      <c r="B182" s="454" t="s">
        <v>1236</v>
      </c>
      <c r="C182" s="461" t="s">
        <v>264</v>
      </c>
      <c r="D182" s="461" t="s">
        <v>118</v>
      </c>
      <c r="E182" s="461" t="s">
        <v>273</v>
      </c>
      <c r="F182" s="461"/>
      <c r="G182" s="451">
        <f>G183</f>
        <v>89819.37</v>
      </c>
      <c r="H182" s="451">
        <f t="shared" si="93"/>
        <v>63715.673000000003</v>
      </c>
      <c r="I182" s="451">
        <f t="shared" si="70"/>
        <v>70.937563912995614</v>
      </c>
    </row>
    <row r="183" spans="1:9" s="200" customFormat="1" ht="15.75" x14ac:dyDescent="0.25">
      <c r="A183" s="458" t="s">
        <v>274</v>
      </c>
      <c r="B183" s="454" t="s">
        <v>1236</v>
      </c>
      <c r="C183" s="461" t="s">
        <v>264</v>
      </c>
      <c r="D183" s="461" t="s">
        <v>118</v>
      </c>
      <c r="E183" s="461" t="s">
        <v>275</v>
      </c>
      <c r="F183" s="461"/>
      <c r="G183" s="451">
        <f>'Пр.3 Рд,пр, ЦС,ВР 21'!F522</f>
        <v>89819.37</v>
      </c>
      <c r="H183" s="451">
        <f>'Пр.3 Рд,пр, ЦС,ВР 21'!G522</f>
        <v>63715.673000000003</v>
      </c>
      <c r="I183" s="451">
        <f t="shared" si="70"/>
        <v>70.937563912995614</v>
      </c>
    </row>
    <row r="184" spans="1:9" s="200" customFormat="1" ht="31.5" x14ac:dyDescent="0.25">
      <c r="A184" s="29" t="s">
        <v>403</v>
      </c>
      <c r="B184" s="454" t="s">
        <v>1236</v>
      </c>
      <c r="C184" s="461" t="s">
        <v>264</v>
      </c>
      <c r="D184" s="461" t="s">
        <v>118</v>
      </c>
      <c r="E184" s="461" t="s">
        <v>275</v>
      </c>
      <c r="F184" s="461" t="s">
        <v>636</v>
      </c>
      <c r="G184" s="10">
        <f>G183</f>
        <v>89819.37</v>
      </c>
      <c r="H184" s="10">
        <f t="shared" ref="H184" si="94">H183</f>
        <v>63715.673000000003</v>
      </c>
      <c r="I184" s="451">
        <f t="shared" si="70"/>
        <v>70.937563912995614</v>
      </c>
    </row>
    <row r="185" spans="1:9" ht="15.75" x14ac:dyDescent="0.25">
      <c r="A185" s="29" t="s">
        <v>425</v>
      </c>
      <c r="B185" s="461" t="s">
        <v>1233</v>
      </c>
      <c r="C185" s="461" t="s">
        <v>264</v>
      </c>
      <c r="D185" s="461" t="s">
        <v>213</v>
      </c>
      <c r="E185" s="461"/>
      <c r="F185" s="461"/>
      <c r="G185" s="10">
        <f>G194+G198+G202+G206+G190+G186</f>
        <v>142613.37000000002</v>
      </c>
      <c r="H185" s="10">
        <f t="shared" ref="H185" si="95">H194+H198+H202+H206+H190+H186</f>
        <v>110855.711</v>
      </c>
      <c r="I185" s="451">
        <f t="shared" si="70"/>
        <v>77.731639747381308</v>
      </c>
    </row>
    <row r="186" spans="1:9" s="200" customFormat="1" ht="63" x14ac:dyDescent="0.25">
      <c r="A186" s="458" t="s">
        <v>1395</v>
      </c>
      <c r="B186" s="454" t="s">
        <v>1396</v>
      </c>
      <c r="C186" s="461" t="s">
        <v>264</v>
      </c>
      <c r="D186" s="461" t="s">
        <v>213</v>
      </c>
      <c r="E186" s="461"/>
      <c r="F186" s="461"/>
      <c r="G186" s="10">
        <f>G187</f>
        <v>7226.1</v>
      </c>
      <c r="H186" s="10">
        <f t="shared" ref="H186:H187" si="96">H187</f>
        <v>4980.875</v>
      </c>
      <c r="I186" s="451">
        <f t="shared" si="70"/>
        <v>68.928951993468118</v>
      </c>
    </row>
    <row r="187" spans="1:9" s="200" customFormat="1" ht="31.5" x14ac:dyDescent="0.25">
      <c r="A187" s="458" t="s">
        <v>272</v>
      </c>
      <c r="B187" s="454" t="s">
        <v>1396</v>
      </c>
      <c r="C187" s="461" t="s">
        <v>264</v>
      </c>
      <c r="D187" s="461" t="s">
        <v>213</v>
      </c>
      <c r="E187" s="461" t="s">
        <v>273</v>
      </c>
      <c r="F187" s="461"/>
      <c r="G187" s="10">
        <f>G188</f>
        <v>7226.1</v>
      </c>
      <c r="H187" s="10">
        <f t="shared" si="96"/>
        <v>4980.875</v>
      </c>
      <c r="I187" s="451">
        <f t="shared" si="70"/>
        <v>68.928951993468118</v>
      </c>
    </row>
    <row r="188" spans="1:9" s="200" customFormat="1" ht="15.75" x14ac:dyDescent="0.25">
      <c r="A188" s="458" t="s">
        <v>274</v>
      </c>
      <c r="B188" s="454" t="s">
        <v>1396</v>
      </c>
      <c r="C188" s="461" t="s">
        <v>264</v>
      </c>
      <c r="D188" s="461" t="s">
        <v>213</v>
      </c>
      <c r="E188" s="461" t="s">
        <v>275</v>
      </c>
      <c r="F188" s="461"/>
      <c r="G188" s="10">
        <f>'Пр.4 ведом.21'!G647</f>
        <v>7226.1</v>
      </c>
      <c r="H188" s="10">
        <f>'Пр.4 ведом.21'!H647</f>
        <v>4980.875</v>
      </c>
      <c r="I188" s="451">
        <f t="shared" si="70"/>
        <v>68.928951993468118</v>
      </c>
    </row>
    <row r="189" spans="1:9" s="200" customFormat="1" ht="31.5" x14ac:dyDescent="0.25">
      <c r="A189" s="45" t="s">
        <v>403</v>
      </c>
      <c r="B189" s="454" t="s">
        <v>1396</v>
      </c>
      <c r="C189" s="461" t="s">
        <v>264</v>
      </c>
      <c r="D189" s="461" t="s">
        <v>213</v>
      </c>
      <c r="E189" s="461" t="s">
        <v>275</v>
      </c>
      <c r="F189" s="461" t="s">
        <v>636</v>
      </c>
      <c r="G189" s="10">
        <f>G186</f>
        <v>7226.1</v>
      </c>
      <c r="H189" s="10">
        <f t="shared" ref="H189" si="97">H186</f>
        <v>4980.875</v>
      </c>
      <c r="I189" s="451">
        <f t="shared" si="70"/>
        <v>68.928951993468118</v>
      </c>
    </row>
    <row r="190" spans="1:9" s="200" customFormat="1" ht="94.5" x14ac:dyDescent="0.25">
      <c r="A190" s="31" t="s">
        <v>464</v>
      </c>
      <c r="B190" s="454" t="s">
        <v>1393</v>
      </c>
      <c r="C190" s="461" t="s">
        <v>264</v>
      </c>
      <c r="D190" s="461" t="s">
        <v>213</v>
      </c>
      <c r="E190" s="461"/>
      <c r="F190" s="461"/>
      <c r="G190" s="451">
        <f>G191</f>
        <v>4610</v>
      </c>
      <c r="H190" s="451">
        <f t="shared" ref="H190:H191" si="98">H191</f>
        <v>3479.2</v>
      </c>
      <c r="I190" s="451">
        <f t="shared" si="70"/>
        <v>75.470715835140993</v>
      </c>
    </row>
    <row r="191" spans="1:9" s="200" customFormat="1" ht="31.5" x14ac:dyDescent="0.25">
      <c r="A191" s="458" t="s">
        <v>272</v>
      </c>
      <c r="B191" s="454" t="s">
        <v>1393</v>
      </c>
      <c r="C191" s="461" t="s">
        <v>264</v>
      </c>
      <c r="D191" s="461" t="s">
        <v>213</v>
      </c>
      <c r="E191" s="461" t="s">
        <v>273</v>
      </c>
      <c r="F191" s="461"/>
      <c r="G191" s="451">
        <f>G192</f>
        <v>4610</v>
      </c>
      <c r="H191" s="451">
        <f t="shared" si="98"/>
        <v>3479.2</v>
      </c>
      <c r="I191" s="451">
        <f t="shared" si="70"/>
        <v>75.470715835140993</v>
      </c>
    </row>
    <row r="192" spans="1:9" s="200" customFormat="1" ht="15.75" x14ac:dyDescent="0.25">
      <c r="A192" s="458" t="s">
        <v>274</v>
      </c>
      <c r="B192" s="454" t="s">
        <v>1393</v>
      </c>
      <c r="C192" s="461" t="s">
        <v>264</v>
      </c>
      <c r="D192" s="461" t="s">
        <v>213</v>
      </c>
      <c r="E192" s="461" t="s">
        <v>275</v>
      </c>
      <c r="F192" s="461"/>
      <c r="G192" s="451">
        <f>'Пр.3 Рд,пр, ЦС,ВР 21'!F581</f>
        <v>4610</v>
      </c>
      <c r="H192" s="451">
        <f>'Пр.3 Рд,пр, ЦС,ВР 21'!G581</f>
        <v>3479.2</v>
      </c>
      <c r="I192" s="451">
        <f t="shared" si="70"/>
        <v>75.470715835140993</v>
      </c>
    </row>
    <row r="193" spans="1:9" s="200" customFormat="1" ht="31.5" x14ac:dyDescent="0.25">
      <c r="A193" s="29" t="s">
        <v>403</v>
      </c>
      <c r="B193" s="454" t="s">
        <v>1393</v>
      </c>
      <c r="C193" s="461" t="s">
        <v>264</v>
      </c>
      <c r="D193" s="461" t="s">
        <v>213</v>
      </c>
      <c r="E193" s="461" t="s">
        <v>275</v>
      </c>
      <c r="F193" s="461" t="s">
        <v>636</v>
      </c>
      <c r="G193" s="10">
        <f>G192</f>
        <v>4610</v>
      </c>
      <c r="H193" s="10">
        <f t="shared" ref="H193" si="99">H192</f>
        <v>3479.2</v>
      </c>
      <c r="I193" s="451">
        <f t="shared" si="70"/>
        <v>75.470715835140993</v>
      </c>
    </row>
    <row r="194" spans="1:9" s="200" customFormat="1" ht="78.75" x14ac:dyDescent="0.25">
      <c r="A194" s="31" t="s">
        <v>1185</v>
      </c>
      <c r="B194" s="454" t="s">
        <v>1251</v>
      </c>
      <c r="C194" s="461" t="s">
        <v>264</v>
      </c>
      <c r="D194" s="461" t="s">
        <v>213</v>
      </c>
      <c r="E194" s="461"/>
      <c r="F194" s="461"/>
      <c r="G194" s="451">
        <f>G195</f>
        <v>126248.67000000001</v>
      </c>
      <c r="H194" s="451">
        <f t="shared" ref="H194:H195" si="100">H195</f>
        <v>99197.035999999993</v>
      </c>
      <c r="I194" s="451">
        <f t="shared" si="70"/>
        <v>78.572737439531039</v>
      </c>
    </row>
    <row r="195" spans="1:9" s="200" customFormat="1" ht="31.5" x14ac:dyDescent="0.25">
      <c r="A195" s="458" t="s">
        <v>272</v>
      </c>
      <c r="B195" s="454" t="s">
        <v>1251</v>
      </c>
      <c r="C195" s="461" t="s">
        <v>264</v>
      </c>
      <c r="D195" s="461" t="s">
        <v>213</v>
      </c>
      <c r="E195" s="461" t="s">
        <v>273</v>
      </c>
      <c r="F195" s="461"/>
      <c r="G195" s="451">
        <f>G196</f>
        <v>126248.67000000001</v>
      </c>
      <c r="H195" s="451">
        <f t="shared" si="100"/>
        <v>99197.035999999993</v>
      </c>
      <c r="I195" s="451">
        <f t="shared" si="70"/>
        <v>78.572737439531039</v>
      </c>
    </row>
    <row r="196" spans="1:9" s="200" customFormat="1" ht="15.75" x14ac:dyDescent="0.25">
      <c r="A196" s="458" t="s">
        <v>274</v>
      </c>
      <c r="B196" s="454" t="s">
        <v>1251</v>
      </c>
      <c r="C196" s="461" t="s">
        <v>264</v>
      </c>
      <c r="D196" s="461" t="s">
        <v>213</v>
      </c>
      <c r="E196" s="461" t="s">
        <v>275</v>
      </c>
      <c r="F196" s="461"/>
      <c r="G196" s="451">
        <f>'Пр.3 Рд,пр, ЦС,ВР 21'!F584</f>
        <v>126248.67000000001</v>
      </c>
      <c r="H196" s="451">
        <f>'Пр.3 Рд,пр, ЦС,ВР 21'!G584</f>
        <v>99197.035999999993</v>
      </c>
      <c r="I196" s="451">
        <f t="shared" si="70"/>
        <v>78.572737439531039</v>
      </c>
    </row>
    <row r="197" spans="1:9" s="200" customFormat="1" ht="31.5" x14ac:dyDescent="0.25">
      <c r="A197" s="29" t="s">
        <v>403</v>
      </c>
      <c r="B197" s="454" t="s">
        <v>1251</v>
      </c>
      <c r="C197" s="461" t="s">
        <v>264</v>
      </c>
      <c r="D197" s="461" t="s">
        <v>213</v>
      </c>
      <c r="E197" s="461" t="s">
        <v>275</v>
      </c>
      <c r="F197" s="461" t="s">
        <v>636</v>
      </c>
      <c r="G197" s="10">
        <f>G196</f>
        <v>126248.67000000001</v>
      </c>
      <c r="H197" s="10">
        <f t="shared" ref="H197" si="101">H196</f>
        <v>99197.035999999993</v>
      </c>
      <c r="I197" s="451">
        <f t="shared" si="70"/>
        <v>78.572737439531039</v>
      </c>
    </row>
    <row r="198" spans="1:9" s="200" customFormat="1" ht="63" x14ac:dyDescent="0.25">
      <c r="A198" s="31" t="s">
        <v>289</v>
      </c>
      <c r="B198" s="454" t="s">
        <v>1234</v>
      </c>
      <c r="C198" s="461" t="s">
        <v>264</v>
      </c>
      <c r="D198" s="461" t="s">
        <v>213</v>
      </c>
      <c r="E198" s="461"/>
      <c r="F198" s="461"/>
      <c r="G198" s="451">
        <f>G199</f>
        <v>1311</v>
      </c>
      <c r="H198" s="451">
        <f t="shared" ref="H198:H199" si="102">H199</f>
        <v>831.8</v>
      </c>
      <c r="I198" s="451">
        <f t="shared" si="70"/>
        <v>63.447749809305861</v>
      </c>
    </row>
    <row r="199" spans="1:9" s="200" customFormat="1" ht="31.5" x14ac:dyDescent="0.25">
      <c r="A199" s="458" t="s">
        <v>272</v>
      </c>
      <c r="B199" s="454" t="s">
        <v>1234</v>
      </c>
      <c r="C199" s="461" t="s">
        <v>264</v>
      </c>
      <c r="D199" s="461" t="s">
        <v>213</v>
      </c>
      <c r="E199" s="461" t="s">
        <v>273</v>
      </c>
      <c r="F199" s="461"/>
      <c r="G199" s="451">
        <f>G200</f>
        <v>1311</v>
      </c>
      <c r="H199" s="451">
        <f t="shared" si="102"/>
        <v>831.8</v>
      </c>
      <c r="I199" s="451">
        <f t="shared" si="70"/>
        <v>63.447749809305861</v>
      </c>
    </row>
    <row r="200" spans="1:9" s="200" customFormat="1" ht="15.75" x14ac:dyDescent="0.25">
      <c r="A200" s="458" t="s">
        <v>274</v>
      </c>
      <c r="B200" s="454" t="s">
        <v>1234</v>
      </c>
      <c r="C200" s="461" t="s">
        <v>264</v>
      </c>
      <c r="D200" s="461" t="s">
        <v>213</v>
      </c>
      <c r="E200" s="461" t="s">
        <v>275</v>
      </c>
      <c r="F200" s="461"/>
      <c r="G200" s="451">
        <f>'Пр.3 Рд,пр, ЦС,ВР 21'!F587</f>
        <v>1311</v>
      </c>
      <c r="H200" s="451">
        <f>'Пр.3 Рд,пр, ЦС,ВР 21'!G587</f>
        <v>831.8</v>
      </c>
      <c r="I200" s="451">
        <f t="shared" si="70"/>
        <v>63.447749809305861</v>
      </c>
    </row>
    <row r="201" spans="1:9" s="200" customFormat="1" ht="31.5" x14ac:dyDescent="0.25">
      <c r="A201" s="29" t="s">
        <v>403</v>
      </c>
      <c r="B201" s="454" t="s">
        <v>1234</v>
      </c>
      <c r="C201" s="461" t="s">
        <v>264</v>
      </c>
      <c r="D201" s="461" t="s">
        <v>213</v>
      </c>
      <c r="E201" s="461" t="s">
        <v>275</v>
      </c>
      <c r="F201" s="461" t="s">
        <v>636</v>
      </c>
      <c r="G201" s="10">
        <f>G200</f>
        <v>1311</v>
      </c>
      <c r="H201" s="10">
        <f t="shared" ref="H201" si="103">H200</f>
        <v>831.8</v>
      </c>
      <c r="I201" s="451">
        <f t="shared" si="70"/>
        <v>63.447749809305861</v>
      </c>
    </row>
    <row r="202" spans="1:9" s="200" customFormat="1" ht="63" x14ac:dyDescent="0.25">
      <c r="A202" s="31" t="s">
        <v>291</v>
      </c>
      <c r="B202" s="454" t="s">
        <v>1235</v>
      </c>
      <c r="C202" s="461" t="s">
        <v>264</v>
      </c>
      <c r="D202" s="461" t="s">
        <v>213</v>
      </c>
      <c r="E202" s="461"/>
      <c r="F202" s="461"/>
      <c r="G202" s="451">
        <f>G203</f>
        <v>2317.6</v>
      </c>
      <c r="H202" s="451">
        <f t="shared" ref="H202:H203" si="104">H203</f>
        <v>1702</v>
      </c>
      <c r="I202" s="451">
        <f t="shared" si="70"/>
        <v>73.438039351052822</v>
      </c>
    </row>
    <row r="203" spans="1:9" s="200" customFormat="1" ht="31.5" x14ac:dyDescent="0.25">
      <c r="A203" s="458" t="s">
        <v>272</v>
      </c>
      <c r="B203" s="454" t="s">
        <v>1235</v>
      </c>
      <c r="C203" s="461" t="s">
        <v>264</v>
      </c>
      <c r="D203" s="461" t="s">
        <v>213</v>
      </c>
      <c r="E203" s="461" t="s">
        <v>273</v>
      </c>
      <c r="F203" s="461"/>
      <c r="G203" s="451">
        <f>G204</f>
        <v>2317.6</v>
      </c>
      <c r="H203" s="451">
        <f t="shared" si="104"/>
        <v>1702</v>
      </c>
      <c r="I203" s="451">
        <f t="shared" ref="I203:I266" si="105">H203/G203*100</f>
        <v>73.438039351052822</v>
      </c>
    </row>
    <row r="204" spans="1:9" s="200" customFormat="1" ht="15.75" x14ac:dyDescent="0.25">
      <c r="A204" s="458" t="s">
        <v>274</v>
      </c>
      <c r="B204" s="454" t="s">
        <v>1235</v>
      </c>
      <c r="C204" s="461" t="s">
        <v>264</v>
      </c>
      <c r="D204" s="461" t="s">
        <v>213</v>
      </c>
      <c r="E204" s="461" t="s">
        <v>275</v>
      </c>
      <c r="F204" s="461"/>
      <c r="G204" s="451">
        <f>'Пр.3 Рд,пр, ЦС,ВР 21'!F590</f>
        <v>2317.6</v>
      </c>
      <c r="H204" s="451">
        <f>'Пр.3 Рд,пр, ЦС,ВР 21'!G590</f>
        <v>1702</v>
      </c>
      <c r="I204" s="451">
        <f t="shared" si="105"/>
        <v>73.438039351052822</v>
      </c>
    </row>
    <row r="205" spans="1:9" s="200" customFormat="1" ht="31.5" x14ac:dyDescent="0.25">
      <c r="A205" s="29" t="s">
        <v>403</v>
      </c>
      <c r="B205" s="454" t="s">
        <v>1235</v>
      </c>
      <c r="C205" s="461" t="s">
        <v>264</v>
      </c>
      <c r="D205" s="461" t="s">
        <v>213</v>
      </c>
      <c r="E205" s="461" t="s">
        <v>275</v>
      </c>
      <c r="F205" s="461" t="s">
        <v>636</v>
      </c>
      <c r="G205" s="10">
        <f>G204</f>
        <v>2317.6</v>
      </c>
      <c r="H205" s="10">
        <f t="shared" ref="H205" si="106">H204</f>
        <v>1702</v>
      </c>
      <c r="I205" s="451">
        <f t="shared" si="105"/>
        <v>73.438039351052822</v>
      </c>
    </row>
    <row r="206" spans="1:9" s="200" customFormat="1" ht="47.25" x14ac:dyDescent="0.25">
      <c r="A206" s="31" t="s">
        <v>462</v>
      </c>
      <c r="B206" s="454" t="s">
        <v>1252</v>
      </c>
      <c r="C206" s="461" t="s">
        <v>264</v>
      </c>
      <c r="D206" s="461" t="s">
        <v>213</v>
      </c>
      <c r="E206" s="461"/>
      <c r="F206" s="461"/>
      <c r="G206" s="451">
        <f>G207</f>
        <v>900</v>
      </c>
      <c r="H206" s="451">
        <f t="shared" ref="H206:H207" si="107">H207</f>
        <v>664.8</v>
      </c>
      <c r="I206" s="451">
        <f t="shared" si="105"/>
        <v>73.86666666666666</v>
      </c>
    </row>
    <row r="207" spans="1:9" s="200" customFormat="1" ht="31.5" x14ac:dyDescent="0.25">
      <c r="A207" s="458" t="s">
        <v>272</v>
      </c>
      <c r="B207" s="454" t="s">
        <v>1252</v>
      </c>
      <c r="C207" s="461" t="s">
        <v>264</v>
      </c>
      <c r="D207" s="461" t="s">
        <v>213</v>
      </c>
      <c r="E207" s="461" t="s">
        <v>273</v>
      </c>
      <c r="F207" s="461"/>
      <c r="G207" s="451">
        <f>G208</f>
        <v>900</v>
      </c>
      <c r="H207" s="451">
        <f t="shared" si="107"/>
        <v>664.8</v>
      </c>
      <c r="I207" s="451">
        <f t="shared" si="105"/>
        <v>73.86666666666666</v>
      </c>
    </row>
    <row r="208" spans="1:9" s="200" customFormat="1" ht="15.75" x14ac:dyDescent="0.25">
      <c r="A208" s="458" t="s">
        <v>274</v>
      </c>
      <c r="B208" s="454" t="s">
        <v>1252</v>
      </c>
      <c r="C208" s="461" t="s">
        <v>264</v>
      </c>
      <c r="D208" s="461" t="s">
        <v>213</v>
      </c>
      <c r="E208" s="461" t="s">
        <v>275</v>
      </c>
      <c r="F208" s="461"/>
      <c r="G208" s="451">
        <f>'Пр.3 Рд,пр, ЦС,ВР 21'!F593</f>
        <v>900</v>
      </c>
      <c r="H208" s="451">
        <f>'Пр.3 Рд,пр, ЦС,ВР 21'!G593</f>
        <v>664.8</v>
      </c>
      <c r="I208" s="451">
        <f t="shared" si="105"/>
        <v>73.86666666666666</v>
      </c>
    </row>
    <row r="209" spans="1:9" s="200" customFormat="1" ht="31.5" x14ac:dyDescent="0.25">
      <c r="A209" s="29" t="s">
        <v>403</v>
      </c>
      <c r="B209" s="454" t="s">
        <v>1252</v>
      </c>
      <c r="C209" s="461" t="s">
        <v>264</v>
      </c>
      <c r="D209" s="461" t="s">
        <v>213</v>
      </c>
      <c r="E209" s="461" t="s">
        <v>275</v>
      </c>
      <c r="F209" s="461" t="s">
        <v>636</v>
      </c>
      <c r="G209" s="10">
        <f>G208</f>
        <v>900</v>
      </c>
      <c r="H209" s="10">
        <f t="shared" ref="H209" si="108">H208</f>
        <v>664.8</v>
      </c>
      <c r="I209" s="451">
        <f t="shared" si="105"/>
        <v>73.86666666666666</v>
      </c>
    </row>
    <row r="210" spans="1:9" ht="15.75" x14ac:dyDescent="0.25">
      <c r="A210" s="29" t="s">
        <v>265</v>
      </c>
      <c r="B210" s="461" t="s">
        <v>1233</v>
      </c>
      <c r="C210" s="461" t="s">
        <v>264</v>
      </c>
      <c r="D210" s="461" t="s">
        <v>215</v>
      </c>
      <c r="E210" s="461"/>
      <c r="F210" s="461"/>
      <c r="G210" s="451">
        <f>G215+G219+G211</f>
        <v>2243</v>
      </c>
      <c r="H210" s="451">
        <f t="shared" ref="H210" si="109">H215+H219+H211</f>
        <v>1684.2</v>
      </c>
      <c r="I210" s="451">
        <f t="shared" si="105"/>
        <v>75.086937137761936</v>
      </c>
    </row>
    <row r="211" spans="1:9" s="200" customFormat="1" ht="94.5" x14ac:dyDescent="0.25">
      <c r="A211" s="31" t="s">
        <v>293</v>
      </c>
      <c r="B211" s="454" t="s">
        <v>1393</v>
      </c>
      <c r="C211" s="461" t="s">
        <v>264</v>
      </c>
      <c r="D211" s="461" t="s">
        <v>215</v>
      </c>
      <c r="E211" s="461"/>
      <c r="F211" s="461"/>
      <c r="G211" s="451">
        <f>G212</f>
        <v>1400</v>
      </c>
      <c r="H211" s="451">
        <f t="shared" ref="H211:H212" si="110">H212</f>
        <v>1062</v>
      </c>
      <c r="I211" s="451">
        <f t="shared" si="105"/>
        <v>75.857142857142861</v>
      </c>
    </row>
    <row r="212" spans="1:9" s="200" customFormat="1" ht="31.5" x14ac:dyDescent="0.25">
      <c r="A212" s="458" t="s">
        <v>272</v>
      </c>
      <c r="B212" s="454" t="s">
        <v>1393</v>
      </c>
      <c r="C212" s="461" t="s">
        <v>264</v>
      </c>
      <c r="D212" s="461" t="s">
        <v>215</v>
      </c>
      <c r="E212" s="461" t="s">
        <v>273</v>
      </c>
      <c r="F212" s="461"/>
      <c r="G212" s="451">
        <f>G213</f>
        <v>1400</v>
      </c>
      <c r="H212" s="451">
        <f t="shared" si="110"/>
        <v>1062</v>
      </c>
      <c r="I212" s="451">
        <f t="shared" si="105"/>
        <v>75.857142857142861</v>
      </c>
    </row>
    <row r="213" spans="1:9" s="200" customFormat="1" ht="15.75" x14ac:dyDescent="0.25">
      <c r="A213" s="458" t="s">
        <v>274</v>
      </c>
      <c r="B213" s="454" t="s">
        <v>1393</v>
      </c>
      <c r="C213" s="461" t="s">
        <v>264</v>
      </c>
      <c r="D213" s="461" t="s">
        <v>215</v>
      </c>
      <c r="E213" s="461" t="s">
        <v>275</v>
      </c>
      <c r="F213" s="461"/>
      <c r="G213" s="451">
        <f>'Пр.4 ведом.21'!G740</f>
        <v>1400</v>
      </c>
      <c r="H213" s="451">
        <f>'Пр.4 ведом.21'!H740</f>
        <v>1062</v>
      </c>
      <c r="I213" s="451">
        <f t="shared" si="105"/>
        <v>75.857142857142861</v>
      </c>
    </row>
    <row r="214" spans="1:9" s="200" customFormat="1" ht="31.5" x14ac:dyDescent="0.25">
      <c r="A214" s="29" t="s">
        <v>403</v>
      </c>
      <c r="B214" s="454" t="s">
        <v>1393</v>
      </c>
      <c r="C214" s="461" t="s">
        <v>264</v>
      </c>
      <c r="D214" s="461" t="s">
        <v>215</v>
      </c>
      <c r="E214" s="461" t="s">
        <v>275</v>
      </c>
      <c r="F214" s="461" t="s">
        <v>636</v>
      </c>
      <c r="G214" s="10">
        <f>G213</f>
        <v>1400</v>
      </c>
      <c r="H214" s="10">
        <f t="shared" ref="H214" si="111">H213</f>
        <v>1062</v>
      </c>
      <c r="I214" s="451">
        <f t="shared" si="105"/>
        <v>75.857142857142861</v>
      </c>
    </row>
    <row r="215" spans="1:9" s="200" customFormat="1" ht="63" x14ac:dyDescent="0.25">
      <c r="A215" s="31" t="s">
        <v>289</v>
      </c>
      <c r="B215" s="454" t="s">
        <v>1234</v>
      </c>
      <c r="C215" s="461" t="s">
        <v>264</v>
      </c>
      <c r="D215" s="461" t="s">
        <v>215</v>
      </c>
      <c r="E215" s="461"/>
      <c r="F215" s="461"/>
      <c r="G215" s="451">
        <f>G216</f>
        <v>179</v>
      </c>
      <c r="H215" s="451">
        <f t="shared" ref="H215:H216" si="112">H216</f>
        <v>101.2</v>
      </c>
      <c r="I215" s="451">
        <f t="shared" si="105"/>
        <v>56.536312849162016</v>
      </c>
    </row>
    <row r="216" spans="1:9" s="200" customFormat="1" ht="31.5" x14ac:dyDescent="0.25">
      <c r="A216" s="458" t="s">
        <v>272</v>
      </c>
      <c r="B216" s="454" t="s">
        <v>1234</v>
      </c>
      <c r="C216" s="461" t="s">
        <v>264</v>
      </c>
      <c r="D216" s="461" t="s">
        <v>215</v>
      </c>
      <c r="E216" s="461" t="s">
        <v>273</v>
      </c>
      <c r="F216" s="461"/>
      <c r="G216" s="451">
        <f>G217</f>
        <v>179</v>
      </c>
      <c r="H216" s="451">
        <f t="shared" si="112"/>
        <v>101.2</v>
      </c>
      <c r="I216" s="451">
        <f t="shared" si="105"/>
        <v>56.536312849162016</v>
      </c>
    </row>
    <row r="217" spans="1:9" s="200" customFormat="1" ht="15.75" x14ac:dyDescent="0.25">
      <c r="A217" s="458" t="s">
        <v>274</v>
      </c>
      <c r="B217" s="454" t="s">
        <v>1234</v>
      </c>
      <c r="C217" s="461" t="s">
        <v>264</v>
      </c>
      <c r="D217" s="461" t="s">
        <v>215</v>
      </c>
      <c r="E217" s="461" t="s">
        <v>275</v>
      </c>
      <c r="F217" s="461"/>
      <c r="G217" s="451">
        <f>'Пр.4 ведом.21'!G744</f>
        <v>179</v>
      </c>
      <c r="H217" s="451">
        <f>'Пр.4 ведом.21'!H744</f>
        <v>101.2</v>
      </c>
      <c r="I217" s="451">
        <f t="shared" si="105"/>
        <v>56.536312849162016</v>
      </c>
    </row>
    <row r="218" spans="1:9" s="200" customFormat="1" ht="31.5" x14ac:dyDescent="0.25">
      <c r="A218" s="29" t="s">
        <v>403</v>
      </c>
      <c r="B218" s="454" t="s">
        <v>1234</v>
      </c>
      <c r="C218" s="461" t="s">
        <v>264</v>
      </c>
      <c r="D218" s="461" t="s">
        <v>215</v>
      </c>
      <c r="E218" s="461" t="s">
        <v>275</v>
      </c>
      <c r="F218" s="461" t="s">
        <v>636</v>
      </c>
      <c r="G218" s="10">
        <f>G217</f>
        <v>179</v>
      </c>
      <c r="H218" s="10">
        <f t="shared" ref="H218" si="113">H217</f>
        <v>101.2</v>
      </c>
      <c r="I218" s="451">
        <f t="shared" si="105"/>
        <v>56.536312849162016</v>
      </c>
    </row>
    <row r="219" spans="1:9" s="200" customFormat="1" ht="63" x14ac:dyDescent="0.25">
      <c r="A219" s="31" t="s">
        <v>291</v>
      </c>
      <c r="B219" s="454" t="s">
        <v>1235</v>
      </c>
      <c r="C219" s="461" t="s">
        <v>264</v>
      </c>
      <c r="D219" s="461" t="s">
        <v>215</v>
      </c>
      <c r="E219" s="461"/>
      <c r="F219" s="461"/>
      <c r="G219" s="451">
        <f>G220</f>
        <v>664</v>
      </c>
      <c r="H219" s="451">
        <f t="shared" ref="H219:H220" si="114">H220</f>
        <v>521</v>
      </c>
      <c r="I219" s="451">
        <f t="shared" si="105"/>
        <v>78.463855421686745</v>
      </c>
    </row>
    <row r="220" spans="1:9" s="200" customFormat="1" ht="31.5" x14ac:dyDescent="0.25">
      <c r="A220" s="458" t="s">
        <v>272</v>
      </c>
      <c r="B220" s="454" t="s">
        <v>1235</v>
      </c>
      <c r="C220" s="461" t="s">
        <v>264</v>
      </c>
      <c r="D220" s="461" t="s">
        <v>215</v>
      </c>
      <c r="E220" s="461" t="s">
        <v>273</v>
      </c>
      <c r="F220" s="461"/>
      <c r="G220" s="451">
        <f>G221</f>
        <v>664</v>
      </c>
      <c r="H220" s="451">
        <f t="shared" si="114"/>
        <v>521</v>
      </c>
      <c r="I220" s="451">
        <f t="shared" si="105"/>
        <v>78.463855421686745</v>
      </c>
    </row>
    <row r="221" spans="1:9" s="200" customFormat="1" ht="15.75" x14ac:dyDescent="0.25">
      <c r="A221" s="458" t="s">
        <v>274</v>
      </c>
      <c r="B221" s="454" t="s">
        <v>1235</v>
      </c>
      <c r="C221" s="461" t="s">
        <v>264</v>
      </c>
      <c r="D221" s="461" t="s">
        <v>215</v>
      </c>
      <c r="E221" s="461" t="s">
        <v>275</v>
      </c>
      <c r="F221" s="461"/>
      <c r="G221" s="451">
        <f>'Пр.4 ведом.21'!G747</f>
        <v>664</v>
      </c>
      <c r="H221" s="451">
        <f>'Пр.4 ведом.21'!H747</f>
        <v>521</v>
      </c>
      <c r="I221" s="451">
        <f t="shared" si="105"/>
        <v>78.463855421686745</v>
      </c>
    </row>
    <row r="222" spans="1:9" s="200" customFormat="1" ht="31.5" x14ac:dyDescent="0.25">
      <c r="A222" s="29" t="s">
        <v>403</v>
      </c>
      <c r="B222" s="454" t="s">
        <v>1235</v>
      </c>
      <c r="C222" s="461" t="s">
        <v>264</v>
      </c>
      <c r="D222" s="461" t="s">
        <v>215</v>
      </c>
      <c r="E222" s="461" t="s">
        <v>275</v>
      </c>
      <c r="F222" s="461" t="s">
        <v>636</v>
      </c>
      <c r="G222" s="10">
        <f>G221</f>
        <v>664</v>
      </c>
      <c r="H222" s="10">
        <f t="shared" ref="H222" si="115">H221</f>
        <v>521</v>
      </c>
      <c r="I222" s="451">
        <f t="shared" si="105"/>
        <v>78.463855421686745</v>
      </c>
    </row>
    <row r="223" spans="1:9" s="200" customFormat="1" ht="31.5" x14ac:dyDescent="0.25">
      <c r="A223" s="456" t="s">
        <v>1293</v>
      </c>
      <c r="B223" s="457" t="s">
        <v>1238</v>
      </c>
      <c r="C223" s="7"/>
      <c r="D223" s="7"/>
      <c r="E223" s="7"/>
      <c r="F223" s="7"/>
      <c r="G223" s="59">
        <f>G224+G238</f>
        <v>5256</v>
      </c>
      <c r="H223" s="59">
        <f t="shared" ref="H223" si="116">H224+H238</f>
        <v>4349.7429999999995</v>
      </c>
      <c r="I223" s="451">
        <f t="shared" si="105"/>
        <v>82.757667427701662</v>
      </c>
    </row>
    <row r="224" spans="1:9" ht="15.75" x14ac:dyDescent="0.25">
      <c r="A224" s="29" t="s">
        <v>263</v>
      </c>
      <c r="B224" s="454" t="s">
        <v>1238</v>
      </c>
      <c r="C224" s="461" t="s">
        <v>264</v>
      </c>
      <c r="D224" s="461"/>
      <c r="E224" s="461"/>
      <c r="F224" s="461"/>
      <c r="G224" s="10">
        <f t="shared" ref="G224:H224" si="117">G225</f>
        <v>4557</v>
      </c>
      <c r="H224" s="10">
        <f t="shared" si="117"/>
        <v>3943.4429999999998</v>
      </c>
      <c r="I224" s="451">
        <f t="shared" si="105"/>
        <v>86.535944700460817</v>
      </c>
    </row>
    <row r="225" spans="1:9" ht="15.75" x14ac:dyDescent="0.25">
      <c r="A225" s="45" t="s">
        <v>404</v>
      </c>
      <c r="B225" s="454" t="s">
        <v>1238</v>
      </c>
      <c r="C225" s="461" t="s">
        <v>264</v>
      </c>
      <c r="D225" s="461" t="s">
        <v>118</v>
      </c>
      <c r="E225" s="461"/>
      <c r="F225" s="461"/>
      <c r="G225" s="10">
        <f>G226+G230+G234</f>
        <v>4557</v>
      </c>
      <c r="H225" s="10">
        <f t="shared" ref="H225" si="118">H226+H230+H234</f>
        <v>3943.4429999999998</v>
      </c>
      <c r="I225" s="451">
        <f t="shared" si="105"/>
        <v>86.535944700460817</v>
      </c>
    </row>
    <row r="226" spans="1:9" ht="31.5" x14ac:dyDescent="0.25">
      <c r="A226" s="29" t="s">
        <v>278</v>
      </c>
      <c r="B226" s="454" t="s">
        <v>1319</v>
      </c>
      <c r="C226" s="461" t="s">
        <v>264</v>
      </c>
      <c r="D226" s="461" t="s">
        <v>118</v>
      </c>
      <c r="E226" s="461"/>
      <c r="F226" s="461"/>
      <c r="G226" s="10">
        <f t="shared" ref="G226:H227" si="119">G227</f>
        <v>200</v>
      </c>
      <c r="H226" s="10">
        <f t="shared" si="119"/>
        <v>61.357999999999997</v>
      </c>
      <c r="I226" s="451">
        <f t="shared" si="105"/>
        <v>30.679000000000002</v>
      </c>
    </row>
    <row r="227" spans="1:9" ht="31.5" x14ac:dyDescent="0.25">
      <c r="A227" s="29" t="s">
        <v>272</v>
      </c>
      <c r="B227" s="454" t="s">
        <v>1319</v>
      </c>
      <c r="C227" s="461" t="s">
        <v>264</v>
      </c>
      <c r="D227" s="461" t="s">
        <v>118</v>
      </c>
      <c r="E227" s="461" t="s">
        <v>273</v>
      </c>
      <c r="F227" s="461"/>
      <c r="G227" s="10">
        <f t="shared" si="119"/>
        <v>200</v>
      </c>
      <c r="H227" s="10">
        <f t="shared" si="119"/>
        <v>61.357999999999997</v>
      </c>
      <c r="I227" s="451">
        <f t="shared" si="105"/>
        <v>30.679000000000002</v>
      </c>
    </row>
    <row r="228" spans="1:9" ht="15.75" x14ac:dyDescent="0.25">
      <c r="A228" s="29" t="s">
        <v>274</v>
      </c>
      <c r="B228" s="454" t="s">
        <v>1319</v>
      </c>
      <c r="C228" s="461" t="s">
        <v>264</v>
      </c>
      <c r="D228" s="461" t="s">
        <v>118</v>
      </c>
      <c r="E228" s="461" t="s">
        <v>275</v>
      </c>
      <c r="F228" s="461"/>
      <c r="G228" s="10">
        <f>'Пр.4 ведом.21'!G592</f>
        <v>200</v>
      </c>
      <c r="H228" s="10">
        <f>'Пр.4 ведом.21'!H592</f>
        <v>61.357999999999997</v>
      </c>
      <c r="I228" s="451">
        <f t="shared" si="105"/>
        <v>30.679000000000002</v>
      </c>
    </row>
    <row r="229" spans="1:9" s="200" customFormat="1" ht="31.5" x14ac:dyDescent="0.25">
      <c r="A229" s="29" t="s">
        <v>403</v>
      </c>
      <c r="B229" s="454" t="s">
        <v>1319</v>
      </c>
      <c r="C229" s="461" t="s">
        <v>264</v>
      </c>
      <c r="D229" s="461" t="s">
        <v>118</v>
      </c>
      <c r="E229" s="461" t="s">
        <v>275</v>
      </c>
      <c r="F229" s="461" t="s">
        <v>636</v>
      </c>
      <c r="G229" s="10">
        <f>G228</f>
        <v>200</v>
      </c>
      <c r="H229" s="10">
        <f t="shared" ref="H229" si="120">H228</f>
        <v>61.357999999999997</v>
      </c>
      <c r="I229" s="451">
        <f t="shared" si="105"/>
        <v>30.679000000000002</v>
      </c>
    </row>
    <row r="230" spans="1:9" ht="31.7" customHeight="1" x14ac:dyDescent="0.25">
      <c r="A230" s="29" t="s">
        <v>280</v>
      </c>
      <c r="B230" s="454" t="s">
        <v>1320</v>
      </c>
      <c r="C230" s="461" t="s">
        <v>264</v>
      </c>
      <c r="D230" s="461" t="s">
        <v>118</v>
      </c>
      <c r="E230" s="461"/>
      <c r="F230" s="461"/>
      <c r="G230" s="10">
        <f t="shared" ref="G230:H231" si="121">G231</f>
        <v>357</v>
      </c>
      <c r="H230" s="10">
        <f t="shared" si="121"/>
        <v>356.19099999999997</v>
      </c>
      <c r="I230" s="451">
        <f t="shared" si="105"/>
        <v>99.773389355742296</v>
      </c>
    </row>
    <row r="231" spans="1:9" ht="31.7" customHeight="1" x14ac:dyDescent="0.25">
      <c r="A231" s="29" t="s">
        <v>272</v>
      </c>
      <c r="B231" s="454" t="s">
        <v>1320</v>
      </c>
      <c r="C231" s="461" t="s">
        <v>264</v>
      </c>
      <c r="D231" s="461" t="s">
        <v>118</v>
      </c>
      <c r="E231" s="461" t="s">
        <v>273</v>
      </c>
      <c r="F231" s="461"/>
      <c r="G231" s="10">
        <f t="shared" si="121"/>
        <v>357</v>
      </c>
      <c r="H231" s="10">
        <f t="shared" si="121"/>
        <v>356.19099999999997</v>
      </c>
      <c r="I231" s="451">
        <f t="shared" si="105"/>
        <v>99.773389355742296</v>
      </c>
    </row>
    <row r="232" spans="1:9" ht="15.75" customHeight="1" x14ac:dyDescent="0.25">
      <c r="A232" s="29" t="s">
        <v>274</v>
      </c>
      <c r="B232" s="454" t="s">
        <v>1320</v>
      </c>
      <c r="C232" s="461" t="s">
        <v>264</v>
      </c>
      <c r="D232" s="461" t="s">
        <v>118</v>
      </c>
      <c r="E232" s="461" t="s">
        <v>275</v>
      </c>
      <c r="F232" s="461"/>
      <c r="G232" s="10">
        <f>'Пр.4 ведом.21'!G595</f>
        <v>357</v>
      </c>
      <c r="H232" s="10">
        <f>'Пр.4 ведом.21'!H595</f>
        <v>356.19099999999997</v>
      </c>
      <c r="I232" s="451">
        <f t="shared" si="105"/>
        <v>99.773389355742296</v>
      </c>
    </row>
    <row r="233" spans="1:9" s="200" customFormat="1" ht="35.450000000000003" customHeight="1" x14ac:dyDescent="0.25">
      <c r="A233" s="29" t="s">
        <v>403</v>
      </c>
      <c r="B233" s="454" t="s">
        <v>1320</v>
      </c>
      <c r="C233" s="461" t="s">
        <v>264</v>
      </c>
      <c r="D233" s="461" t="s">
        <v>118</v>
      </c>
      <c r="E233" s="461" t="s">
        <v>275</v>
      </c>
      <c r="F233" s="461" t="s">
        <v>636</v>
      </c>
      <c r="G233" s="10">
        <f>G232</f>
        <v>357</v>
      </c>
      <c r="H233" s="10">
        <f t="shared" ref="H233" si="122">H232</f>
        <v>356.19099999999997</v>
      </c>
      <c r="I233" s="451">
        <f t="shared" si="105"/>
        <v>99.773389355742296</v>
      </c>
    </row>
    <row r="234" spans="1:9" ht="31.5" x14ac:dyDescent="0.25">
      <c r="A234" s="29" t="s">
        <v>415</v>
      </c>
      <c r="B234" s="454" t="s">
        <v>1239</v>
      </c>
      <c r="C234" s="461" t="s">
        <v>264</v>
      </c>
      <c r="D234" s="461" t="s">
        <v>118</v>
      </c>
      <c r="E234" s="461"/>
      <c r="F234" s="461"/>
      <c r="G234" s="10">
        <f t="shared" ref="G234:H235" si="123">G235</f>
        <v>4000</v>
      </c>
      <c r="H234" s="10">
        <f t="shared" si="123"/>
        <v>3525.8939999999998</v>
      </c>
      <c r="I234" s="451">
        <f t="shared" si="105"/>
        <v>88.147349999999989</v>
      </c>
    </row>
    <row r="235" spans="1:9" ht="33.75" customHeight="1" x14ac:dyDescent="0.25">
      <c r="A235" s="29" t="s">
        <v>272</v>
      </c>
      <c r="B235" s="454" t="s">
        <v>1239</v>
      </c>
      <c r="C235" s="461" t="s">
        <v>264</v>
      </c>
      <c r="D235" s="461" t="s">
        <v>118</v>
      </c>
      <c r="E235" s="461" t="s">
        <v>273</v>
      </c>
      <c r="F235" s="461"/>
      <c r="G235" s="10">
        <f t="shared" si="123"/>
        <v>4000</v>
      </c>
      <c r="H235" s="10">
        <f t="shared" si="123"/>
        <v>3525.8939999999998</v>
      </c>
      <c r="I235" s="451">
        <f t="shared" si="105"/>
        <v>88.147349999999989</v>
      </c>
    </row>
    <row r="236" spans="1:9" ht="15.75" x14ac:dyDescent="0.25">
      <c r="A236" s="29" t="s">
        <v>274</v>
      </c>
      <c r="B236" s="454" t="s">
        <v>1239</v>
      </c>
      <c r="C236" s="461" t="s">
        <v>264</v>
      </c>
      <c r="D236" s="461" t="s">
        <v>118</v>
      </c>
      <c r="E236" s="461" t="s">
        <v>275</v>
      </c>
      <c r="F236" s="461"/>
      <c r="G236" s="451">
        <f>'Пр.4 ведом.21'!G598</f>
        <v>4000</v>
      </c>
      <c r="H236" s="451">
        <f>'Пр.4 ведом.21'!H598</f>
        <v>3525.8939999999998</v>
      </c>
      <c r="I236" s="451">
        <f t="shared" si="105"/>
        <v>88.147349999999989</v>
      </c>
    </row>
    <row r="237" spans="1:9" s="200" customFormat="1" ht="31.5" x14ac:dyDescent="0.25">
      <c r="A237" s="29" t="s">
        <v>403</v>
      </c>
      <c r="B237" s="454" t="s">
        <v>1239</v>
      </c>
      <c r="C237" s="461" t="s">
        <v>264</v>
      </c>
      <c r="D237" s="461" t="s">
        <v>118</v>
      </c>
      <c r="E237" s="461" t="s">
        <v>275</v>
      </c>
      <c r="F237" s="461" t="s">
        <v>636</v>
      </c>
      <c r="G237" s="10">
        <f>G236</f>
        <v>4000</v>
      </c>
      <c r="H237" s="10">
        <f t="shared" ref="H237" si="124">H236</f>
        <v>3525.8939999999998</v>
      </c>
      <c r="I237" s="451">
        <f t="shared" si="105"/>
        <v>88.147349999999989</v>
      </c>
    </row>
    <row r="238" spans="1:9" s="200" customFormat="1" ht="15.75" x14ac:dyDescent="0.25">
      <c r="A238" s="29" t="s">
        <v>263</v>
      </c>
      <c r="B238" s="461" t="s">
        <v>1238</v>
      </c>
      <c r="C238" s="461" t="s">
        <v>264</v>
      </c>
      <c r="D238" s="461"/>
      <c r="E238" s="461"/>
      <c r="F238" s="461"/>
      <c r="G238" s="10">
        <f t="shared" ref="G238:H238" si="125">G239</f>
        <v>699</v>
      </c>
      <c r="H238" s="10">
        <f t="shared" si="125"/>
        <v>406.3</v>
      </c>
      <c r="I238" s="451">
        <f t="shared" si="105"/>
        <v>58.125894134477832</v>
      </c>
    </row>
    <row r="239" spans="1:9" s="200" customFormat="1" ht="15.75" x14ac:dyDescent="0.25">
      <c r="A239" s="29" t="s">
        <v>425</v>
      </c>
      <c r="B239" s="461" t="s">
        <v>1238</v>
      </c>
      <c r="C239" s="461" t="s">
        <v>264</v>
      </c>
      <c r="D239" s="461" t="s">
        <v>213</v>
      </c>
      <c r="E239" s="461"/>
      <c r="F239" s="461"/>
      <c r="G239" s="10">
        <f>G240+G244+G248+G252</f>
        <v>699</v>
      </c>
      <c r="H239" s="10">
        <f t="shared" ref="H239" si="126">H240+H244+H248+H252</f>
        <v>406.3</v>
      </c>
      <c r="I239" s="451">
        <f t="shared" si="105"/>
        <v>58.125894134477832</v>
      </c>
    </row>
    <row r="240" spans="1:9" s="200" customFormat="1" ht="47.25" hidden="1" x14ac:dyDescent="0.25">
      <c r="A240" s="458" t="s">
        <v>789</v>
      </c>
      <c r="B240" s="454" t="s">
        <v>1318</v>
      </c>
      <c r="C240" s="461" t="s">
        <v>264</v>
      </c>
      <c r="D240" s="461" t="s">
        <v>213</v>
      </c>
      <c r="E240" s="461"/>
      <c r="F240" s="461"/>
      <c r="G240" s="451">
        <f>G241</f>
        <v>0</v>
      </c>
      <c r="H240" s="451">
        <f t="shared" ref="H240:H241" si="127">H241</f>
        <v>0</v>
      </c>
      <c r="I240" s="451" t="e">
        <f t="shared" si="105"/>
        <v>#DIV/0!</v>
      </c>
    </row>
    <row r="241" spans="1:9" s="200" customFormat="1" ht="31.5" hidden="1" x14ac:dyDescent="0.25">
      <c r="A241" s="458" t="s">
        <v>272</v>
      </c>
      <c r="B241" s="454" t="s">
        <v>1318</v>
      </c>
      <c r="C241" s="461" t="s">
        <v>264</v>
      </c>
      <c r="D241" s="461" t="s">
        <v>213</v>
      </c>
      <c r="E241" s="461" t="s">
        <v>273</v>
      </c>
      <c r="F241" s="461"/>
      <c r="G241" s="451">
        <f>G242</f>
        <v>0</v>
      </c>
      <c r="H241" s="451">
        <f t="shared" si="127"/>
        <v>0</v>
      </c>
      <c r="I241" s="451" t="e">
        <f t="shared" si="105"/>
        <v>#DIV/0!</v>
      </c>
    </row>
    <row r="242" spans="1:9" s="200" customFormat="1" ht="15.75" hidden="1" x14ac:dyDescent="0.25">
      <c r="A242" s="458" t="s">
        <v>274</v>
      </c>
      <c r="B242" s="454" t="s">
        <v>1318</v>
      </c>
      <c r="C242" s="461" t="s">
        <v>264</v>
      </c>
      <c r="D242" s="461" t="s">
        <v>213</v>
      </c>
      <c r="E242" s="461" t="s">
        <v>275</v>
      </c>
      <c r="F242" s="461"/>
      <c r="G242" s="451">
        <f>'Пр.4 ведом.21'!G666</f>
        <v>0</v>
      </c>
      <c r="H242" s="451">
        <f>'Пр.4 ведом.21'!H666</f>
        <v>0</v>
      </c>
      <c r="I242" s="451" t="e">
        <f t="shared" si="105"/>
        <v>#DIV/0!</v>
      </c>
    </row>
    <row r="243" spans="1:9" s="200" customFormat="1" ht="31.5" hidden="1" x14ac:dyDescent="0.25">
      <c r="A243" s="29" t="s">
        <v>403</v>
      </c>
      <c r="B243" s="454" t="s">
        <v>1318</v>
      </c>
      <c r="C243" s="461" t="s">
        <v>264</v>
      </c>
      <c r="D243" s="461" t="s">
        <v>213</v>
      </c>
      <c r="E243" s="461" t="s">
        <v>275</v>
      </c>
      <c r="F243" s="461" t="s">
        <v>636</v>
      </c>
      <c r="G243" s="10">
        <f>G242</f>
        <v>0</v>
      </c>
      <c r="H243" s="10">
        <f t="shared" ref="H243" si="128">H242</f>
        <v>0</v>
      </c>
      <c r="I243" s="451" t="e">
        <f t="shared" si="105"/>
        <v>#DIV/0!</v>
      </c>
    </row>
    <row r="244" spans="1:9" s="200" customFormat="1" ht="31.5" x14ac:dyDescent="0.25">
      <c r="A244" s="458" t="s">
        <v>278</v>
      </c>
      <c r="B244" s="454" t="s">
        <v>1319</v>
      </c>
      <c r="C244" s="461" t="s">
        <v>264</v>
      </c>
      <c r="D244" s="461" t="s">
        <v>213</v>
      </c>
      <c r="E244" s="461"/>
      <c r="F244" s="461"/>
      <c r="G244" s="451">
        <f t="shared" ref="G244:H245" si="129">G245</f>
        <v>355</v>
      </c>
      <c r="H244" s="451">
        <f t="shared" si="129"/>
        <v>200</v>
      </c>
      <c r="I244" s="451">
        <f t="shared" si="105"/>
        <v>56.338028169014088</v>
      </c>
    </row>
    <row r="245" spans="1:9" s="200" customFormat="1" ht="31.5" x14ac:dyDescent="0.25">
      <c r="A245" s="458" t="s">
        <v>272</v>
      </c>
      <c r="B245" s="454" t="s">
        <v>1319</v>
      </c>
      <c r="C245" s="461" t="s">
        <v>264</v>
      </c>
      <c r="D245" s="461" t="s">
        <v>213</v>
      </c>
      <c r="E245" s="461" t="s">
        <v>273</v>
      </c>
      <c r="F245" s="461"/>
      <c r="G245" s="451">
        <f t="shared" si="129"/>
        <v>355</v>
      </c>
      <c r="H245" s="451">
        <f t="shared" si="129"/>
        <v>200</v>
      </c>
      <c r="I245" s="451">
        <f t="shared" si="105"/>
        <v>56.338028169014088</v>
      </c>
    </row>
    <row r="246" spans="1:9" s="200" customFormat="1" ht="15.75" x14ac:dyDescent="0.25">
      <c r="A246" s="458" t="s">
        <v>274</v>
      </c>
      <c r="B246" s="454" t="s">
        <v>1319</v>
      </c>
      <c r="C246" s="461" t="s">
        <v>264</v>
      </c>
      <c r="D246" s="461" t="s">
        <v>213</v>
      </c>
      <c r="E246" s="461" t="s">
        <v>275</v>
      </c>
      <c r="F246" s="461"/>
      <c r="G246" s="451">
        <f>'Пр.4 ведом.21'!G669</f>
        <v>355</v>
      </c>
      <c r="H246" s="451">
        <f>'Пр.4 ведом.21'!H669</f>
        <v>200</v>
      </c>
      <c r="I246" s="451">
        <f t="shared" si="105"/>
        <v>56.338028169014088</v>
      </c>
    </row>
    <row r="247" spans="1:9" s="200" customFormat="1" ht="31.5" x14ac:dyDescent="0.25">
      <c r="A247" s="29" t="s">
        <v>403</v>
      </c>
      <c r="B247" s="454" t="s">
        <v>1319</v>
      </c>
      <c r="C247" s="461" t="s">
        <v>264</v>
      </c>
      <c r="D247" s="461" t="s">
        <v>213</v>
      </c>
      <c r="E247" s="461" t="s">
        <v>275</v>
      </c>
      <c r="F247" s="461" t="s">
        <v>636</v>
      </c>
      <c r="G247" s="10">
        <f>G246</f>
        <v>355</v>
      </c>
      <c r="H247" s="10">
        <f t="shared" ref="H247" si="130">H246</f>
        <v>200</v>
      </c>
      <c r="I247" s="451">
        <f t="shared" si="105"/>
        <v>56.338028169014088</v>
      </c>
    </row>
    <row r="248" spans="1:9" s="200" customFormat="1" ht="31.5" x14ac:dyDescent="0.25">
      <c r="A248" s="458" t="s">
        <v>280</v>
      </c>
      <c r="B248" s="454" t="s">
        <v>1320</v>
      </c>
      <c r="C248" s="461" t="s">
        <v>264</v>
      </c>
      <c r="D248" s="461" t="s">
        <v>213</v>
      </c>
      <c r="E248" s="461"/>
      <c r="F248" s="461"/>
      <c r="G248" s="451">
        <f t="shared" ref="G248:H249" si="131">G249</f>
        <v>120</v>
      </c>
      <c r="H248" s="451">
        <f t="shared" si="131"/>
        <v>105</v>
      </c>
      <c r="I248" s="451">
        <f t="shared" si="105"/>
        <v>87.5</v>
      </c>
    </row>
    <row r="249" spans="1:9" s="200" customFormat="1" ht="31.5" x14ac:dyDescent="0.25">
      <c r="A249" s="458" t="s">
        <v>272</v>
      </c>
      <c r="B249" s="454" t="s">
        <v>1320</v>
      </c>
      <c r="C249" s="461" t="s">
        <v>264</v>
      </c>
      <c r="D249" s="461" t="s">
        <v>213</v>
      </c>
      <c r="E249" s="461" t="s">
        <v>273</v>
      </c>
      <c r="F249" s="461"/>
      <c r="G249" s="451">
        <f t="shared" si="131"/>
        <v>120</v>
      </c>
      <c r="H249" s="451">
        <f t="shared" si="131"/>
        <v>105</v>
      </c>
      <c r="I249" s="451">
        <f t="shared" si="105"/>
        <v>87.5</v>
      </c>
    </row>
    <row r="250" spans="1:9" s="200" customFormat="1" ht="15.75" x14ac:dyDescent="0.25">
      <c r="A250" s="458" t="s">
        <v>274</v>
      </c>
      <c r="B250" s="454" t="s">
        <v>1320</v>
      </c>
      <c r="C250" s="461" t="s">
        <v>264</v>
      </c>
      <c r="D250" s="461" t="s">
        <v>213</v>
      </c>
      <c r="E250" s="461" t="s">
        <v>275</v>
      </c>
      <c r="F250" s="461"/>
      <c r="G250" s="451">
        <f>'Пр.4 ведом.21'!G672</f>
        <v>120</v>
      </c>
      <c r="H250" s="451">
        <f>'Пр.4 ведом.21'!H672</f>
        <v>105</v>
      </c>
      <c r="I250" s="451">
        <f t="shared" si="105"/>
        <v>87.5</v>
      </c>
    </row>
    <row r="251" spans="1:9" s="200" customFormat="1" ht="31.5" x14ac:dyDescent="0.25">
      <c r="A251" s="29" t="s">
        <v>403</v>
      </c>
      <c r="B251" s="454" t="s">
        <v>1320</v>
      </c>
      <c r="C251" s="461" t="s">
        <v>264</v>
      </c>
      <c r="D251" s="461" t="s">
        <v>213</v>
      </c>
      <c r="E251" s="461" t="s">
        <v>275</v>
      </c>
      <c r="F251" s="461" t="s">
        <v>636</v>
      </c>
      <c r="G251" s="10">
        <f>G250</f>
        <v>120</v>
      </c>
      <c r="H251" s="10">
        <f t="shared" ref="H251" si="132">H250</f>
        <v>105</v>
      </c>
      <c r="I251" s="451">
        <f t="shared" si="105"/>
        <v>87.5</v>
      </c>
    </row>
    <row r="252" spans="1:9" s="200" customFormat="1" ht="31.5" x14ac:dyDescent="0.25">
      <c r="A252" s="29" t="s">
        <v>282</v>
      </c>
      <c r="B252" s="454" t="s">
        <v>1254</v>
      </c>
      <c r="C252" s="461" t="s">
        <v>264</v>
      </c>
      <c r="D252" s="461" t="s">
        <v>213</v>
      </c>
      <c r="E252" s="461"/>
      <c r="F252" s="461"/>
      <c r="G252" s="10">
        <f t="shared" ref="G252:H253" si="133">G253</f>
        <v>224</v>
      </c>
      <c r="H252" s="10">
        <f t="shared" si="133"/>
        <v>101.3</v>
      </c>
      <c r="I252" s="451">
        <f t="shared" si="105"/>
        <v>45.223214285714285</v>
      </c>
    </row>
    <row r="253" spans="1:9" s="200" customFormat="1" ht="31.5" x14ac:dyDescent="0.25">
      <c r="A253" s="29" t="s">
        <v>272</v>
      </c>
      <c r="B253" s="454" t="s">
        <v>1254</v>
      </c>
      <c r="C253" s="461" t="s">
        <v>264</v>
      </c>
      <c r="D253" s="461" t="s">
        <v>213</v>
      </c>
      <c r="E253" s="461" t="s">
        <v>273</v>
      </c>
      <c r="F253" s="461"/>
      <c r="G253" s="10">
        <f t="shared" si="133"/>
        <v>224</v>
      </c>
      <c r="H253" s="10">
        <f t="shared" si="133"/>
        <v>101.3</v>
      </c>
      <c r="I253" s="451">
        <f t="shared" si="105"/>
        <v>45.223214285714285</v>
      </c>
    </row>
    <row r="254" spans="1:9" s="200" customFormat="1" ht="15.75" x14ac:dyDescent="0.25">
      <c r="A254" s="29" t="s">
        <v>274</v>
      </c>
      <c r="B254" s="454" t="s">
        <v>1254</v>
      </c>
      <c r="C254" s="461" t="s">
        <v>264</v>
      </c>
      <c r="D254" s="461" t="s">
        <v>213</v>
      </c>
      <c r="E254" s="461" t="s">
        <v>275</v>
      </c>
      <c r="F254" s="461"/>
      <c r="G254" s="10">
        <f>'Пр.4 ведом.21'!G675</f>
        <v>224</v>
      </c>
      <c r="H254" s="10">
        <f>'Пр.4 ведом.21'!H675</f>
        <v>101.3</v>
      </c>
      <c r="I254" s="451">
        <f t="shared" si="105"/>
        <v>45.223214285714285</v>
      </c>
    </row>
    <row r="255" spans="1:9" s="200" customFormat="1" ht="31.5" x14ac:dyDescent="0.25">
      <c r="A255" s="29" t="s">
        <v>403</v>
      </c>
      <c r="B255" s="454" t="s">
        <v>1254</v>
      </c>
      <c r="C255" s="461" t="s">
        <v>264</v>
      </c>
      <c r="D255" s="461" t="s">
        <v>213</v>
      </c>
      <c r="E255" s="461" t="s">
        <v>275</v>
      </c>
      <c r="F255" s="461" t="s">
        <v>636</v>
      </c>
      <c r="G255" s="10">
        <f>G254</f>
        <v>224</v>
      </c>
      <c r="H255" s="10">
        <f t="shared" ref="H255" si="134">H254</f>
        <v>101.3</v>
      </c>
      <c r="I255" s="451">
        <f t="shared" si="105"/>
        <v>45.223214285714285</v>
      </c>
    </row>
    <row r="256" spans="1:9" s="200" customFormat="1" ht="31.5" x14ac:dyDescent="0.25">
      <c r="A256" s="456" t="s">
        <v>943</v>
      </c>
      <c r="B256" s="457" t="s">
        <v>1240</v>
      </c>
      <c r="C256" s="7"/>
      <c r="D256" s="7"/>
      <c r="E256" s="7"/>
      <c r="F256" s="7"/>
      <c r="G256" s="59">
        <f>G257</f>
        <v>6060.0000000000009</v>
      </c>
      <c r="H256" s="59">
        <f t="shared" ref="H256" si="135">H257</f>
        <v>5192.8689999999997</v>
      </c>
      <c r="I256" s="450">
        <f t="shared" si="105"/>
        <v>85.690907590759053</v>
      </c>
    </row>
    <row r="257" spans="1:9" s="200" customFormat="1" ht="15.75" x14ac:dyDescent="0.25">
      <c r="A257" s="29" t="s">
        <v>263</v>
      </c>
      <c r="B257" s="454" t="s">
        <v>1240</v>
      </c>
      <c r="C257" s="461" t="s">
        <v>264</v>
      </c>
      <c r="D257" s="461"/>
      <c r="E257" s="461"/>
      <c r="F257" s="461"/>
      <c r="G257" s="10">
        <f t="shared" ref="G257:H260" si="136">G258</f>
        <v>6060.0000000000009</v>
      </c>
      <c r="H257" s="10">
        <f t="shared" si="136"/>
        <v>5192.8689999999997</v>
      </c>
      <c r="I257" s="451">
        <f t="shared" si="105"/>
        <v>85.690907590759053</v>
      </c>
    </row>
    <row r="258" spans="1:9" s="200" customFormat="1" ht="15.75" x14ac:dyDescent="0.25">
      <c r="A258" s="29" t="s">
        <v>466</v>
      </c>
      <c r="B258" s="454" t="s">
        <v>1240</v>
      </c>
      <c r="C258" s="461" t="s">
        <v>264</v>
      </c>
      <c r="D258" s="461" t="s">
        <v>264</v>
      </c>
      <c r="E258" s="461"/>
      <c r="F258" s="461"/>
      <c r="G258" s="10">
        <f>G259</f>
        <v>6060.0000000000009</v>
      </c>
      <c r="H258" s="10">
        <f t="shared" si="136"/>
        <v>5192.8689999999997</v>
      </c>
      <c r="I258" s="451">
        <f t="shared" si="105"/>
        <v>85.690907590759053</v>
      </c>
    </row>
    <row r="259" spans="1:9" s="200" customFormat="1" ht="31.5" x14ac:dyDescent="0.25">
      <c r="A259" s="31" t="s">
        <v>1060</v>
      </c>
      <c r="B259" s="454" t="s">
        <v>1262</v>
      </c>
      <c r="C259" s="461" t="s">
        <v>264</v>
      </c>
      <c r="D259" s="461" t="s">
        <v>264</v>
      </c>
      <c r="E259" s="461"/>
      <c r="F259" s="461"/>
      <c r="G259" s="10">
        <f t="shared" si="136"/>
        <v>6060.0000000000009</v>
      </c>
      <c r="H259" s="10">
        <f t="shared" si="136"/>
        <v>5192.8689999999997</v>
      </c>
      <c r="I259" s="451">
        <f t="shared" si="105"/>
        <v>85.690907590759053</v>
      </c>
    </row>
    <row r="260" spans="1:9" s="200" customFormat="1" ht="31.5" x14ac:dyDescent="0.25">
      <c r="A260" s="458" t="s">
        <v>272</v>
      </c>
      <c r="B260" s="454" t="s">
        <v>1262</v>
      </c>
      <c r="C260" s="461" t="s">
        <v>264</v>
      </c>
      <c r="D260" s="461" t="s">
        <v>264</v>
      </c>
      <c r="E260" s="461" t="s">
        <v>273</v>
      </c>
      <c r="F260" s="461"/>
      <c r="G260" s="10">
        <f t="shared" si="136"/>
        <v>6060.0000000000009</v>
      </c>
      <c r="H260" s="10">
        <f t="shared" si="136"/>
        <v>5192.8689999999997</v>
      </c>
      <c r="I260" s="451">
        <f t="shared" si="105"/>
        <v>85.690907590759053</v>
      </c>
    </row>
    <row r="261" spans="1:9" s="200" customFormat="1" ht="15.75" x14ac:dyDescent="0.25">
      <c r="A261" s="458" t="s">
        <v>274</v>
      </c>
      <c r="B261" s="454" t="s">
        <v>1262</v>
      </c>
      <c r="C261" s="461" t="s">
        <v>264</v>
      </c>
      <c r="D261" s="461" t="s">
        <v>264</v>
      </c>
      <c r="E261" s="461" t="s">
        <v>275</v>
      </c>
      <c r="F261" s="461"/>
      <c r="G261" s="10">
        <f>'Пр.4 ведом.21'!G766</f>
        <v>6060.0000000000009</v>
      </c>
      <c r="H261" s="10">
        <f>'Пр.4 ведом.21'!H766</f>
        <v>5192.8689999999997</v>
      </c>
      <c r="I261" s="451">
        <f t="shared" si="105"/>
        <v>85.690907590759053</v>
      </c>
    </row>
    <row r="262" spans="1:9" s="200" customFormat="1" ht="31.5" x14ac:dyDescent="0.25">
      <c r="A262" s="29" t="s">
        <v>403</v>
      </c>
      <c r="B262" s="454" t="s">
        <v>1262</v>
      </c>
      <c r="C262" s="461" t="s">
        <v>264</v>
      </c>
      <c r="D262" s="461" t="s">
        <v>264</v>
      </c>
      <c r="E262" s="461" t="s">
        <v>275</v>
      </c>
      <c r="F262" s="461" t="s">
        <v>636</v>
      </c>
      <c r="G262" s="10">
        <f>G261</f>
        <v>6060.0000000000009</v>
      </c>
      <c r="H262" s="10">
        <f t="shared" ref="H262" si="137">H261</f>
        <v>5192.8689999999997</v>
      </c>
      <c r="I262" s="451">
        <f t="shared" si="105"/>
        <v>85.690907590759053</v>
      </c>
    </row>
    <row r="263" spans="1:9" s="200" customFormat="1" ht="31.5" x14ac:dyDescent="0.25">
      <c r="A263" s="214" t="s">
        <v>948</v>
      </c>
      <c r="B263" s="457" t="s">
        <v>1241</v>
      </c>
      <c r="C263" s="7"/>
      <c r="D263" s="7"/>
      <c r="E263" s="7"/>
      <c r="F263" s="7"/>
      <c r="G263" s="450">
        <f>G264</f>
        <v>8492</v>
      </c>
      <c r="H263" s="450">
        <f t="shared" ref="H263" si="138">H264</f>
        <v>7802</v>
      </c>
      <c r="I263" s="450">
        <f t="shared" si="105"/>
        <v>91.874705605275551</v>
      </c>
    </row>
    <row r="264" spans="1:9" s="200" customFormat="1" ht="15.75" x14ac:dyDescent="0.25">
      <c r="A264" s="29" t="s">
        <v>263</v>
      </c>
      <c r="B264" s="454" t="s">
        <v>1241</v>
      </c>
      <c r="C264" s="461" t="s">
        <v>264</v>
      </c>
      <c r="D264" s="461"/>
      <c r="E264" s="461"/>
      <c r="F264" s="461"/>
      <c r="G264" s="10">
        <f>G265+G278+G287</f>
        <v>8492</v>
      </c>
      <c r="H264" s="10">
        <f t="shared" ref="H264" si="139">H265+H278+H287</f>
        <v>7802</v>
      </c>
      <c r="I264" s="451">
        <f t="shared" si="105"/>
        <v>91.874705605275551</v>
      </c>
    </row>
    <row r="265" spans="1:9" s="200" customFormat="1" ht="15.75" x14ac:dyDescent="0.25">
      <c r="A265" s="45" t="s">
        <v>404</v>
      </c>
      <c r="B265" s="454" t="s">
        <v>1241</v>
      </c>
      <c r="C265" s="461" t="s">
        <v>264</v>
      </c>
      <c r="D265" s="461" t="s">
        <v>118</v>
      </c>
      <c r="E265" s="461"/>
      <c r="F265" s="461"/>
      <c r="G265" s="10">
        <f>G266+G270+G274</f>
        <v>4348</v>
      </c>
      <c r="H265" s="10">
        <f t="shared" ref="H265" si="140">H266+H270+H274</f>
        <v>3958</v>
      </c>
      <c r="I265" s="451">
        <f t="shared" si="105"/>
        <v>91.030358785648573</v>
      </c>
    </row>
    <row r="266" spans="1:9" ht="31.7" hidden="1" customHeight="1" x14ac:dyDescent="0.25">
      <c r="A266" s="29" t="s">
        <v>284</v>
      </c>
      <c r="B266" s="454" t="s">
        <v>1259</v>
      </c>
      <c r="C266" s="461" t="s">
        <v>264</v>
      </c>
      <c r="D266" s="461" t="s">
        <v>118</v>
      </c>
      <c r="E266" s="461"/>
      <c r="F266" s="461"/>
      <c r="G266" s="10">
        <f t="shared" ref="G266:H267" si="141">G267</f>
        <v>0</v>
      </c>
      <c r="H266" s="10">
        <f t="shared" si="141"/>
        <v>0</v>
      </c>
      <c r="I266" s="451" t="e">
        <f t="shared" si="105"/>
        <v>#DIV/0!</v>
      </c>
    </row>
    <row r="267" spans="1:9" ht="31.7" hidden="1" customHeight="1" x14ac:dyDescent="0.25">
      <c r="A267" s="29" t="s">
        <v>272</v>
      </c>
      <c r="B267" s="454" t="s">
        <v>1259</v>
      </c>
      <c r="C267" s="461" t="s">
        <v>264</v>
      </c>
      <c r="D267" s="461" t="s">
        <v>118</v>
      </c>
      <c r="E267" s="461" t="s">
        <v>273</v>
      </c>
      <c r="F267" s="461"/>
      <c r="G267" s="10">
        <f t="shared" si="141"/>
        <v>0</v>
      </c>
      <c r="H267" s="10">
        <f t="shared" si="141"/>
        <v>0</v>
      </c>
      <c r="I267" s="451" t="e">
        <f t="shared" ref="I267:I330" si="142">H267/G267*100</f>
        <v>#DIV/0!</v>
      </c>
    </row>
    <row r="268" spans="1:9" ht="15.75" hidden="1" customHeight="1" x14ac:dyDescent="0.25">
      <c r="A268" s="29" t="s">
        <v>274</v>
      </c>
      <c r="B268" s="454" t="s">
        <v>1259</v>
      </c>
      <c r="C268" s="461" t="s">
        <v>264</v>
      </c>
      <c r="D268" s="461" t="s">
        <v>118</v>
      </c>
      <c r="E268" s="461" t="s">
        <v>275</v>
      </c>
      <c r="F268" s="461"/>
      <c r="G268" s="10">
        <f>'Пр.4 ведом.21'!G602</f>
        <v>0</v>
      </c>
      <c r="H268" s="10">
        <f>'Пр.4 ведом.21'!H602</f>
        <v>0</v>
      </c>
      <c r="I268" s="451" t="e">
        <f t="shared" si="142"/>
        <v>#DIV/0!</v>
      </c>
    </row>
    <row r="269" spans="1:9" s="200" customFormat="1" ht="30.6" hidden="1" customHeight="1" x14ac:dyDescent="0.25">
      <c r="A269" s="29" t="s">
        <v>403</v>
      </c>
      <c r="B269" s="454" t="s">
        <v>1259</v>
      </c>
      <c r="C269" s="461" t="s">
        <v>264</v>
      </c>
      <c r="D269" s="461" t="s">
        <v>118</v>
      </c>
      <c r="E269" s="461" t="s">
        <v>275</v>
      </c>
      <c r="F269" s="461" t="s">
        <v>636</v>
      </c>
      <c r="G269" s="10">
        <f>G268</f>
        <v>0</v>
      </c>
      <c r="H269" s="10">
        <f t="shared" ref="H269" si="143">H268</f>
        <v>0</v>
      </c>
      <c r="I269" s="451" t="e">
        <f t="shared" si="142"/>
        <v>#DIV/0!</v>
      </c>
    </row>
    <row r="270" spans="1:9" ht="31.5" x14ac:dyDescent="0.25">
      <c r="A270" s="60" t="s">
        <v>764</v>
      </c>
      <c r="B270" s="454" t="s">
        <v>1242</v>
      </c>
      <c r="C270" s="454" t="s">
        <v>264</v>
      </c>
      <c r="D270" s="454" t="s">
        <v>118</v>
      </c>
      <c r="E270" s="454"/>
      <c r="F270" s="454"/>
      <c r="G270" s="10">
        <f t="shared" ref="G270:H271" si="144">G271</f>
        <v>3088</v>
      </c>
      <c r="H270" s="10">
        <f t="shared" si="144"/>
        <v>3088</v>
      </c>
      <c r="I270" s="451">
        <f t="shared" si="142"/>
        <v>100</v>
      </c>
    </row>
    <row r="271" spans="1:9" ht="31.5" x14ac:dyDescent="0.25">
      <c r="A271" s="29" t="s">
        <v>272</v>
      </c>
      <c r="B271" s="454" t="s">
        <v>1242</v>
      </c>
      <c r="C271" s="454" t="s">
        <v>264</v>
      </c>
      <c r="D271" s="454" t="s">
        <v>118</v>
      </c>
      <c r="E271" s="454" t="s">
        <v>273</v>
      </c>
      <c r="F271" s="454"/>
      <c r="G271" s="10">
        <f t="shared" si="144"/>
        <v>3088</v>
      </c>
      <c r="H271" s="10">
        <f t="shared" si="144"/>
        <v>3088</v>
      </c>
      <c r="I271" s="451">
        <f t="shared" si="142"/>
        <v>100</v>
      </c>
    </row>
    <row r="272" spans="1:9" ht="15.75" x14ac:dyDescent="0.25">
      <c r="A272" s="182" t="s">
        <v>274</v>
      </c>
      <c r="B272" s="454" t="s">
        <v>1242</v>
      </c>
      <c r="C272" s="454" t="s">
        <v>264</v>
      </c>
      <c r="D272" s="454" t="s">
        <v>118</v>
      </c>
      <c r="E272" s="454" t="s">
        <v>275</v>
      </c>
      <c r="F272" s="454"/>
      <c r="G272" s="10">
        <f>'Пр.4 ведом.21'!G605</f>
        <v>3088</v>
      </c>
      <c r="H272" s="10">
        <f>'Пр.4 ведом.21'!H605</f>
        <v>3088</v>
      </c>
      <c r="I272" s="451">
        <f t="shared" si="142"/>
        <v>100</v>
      </c>
    </row>
    <row r="273" spans="1:9" s="200" customFormat="1" ht="31.5" x14ac:dyDescent="0.25">
      <c r="A273" s="29" t="s">
        <v>403</v>
      </c>
      <c r="B273" s="454" t="s">
        <v>1242</v>
      </c>
      <c r="C273" s="461" t="s">
        <v>264</v>
      </c>
      <c r="D273" s="461" t="s">
        <v>118</v>
      </c>
      <c r="E273" s="461" t="s">
        <v>275</v>
      </c>
      <c r="F273" s="461" t="s">
        <v>636</v>
      </c>
      <c r="G273" s="10">
        <f>G272</f>
        <v>3088</v>
      </c>
      <c r="H273" s="10">
        <f t="shared" ref="H273" si="145">H272</f>
        <v>3088</v>
      </c>
      <c r="I273" s="451">
        <f t="shared" si="142"/>
        <v>100</v>
      </c>
    </row>
    <row r="274" spans="1:9" ht="47.25" x14ac:dyDescent="0.25">
      <c r="A274" s="60" t="s">
        <v>765</v>
      </c>
      <c r="B274" s="454" t="s">
        <v>1243</v>
      </c>
      <c r="C274" s="454" t="s">
        <v>264</v>
      </c>
      <c r="D274" s="454" t="s">
        <v>118</v>
      </c>
      <c r="E274" s="454"/>
      <c r="F274" s="454"/>
      <c r="G274" s="10">
        <f t="shared" ref="G274:H275" si="146">G275</f>
        <v>1260</v>
      </c>
      <c r="H274" s="10">
        <f t="shared" si="146"/>
        <v>870</v>
      </c>
      <c r="I274" s="451">
        <f t="shared" si="142"/>
        <v>69.047619047619051</v>
      </c>
    </row>
    <row r="275" spans="1:9" ht="31.5" x14ac:dyDescent="0.25">
      <c r="A275" s="29" t="s">
        <v>272</v>
      </c>
      <c r="B275" s="454" t="s">
        <v>1243</v>
      </c>
      <c r="C275" s="454" t="s">
        <v>264</v>
      </c>
      <c r="D275" s="454" t="s">
        <v>118</v>
      </c>
      <c r="E275" s="454" t="s">
        <v>273</v>
      </c>
      <c r="F275" s="454"/>
      <c r="G275" s="10">
        <f t="shared" si="146"/>
        <v>1260</v>
      </c>
      <c r="H275" s="10">
        <f t="shared" si="146"/>
        <v>870</v>
      </c>
      <c r="I275" s="451">
        <f t="shared" si="142"/>
        <v>69.047619047619051</v>
      </c>
    </row>
    <row r="276" spans="1:9" ht="15.75" x14ac:dyDescent="0.25">
      <c r="A276" s="182" t="s">
        <v>274</v>
      </c>
      <c r="B276" s="454" t="s">
        <v>1243</v>
      </c>
      <c r="C276" s="454" t="s">
        <v>264</v>
      </c>
      <c r="D276" s="454" t="s">
        <v>118</v>
      </c>
      <c r="E276" s="454" t="s">
        <v>275</v>
      </c>
      <c r="F276" s="454"/>
      <c r="G276" s="10">
        <f>'Пр.4 ведом.21'!G608</f>
        <v>1260</v>
      </c>
      <c r="H276" s="10">
        <f>'Пр.4 ведом.21'!H608</f>
        <v>870</v>
      </c>
      <c r="I276" s="451">
        <f t="shared" si="142"/>
        <v>69.047619047619051</v>
      </c>
    </row>
    <row r="277" spans="1:9" s="200" customFormat="1" ht="31.5" x14ac:dyDescent="0.25">
      <c r="A277" s="29" t="s">
        <v>403</v>
      </c>
      <c r="B277" s="454" t="s">
        <v>1243</v>
      </c>
      <c r="C277" s="461" t="s">
        <v>264</v>
      </c>
      <c r="D277" s="461" t="s">
        <v>118</v>
      </c>
      <c r="E277" s="461" t="s">
        <v>275</v>
      </c>
      <c r="F277" s="461" t="s">
        <v>636</v>
      </c>
      <c r="G277" s="10">
        <f>G276</f>
        <v>1260</v>
      </c>
      <c r="H277" s="10">
        <f t="shared" ref="H277" si="147">H276</f>
        <v>870</v>
      </c>
      <c r="I277" s="451">
        <f t="shared" si="142"/>
        <v>69.047619047619051</v>
      </c>
    </row>
    <row r="278" spans="1:9" s="200" customFormat="1" ht="15.75" x14ac:dyDescent="0.25">
      <c r="A278" s="29" t="s">
        <v>425</v>
      </c>
      <c r="B278" s="461" t="s">
        <v>1241</v>
      </c>
      <c r="C278" s="461" t="s">
        <v>264</v>
      </c>
      <c r="D278" s="461" t="s">
        <v>213</v>
      </c>
      <c r="E278" s="461"/>
      <c r="F278" s="461"/>
      <c r="G278" s="10">
        <f>G279+G283</f>
        <v>2744</v>
      </c>
      <c r="H278" s="10">
        <f t="shared" ref="H278" si="148">H279+H283</f>
        <v>2744</v>
      </c>
      <c r="I278" s="451">
        <f t="shared" si="142"/>
        <v>100</v>
      </c>
    </row>
    <row r="279" spans="1:9" s="200" customFormat="1" ht="31.5" x14ac:dyDescent="0.25">
      <c r="A279" s="29" t="s">
        <v>284</v>
      </c>
      <c r="B279" s="454" t="s">
        <v>1259</v>
      </c>
      <c r="C279" s="461" t="s">
        <v>264</v>
      </c>
      <c r="D279" s="461" t="s">
        <v>213</v>
      </c>
      <c r="E279" s="461"/>
      <c r="F279" s="461"/>
      <c r="G279" s="10">
        <f t="shared" ref="G279:H280" si="149">G280</f>
        <v>44</v>
      </c>
      <c r="H279" s="10">
        <f t="shared" si="149"/>
        <v>44</v>
      </c>
      <c r="I279" s="451">
        <f t="shared" si="142"/>
        <v>100</v>
      </c>
    </row>
    <row r="280" spans="1:9" s="200" customFormat="1" ht="31.5" x14ac:dyDescent="0.25">
      <c r="A280" s="29" t="s">
        <v>272</v>
      </c>
      <c r="B280" s="454" t="s">
        <v>1259</v>
      </c>
      <c r="C280" s="461" t="s">
        <v>264</v>
      </c>
      <c r="D280" s="461" t="s">
        <v>213</v>
      </c>
      <c r="E280" s="461" t="s">
        <v>273</v>
      </c>
      <c r="F280" s="461"/>
      <c r="G280" s="10">
        <f t="shared" si="149"/>
        <v>44</v>
      </c>
      <c r="H280" s="10">
        <f t="shared" si="149"/>
        <v>44</v>
      </c>
      <c r="I280" s="451">
        <f t="shared" si="142"/>
        <v>100</v>
      </c>
    </row>
    <row r="281" spans="1:9" s="200" customFormat="1" ht="15.75" x14ac:dyDescent="0.25">
      <c r="A281" s="29" t="s">
        <v>274</v>
      </c>
      <c r="B281" s="454" t="s">
        <v>1259</v>
      </c>
      <c r="C281" s="461" t="s">
        <v>264</v>
      </c>
      <c r="D281" s="461" t="s">
        <v>213</v>
      </c>
      <c r="E281" s="461" t="s">
        <v>275</v>
      </c>
      <c r="F281" s="461"/>
      <c r="G281" s="10">
        <f>'Пр.4 ведом.21'!G679</f>
        <v>44</v>
      </c>
      <c r="H281" s="10">
        <f>'Пр.4 ведом.21'!H679</f>
        <v>44</v>
      </c>
      <c r="I281" s="451">
        <f t="shared" si="142"/>
        <v>100</v>
      </c>
    </row>
    <row r="282" spans="1:9" s="200" customFormat="1" ht="31.5" x14ac:dyDescent="0.25">
      <c r="A282" s="29" t="s">
        <v>403</v>
      </c>
      <c r="B282" s="454" t="s">
        <v>1259</v>
      </c>
      <c r="C282" s="461" t="s">
        <v>264</v>
      </c>
      <c r="D282" s="461" t="s">
        <v>213</v>
      </c>
      <c r="E282" s="461" t="s">
        <v>275</v>
      </c>
      <c r="F282" s="461" t="s">
        <v>636</v>
      </c>
      <c r="G282" s="10">
        <f>G281</f>
        <v>44</v>
      </c>
      <c r="H282" s="10">
        <f t="shared" ref="H282" si="150">H281</f>
        <v>44</v>
      </c>
      <c r="I282" s="451">
        <f t="shared" si="142"/>
        <v>100</v>
      </c>
    </row>
    <row r="283" spans="1:9" s="200" customFormat="1" ht="31.5" x14ac:dyDescent="0.25">
      <c r="A283" s="60" t="s">
        <v>764</v>
      </c>
      <c r="B283" s="454" t="s">
        <v>1242</v>
      </c>
      <c r="C283" s="461" t="s">
        <v>264</v>
      </c>
      <c r="D283" s="461" t="s">
        <v>213</v>
      </c>
      <c r="E283" s="461"/>
      <c r="F283" s="461"/>
      <c r="G283" s="10">
        <f t="shared" ref="G283:H284" si="151">G284</f>
        <v>2700</v>
      </c>
      <c r="H283" s="10">
        <f t="shared" si="151"/>
        <v>2700</v>
      </c>
      <c r="I283" s="451">
        <f t="shared" si="142"/>
        <v>100</v>
      </c>
    </row>
    <row r="284" spans="1:9" s="200" customFormat="1" ht="31.5" x14ac:dyDescent="0.25">
      <c r="A284" s="29" t="s">
        <v>272</v>
      </c>
      <c r="B284" s="454" t="s">
        <v>1242</v>
      </c>
      <c r="C284" s="461" t="s">
        <v>264</v>
      </c>
      <c r="D284" s="461" t="s">
        <v>213</v>
      </c>
      <c r="E284" s="461" t="s">
        <v>273</v>
      </c>
      <c r="F284" s="461"/>
      <c r="G284" s="10">
        <f t="shared" si="151"/>
        <v>2700</v>
      </c>
      <c r="H284" s="10">
        <f t="shared" si="151"/>
        <v>2700</v>
      </c>
      <c r="I284" s="451">
        <f t="shared" si="142"/>
        <v>100</v>
      </c>
    </row>
    <row r="285" spans="1:9" s="200" customFormat="1" ht="15.75" x14ac:dyDescent="0.25">
      <c r="A285" s="182" t="s">
        <v>274</v>
      </c>
      <c r="B285" s="454" t="s">
        <v>1242</v>
      </c>
      <c r="C285" s="461" t="s">
        <v>264</v>
      </c>
      <c r="D285" s="461" t="s">
        <v>213</v>
      </c>
      <c r="E285" s="461" t="s">
        <v>275</v>
      </c>
      <c r="F285" s="461"/>
      <c r="G285" s="10">
        <f>'Пр.4 ведом.21'!G682</f>
        <v>2700</v>
      </c>
      <c r="H285" s="10">
        <f>'Пр.4 ведом.21'!H682</f>
        <v>2700</v>
      </c>
      <c r="I285" s="451">
        <f t="shared" si="142"/>
        <v>100</v>
      </c>
    </row>
    <row r="286" spans="1:9" s="200" customFormat="1" ht="31.5" x14ac:dyDescent="0.25">
      <c r="A286" s="29" t="s">
        <v>403</v>
      </c>
      <c r="B286" s="454" t="s">
        <v>1242</v>
      </c>
      <c r="C286" s="461" t="s">
        <v>264</v>
      </c>
      <c r="D286" s="461" t="s">
        <v>213</v>
      </c>
      <c r="E286" s="461" t="s">
        <v>275</v>
      </c>
      <c r="F286" s="461" t="s">
        <v>636</v>
      </c>
      <c r="G286" s="10">
        <f>G285</f>
        <v>2700</v>
      </c>
      <c r="H286" s="10">
        <f t="shared" ref="H286" si="152">H285</f>
        <v>2700</v>
      </c>
      <c r="I286" s="451">
        <f t="shared" si="142"/>
        <v>100</v>
      </c>
    </row>
    <row r="287" spans="1:9" s="200" customFormat="1" ht="15.75" x14ac:dyDescent="0.25">
      <c r="A287" s="29" t="s">
        <v>265</v>
      </c>
      <c r="B287" s="461" t="s">
        <v>1241</v>
      </c>
      <c r="C287" s="461" t="s">
        <v>264</v>
      </c>
      <c r="D287" s="461" t="s">
        <v>215</v>
      </c>
      <c r="E287" s="461"/>
      <c r="F287" s="461"/>
      <c r="G287" s="10">
        <f>G288</f>
        <v>1400</v>
      </c>
      <c r="H287" s="10">
        <f t="shared" ref="H287" si="153">H288</f>
        <v>1100</v>
      </c>
      <c r="I287" s="451">
        <f t="shared" si="142"/>
        <v>78.571428571428569</v>
      </c>
    </row>
    <row r="288" spans="1:9" s="200" customFormat="1" ht="31.5" x14ac:dyDescent="0.25">
      <c r="A288" s="45" t="s">
        <v>764</v>
      </c>
      <c r="B288" s="454" t="s">
        <v>1242</v>
      </c>
      <c r="C288" s="454" t="s">
        <v>264</v>
      </c>
      <c r="D288" s="454" t="s">
        <v>215</v>
      </c>
      <c r="E288" s="454"/>
      <c r="F288" s="454"/>
      <c r="G288" s="10">
        <f t="shared" ref="G288:H289" si="154">G289</f>
        <v>1400</v>
      </c>
      <c r="H288" s="10">
        <f t="shared" si="154"/>
        <v>1100</v>
      </c>
      <c r="I288" s="451">
        <f t="shared" si="142"/>
        <v>78.571428571428569</v>
      </c>
    </row>
    <row r="289" spans="1:9" s="200" customFormat="1" ht="31.5" x14ac:dyDescent="0.25">
      <c r="A289" s="29" t="s">
        <v>272</v>
      </c>
      <c r="B289" s="454" t="s">
        <v>1242</v>
      </c>
      <c r="C289" s="454" t="s">
        <v>264</v>
      </c>
      <c r="D289" s="454" t="s">
        <v>215</v>
      </c>
      <c r="E289" s="454" t="s">
        <v>273</v>
      </c>
      <c r="F289" s="454"/>
      <c r="G289" s="10">
        <f t="shared" si="154"/>
        <v>1400</v>
      </c>
      <c r="H289" s="10">
        <f t="shared" si="154"/>
        <v>1100</v>
      </c>
      <c r="I289" s="451">
        <f t="shared" si="142"/>
        <v>78.571428571428569</v>
      </c>
    </row>
    <row r="290" spans="1:9" s="200" customFormat="1" ht="15.75" x14ac:dyDescent="0.25">
      <c r="A290" s="31" t="s">
        <v>274</v>
      </c>
      <c r="B290" s="454" t="s">
        <v>1242</v>
      </c>
      <c r="C290" s="454" t="s">
        <v>264</v>
      </c>
      <c r="D290" s="454" t="s">
        <v>215</v>
      </c>
      <c r="E290" s="454" t="s">
        <v>275</v>
      </c>
      <c r="F290" s="454"/>
      <c r="G290" s="10">
        <f>'Пр.4 ведом.21'!G755</f>
        <v>1400</v>
      </c>
      <c r="H290" s="10">
        <f>'Пр.4 ведом.21'!H755</f>
        <v>1100</v>
      </c>
      <c r="I290" s="451">
        <f t="shared" si="142"/>
        <v>78.571428571428569</v>
      </c>
    </row>
    <row r="291" spans="1:9" s="200" customFormat="1" ht="31.5" x14ac:dyDescent="0.25">
      <c r="A291" s="29" t="s">
        <v>403</v>
      </c>
      <c r="B291" s="454" t="s">
        <v>1242</v>
      </c>
      <c r="C291" s="461" t="s">
        <v>264</v>
      </c>
      <c r="D291" s="461" t="s">
        <v>215</v>
      </c>
      <c r="E291" s="461" t="s">
        <v>275</v>
      </c>
      <c r="F291" s="461" t="s">
        <v>636</v>
      </c>
      <c r="G291" s="10">
        <f>G290</f>
        <v>1400</v>
      </c>
      <c r="H291" s="10">
        <f t="shared" ref="H291" si="155">H290</f>
        <v>1100</v>
      </c>
      <c r="I291" s="451">
        <f t="shared" si="142"/>
        <v>78.571428571428569</v>
      </c>
    </row>
    <row r="292" spans="1:9" s="200" customFormat="1" ht="63" x14ac:dyDescent="0.25">
      <c r="A292" s="456" t="s">
        <v>933</v>
      </c>
      <c r="B292" s="457" t="s">
        <v>1244</v>
      </c>
      <c r="C292" s="457"/>
      <c r="D292" s="457"/>
      <c r="E292" s="457"/>
      <c r="F292" s="457"/>
      <c r="G292" s="59">
        <f>G293</f>
        <v>291.10000000000002</v>
      </c>
      <c r="H292" s="59">
        <f t="shared" ref="H292" si="156">H293</f>
        <v>0</v>
      </c>
      <c r="I292" s="450">
        <f t="shared" si="142"/>
        <v>0</v>
      </c>
    </row>
    <row r="293" spans="1:9" s="200" customFormat="1" ht="15.75" x14ac:dyDescent="0.25">
      <c r="A293" s="29" t="s">
        <v>263</v>
      </c>
      <c r="B293" s="454" t="s">
        <v>1244</v>
      </c>
      <c r="C293" s="461" t="s">
        <v>264</v>
      </c>
      <c r="D293" s="461"/>
      <c r="E293" s="461"/>
      <c r="F293" s="461"/>
      <c r="G293" s="10">
        <f t="shared" ref="G293:H296" si="157">G294</f>
        <v>291.10000000000002</v>
      </c>
      <c r="H293" s="10">
        <f t="shared" si="157"/>
        <v>0</v>
      </c>
      <c r="I293" s="451">
        <f t="shared" si="142"/>
        <v>0</v>
      </c>
    </row>
    <row r="294" spans="1:9" s="200" customFormat="1" ht="15.75" x14ac:dyDescent="0.25">
      <c r="A294" s="45" t="s">
        <v>404</v>
      </c>
      <c r="B294" s="454" t="s">
        <v>1244</v>
      </c>
      <c r="C294" s="461" t="s">
        <v>264</v>
      </c>
      <c r="D294" s="461" t="s">
        <v>118</v>
      </c>
      <c r="E294" s="461"/>
      <c r="F294" s="461"/>
      <c r="G294" s="10">
        <f>G295</f>
        <v>291.10000000000002</v>
      </c>
      <c r="H294" s="10">
        <f t="shared" si="157"/>
        <v>0</v>
      </c>
      <c r="I294" s="451">
        <f t="shared" si="142"/>
        <v>0</v>
      </c>
    </row>
    <row r="295" spans="1:9" ht="112.7" customHeight="1" x14ac:dyDescent="0.25">
      <c r="A295" s="458" t="s">
        <v>1515</v>
      </c>
      <c r="B295" s="454" t="s">
        <v>1245</v>
      </c>
      <c r="C295" s="454" t="s">
        <v>264</v>
      </c>
      <c r="D295" s="454" t="s">
        <v>118</v>
      </c>
      <c r="E295" s="454"/>
      <c r="F295" s="454"/>
      <c r="G295" s="10">
        <f>G296</f>
        <v>291.10000000000002</v>
      </c>
      <c r="H295" s="10">
        <f t="shared" si="157"/>
        <v>0</v>
      </c>
      <c r="I295" s="451">
        <f t="shared" si="142"/>
        <v>0</v>
      </c>
    </row>
    <row r="296" spans="1:9" ht="31.5" x14ac:dyDescent="0.25">
      <c r="A296" s="458" t="s">
        <v>272</v>
      </c>
      <c r="B296" s="454" t="s">
        <v>1245</v>
      </c>
      <c r="C296" s="454" t="s">
        <v>264</v>
      </c>
      <c r="D296" s="454" t="s">
        <v>118</v>
      </c>
      <c r="E296" s="454" t="s">
        <v>273</v>
      </c>
      <c r="F296" s="454"/>
      <c r="G296" s="10">
        <f>G297</f>
        <v>291.10000000000002</v>
      </c>
      <c r="H296" s="10">
        <f t="shared" si="157"/>
        <v>0</v>
      </c>
      <c r="I296" s="451">
        <f t="shared" si="142"/>
        <v>0</v>
      </c>
    </row>
    <row r="297" spans="1:9" ht="15.75" x14ac:dyDescent="0.25">
      <c r="A297" s="458" t="s">
        <v>274</v>
      </c>
      <c r="B297" s="454" t="s">
        <v>1245</v>
      </c>
      <c r="C297" s="454" t="s">
        <v>264</v>
      </c>
      <c r="D297" s="454" t="s">
        <v>118</v>
      </c>
      <c r="E297" s="454" t="s">
        <v>275</v>
      </c>
      <c r="F297" s="454"/>
      <c r="G297" s="10">
        <f>'Пр.4 ведом.21'!G612</f>
        <v>291.10000000000002</v>
      </c>
      <c r="H297" s="10">
        <f>'Пр.4 ведом.21'!H612</f>
        <v>0</v>
      </c>
      <c r="I297" s="451">
        <f t="shared" si="142"/>
        <v>0</v>
      </c>
    </row>
    <row r="298" spans="1:9" s="200" customFormat="1" ht="31.5" x14ac:dyDescent="0.25">
      <c r="A298" s="29" t="s">
        <v>403</v>
      </c>
      <c r="B298" s="454" t="s">
        <v>1245</v>
      </c>
      <c r="C298" s="461" t="s">
        <v>264</v>
      </c>
      <c r="D298" s="461" t="s">
        <v>118</v>
      </c>
      <c r="E298" s="461" t="s">
        <v>275</v>
      </c>
      <c r="F298" s="461" t="s">
        <v>636</v>
      </c>
      <c r="G298" s="10">
        <f>G297</f>
        <v>291.10000000000002</v>
      </c>
      <c r="H298" s="10">
        <f t="shared" ref="H298" si="158">H297</f>
        <v>0</v>
      </c>
      <c r="I298" s="451">
        <f t="shared" si="142"/>
        <v>0</v>
      </c>
    </row>
    <row r="299" spans="1:9" s="200" customFormat="1" ht="31.5" x14ac:dyDescent="0.25">
      <c r="A299" s="456" t="s">
        <v>938</v>
      </c>
      <c r="B299" s="457" t="s">
        <v>1255</v>
      </c>
      <c r="C299" s="7"/>
      <c r="D299" s="7"/>
      <c r="E299" s="7"/>
      <c r="F299" s="7"/>
      <c r="G299" s="59">
        <f>G300</f>
        <v>3001.8</v>
      </c>
      <c r="H299" s="59">
        <f t="shared" ref="H299" si="159">H300</f>
        <v>1422.086</v>
      </c>
      <c r="I299" s="450">
        <f t="shared" si="142"/>
        <v>47.374442001465781</v>
      </c>
    </row>
    <row r="300" spans="1:9" s="200" customFormat="1" ht="15.75" x14ac:dyDescent="0.25">
      <c r="A300" s="29" t="s">
        <v>263</v>
      </c>
      <c r="B300" s="454" t="s">
        <v>1255</v>
      </c>
      <c r="C300" s="461" t="s">
        <v>264</v>
      </c>
      <c r="D300" s="461"/>
      <c r="E300" s="461"/>
      <c r="F300" s="461"/>
      <c r="G300" s="10">
        <f t="shared" ref="G300:H301" si="160">G301</f>
        <v>3001.8</v>
      </c>
      <c r="H300" s="10">
        <f t="shared" si="160"/>
        <v>1422.086</v>
      </c>
      <c r="I300" s="451">
        <f t="shared" si="142"/>
        <v>47.374442001465781</v>
      </c>
    </row>
    <row r="301" spans="1:9" s="200" customFormat="1" ht="15.75" x14ac:dyDescent="0.25">
      <c r="A301" s="29" t="s">
        <v>425</v>
      </c>
      <c r="B301" s="454" t="s">
        <v>1255</v>
      </c>
      <c r="C301" s="461" t="s">
        <v>264</v>
      </c>
      <c r="D301" s="461" t="s">
        <v>213</v>
      </c>
      <c r="E301" s="461"/>
      <c r="F301" s="461"/>
      <c r="G301" s="10">
        <f>G302</f>
        <v>3001.8</v>
      </c>
      <c r="H301" s="10">
        <f t="shared" si="160"/>
        <v>1422.086</v>
      </c>
      <c r="I301" s="451">
        <f t="shared" si="142"/>
        <v>47.374442001465781</v>
      </c>
    </row>
    <row r="302" spans="1:9" s="200" customFormat="1" ht="47.25" x14ac:dyDescent="0.25">
      <c r="A302" s="29" t="s">
        <v>602</v>
      </c>
      <c r="B302" s="454" t="s">
        <v>1256</v>
      </c>
      <c r="C302" s="461" t="s">
        <v>264</v>
      </c>
      <c r="D302" s="461" t="s">
        <v>213</v>
      </c>
      <c r="E302" s="461"/>
      <c r="F302" s="461"/>
      <c r="G302" s="10">
        <f t="shared" ref="G302:H303" si="161">G303</f>
        <v>3001.8</v>
      </c>
      <c r="H302" s="10">
        <f t="shared" si="161"/>
        <v>1422.086</v>
      </c>
      <c r="I302" s="451">
        <f t="shared" si="142"/>
        <v>47.374442001465781</v>
      </c>
    </row>
    <row r="303" spans="1:9" s="200" customFormat="1" ht="31.5" x14ac:dyDescent="0.25">
      <c r="A303" s="29" t="s">
        <v>272</v>
      </c>
      <c r="B303" s="454" t="s">
        <v>1256</v>
      </c>
      <c r="C303" s="461" t="s">
        <v>264</v>
      </c>
      <c r="D303" s="461" t="s">
        <v>213</v>
      </c>
      <c r="E303" s="461" t="s">
        <v>273</v>
      </c>
      <c r="F303" s="461"/>
      <c r="G303" s="10">
        <f t="shared" si="161"/>
        <v>3001.8</v>
      </c>
      <c r="H303" s="10">
        <f t="shared" si="161"/>
        <v>1422.086</v>
      </c>
      <c r="I303" s="451">
        <f t="shared" si="142"/>
        <v>47.374442001465781</v>
      </c>
    </row>
    <row r="304" spans="1:9" s="200" customFormat="1" ht="15.75" x14ac:dyDescent="0.25">
      <c r="A304" s="29" t="s">
        <v>274</v>
      </c>
      <c r="B304" s="454" t="s">
        <v>1256</v>
      </c>
      <c r="C304" s="461" t="s">
        <v>264</v>
      </c>
      <c r="D304" s="461" t="s">
        <v>213</v>
      </c>
      <c r="E304" s="461" t="s">
        <v>275</v>
      </c>
      <c r="F304" s="461"/>
      <c r="G304" s="451">
        <f>'Пр.4 ведом.21'!G686</f>
        <v>3001.8</v>
      </c>
      <c r="H304" s="451">
        <f>'Пр.4 ведом.21'!H686</f>
        <v>1422.086</v>
      </c>
      <c r="I304" s="451">
        <f t="shared" si="142"/>
        <v>47.374442001465781</v>
      </c>
    </row>
    <row r="305" spans="1:9" s="200" customFormat="1" ht="31.5" x14ac:dyDescent="0.25">
      <c r="A305" s="29" t="s">
        <v>403</v>
      </c>
      <c r="B305" s="454" t="s">
        <v>1256</v>
      </c>
      <c r="C305" s="461" t="s">
        <v>264</v>
      </c>
      <c r="D305" s="461" t="s">
        <v>213</v>
      </c>
      <c r="E305" s="461" t="s">
        <v>275</v>
      </c>
      <c r="F305" s="461" t="s">
        <v>636</v>
      </c>
      <c r="G305" s="10">
        <f>G304</f>
        <v>3001.8</v>
      </c>
      <c r="H305" s="10">
        <f t="shared" ref="H305" si="162">H304</f>
        <v>1422.086</v>
      </c>
      <c r="I305" s="451">
        <f t="shared" si="142"/>
        <v>47.374442001465781</v>
      </c>
    </row>
    <row r="306" spans="1:9" s="200" customFormat="1" ht="31.5" x14ac:dyDescent="0.25">
      <c r="A306" s="456" t="s">
        <v>939</v>
      </c>
      <c r="B306" s="457" t="s">
        <v>1257</v>
      </c>
      <c r="C306" s="7"/>
      <c r="D306" s="7"/>
      <c r="E306" s="7"/>
      <c r="F306" s="7"/>
      <c r="G306" s="59">
        <f>G307</f>
        <v>1384.6</v>
      </c>
      <c r="H306" s="59">
        <f t="shared" ref="H306" si="163">H307</f>
        <v>500</v>
      </c>
      <c r="I306" s="450">
        <f t="shared" si="142"/>
        <v>36.111512350137225</v>
      </c>
    </row>
    <row r="307" spans="1:9" s="200" customFormat="1" ht="15.75" x14ac:dyDescent="0.25">
      <c r="A307" s="29" t="s">
        <v>263</v>
      </c>
      <c r="B307" s="454" t="s">
        <v>1257</v>
      </c>
      <c r="C307" s="461" t="s">
        <v>264</v>
      </c>
      <c r="D307" s="461"/>
      <c r="E307" s="461"/>
      <c r="F307" s="461"/>
      <c r="G307" s="10">
        <f t="shared" ref="G307:H310" si="164">G308</f>
        <v>1384.6</v>
      </c>
      <c r="H307" s="10">
        <f t="shared" si="164"/>
        <v>500</v>
      </c>
      <c r="I307" s="451">
        <f t="shared" si="142"/>
        <v>36.111512350137225</v>
      </c>
    </row>
    <row r="308" spans="1:9" s="200" customFormat="1" ht="15.75" x14ac:dyDescent="0.25">
      <c r="A308" s="29" t="s">
        <v>425</v>
      </c>
      <c r="B308" s="454" t="s">
        <v>1257</v>
      </c>
      <c r="C308" s="461" t="s">
        <v>264</v>
      </c>
      <c r="D308" s="461" t="s">
        <v>213</v>
      </c>
      <c r="E308" s="461"/>
      <c r="F308" s="461"/>
      <c r="G308" s="10">
        <f>G309</f>
        <v>1384.6</v>
      </c>
      <c r="H308" s="10">
        <f t="shared" si="164"/>
        <v>500</v>
      </c>
      <c r="I308" s="451">
        <f t="shared" si="142"/>
        <v>36.111512350137225</v>
      </c>
    </row>
    <row r="309" spans="1:9" s="200" customFormat="1" ht="47.25" x14ac:dyDescent="0.25">
      <c r="A309" s="458" t="s">
        <v>438</v>
      </c>
      <c r="B309" s="454" t="s">
        <v>1258</v>
      </c>
      <c r="C309" s="461" t="s">
        <v>264</v>
      </c>
      <c r="D309" s="461" t="s">
        <v>213</v>
      </c>
      <c r="E309" s="461"/>
      <c r="F309" s="461"/>
      <c r="G309" s="10">
        <f>G310</f>
        <v>1384.6</v>
      </c>
      <c r="H309" s="10">
        <f t="shared" si="164"/>
        <v>500</v>
      </c>
      <c r="I309" s="451">
        <f t="shared" si="142"/>
        <v>36.111512350137225</v>
      </c>
    </row>
    <row r="310" spans="1:9" s="200" customFormat="1" ht="31.5" x14ac:dyDescent="0.25">
      <c r="A310" s="458" t="s">
        <v>272</v>
      </c>
      <c r="B310" s="454" t="s">
        <v>1258</v>
      </c>
      <c r="C310" s="461" t="s">
        <v>264</v>
      </c>
      <c r="D310" s="461" t="s">
        <v>213</v>
      </c>
      <c r="E310" s="461" t="s">
        <v>273</v>
      </c>
      <c r="F310" s="461"/>
      <c r="G310" s="10">
        <f>G311</f>
        <v>1384.6</v>
      </c>
      <c r="H310" s="10">
        <f t="shared" si="164"/>
        <v>500</v>
      </c>
      <c r="I310" s="451">
        <f t="shared" si="142"/>
        <v>36.111512350137225</v>
      </c>
    </row>
    <row r="311" spans="1:9" s="200" customFormat="1" ht="15.75" x14ac:dyDescent="0.25">
      <c r="A311" s="458" t="s">
        <v>274</v>
      </c>
      <c r="B311" s="454" t="s">
        <v>1258</v>
      </c>
      <c r="C311" s="461" t="s">
        <v>264</v>
      </c>
      <c r="D311" s="461" t="s">
        <v>213</v>
      </c>
      <c r="E311" s="461" t="s">
        <v>275</v>
      </c>
      <c r="F311" s="461"/>
      <c r="G311" s="10">
        <f>'Пр.3 Рд,пр, ЦС,ВР 21'!F621</f>
        <v>1384.6</v>
      </c>
      <c r="H311" s="10">
        <f>'Пр.3 Рд,пр, ЦС,ВР 21'!G621</f>
        <v>500</v>
      </c>
      <c r="I311" s="451">
        <f t="shared" si="142"/>
        <v>36.111512350137225</v>
      </c>
    </row>
    <row r="312" spans="1:9" s="200" customFormat="1" ht="31.5" x14ac:dyDescent="0.25">
      <c r="A312" s="29" t="s">
        <v>403</v>
      </c>
      <c r="B312" s="454" t="s">
        <v>1258</v>
      </c>
      <c r="C312" s="461" t="s">
        <v>264</v>
      </c>
      <c r="D312" s="461" t="s">
        <v>213</v>
      </c>
      <c r="E312" s="461" t="s">
        <v>275</v>
      </c>
      <c r="F312" s="461" t="s">
        <v>636</v>
      </c>
      <c r="G312" s="10">
        <f>G311</f>
        <v>1384.6</v>
      </c>
      <c r="H312" s="10">
        <f t="shared" ref="H312" si="165">H311</f>
        <v>500</v>
      </c>
      <c r="I312" s="451">
        <f t="shared" si="142"/>
        <v>36.111512350137225</v>
      </c>
    </row>
    <row r="313" spans="1:9" s="200" customFormat="1" ht="31.5" x14ac:dyDescent="0.25">
      <c r="A313" s="212" t="s">
        <v>940</v>
      </c>
      <c r="B313" s="457" t="s">
        <v>1260</v>
      </c>
      <c r="C313" s="7"/>
      <c r="D313" s="7"/>
      <c r="E313" s="7"/>
      <c r="F313" s="7"/>
      <c r="G313" s="59">
        <f>G314</f>
        <v>752.9</v>
      </c>
      <c r="H313" s="59">
        <f t="shared" ref="H313" si="166">H314</f>
        <v>268.57029999999997</v>
      </c>
      <c r="I313" s="450">
        <f t="shared" si="142"/>
        <v>35.671443750830122</v>
      </c>
    </row>
    <row r="314" spans="1:9" s="200" customFormat="1" ht="15.75" x14ac:dyDescent="0.25">
      <c r="A314" s="29" t="s">
        <v>263</v>
      </c>
      <c r="B314" s="454" t="s">
        <v>1260</v>
      </c>
      <c r="C314" s="461" t="s">
        <v>264</v>
      </c>
      <c r="D314" s="461"/>
      <c r="E314" s="461"/>
      <c r="F314" s="461"/>
      <c r="G314" s="10">
        <f t="shared" ref="G314:H317" si="167">G315</f>
        <v>752.9</v>
      </c>
      <c r="H314" s="10">
        <f t="shared" si="167"/>
        <v>268.57029999999997</v>
      </c>
      <c r="I314" s="451">
        <f t="shared" si="142"/>
        <v>35.671443750830122</v>
      </c>
    </row>
    <row r="315" spans="1:9" s="200" customFormat="1" ht="15.75" x14ac:dyDescent="0.25">
      <c r="A315" s="29" t="s">
        <v>425</v>
      </c>
      <c r="B315" s="454" t="s">
        <v>1260</v>
      </c>
      <c r="C315" s="461" t="s">
        <v>264</v>
      </c>
      <c r="D315" s="461" t="s">
        <v>213</v>
      </c>
      <c r="E315" s="461"/>
      <c r="F315" s="461"/>
      <c r="G315" s="10">
        <f>G316</f>
        <v>752.9</v>
      </c>
      <c r="H315" s="10">
        <f t="shared" si="167"/>
        <v>268.57029999999997</v>
      </c>
      <c r="I315" s="451">
        <f t="shared" si="142"/>
        <v>35.671443750830122</v>
      </c>
    </row>
    <row r="316" spans="1:9" s="200" customFormat="1" ht="47.25" x14ac:dyDescent="0.25">
      <c r="A316" s="182" t="s">
        <v>828</v>
      </c>
      <c r="B316" s="454" t="s">
        <v>1429</v>
      </c>
      <c r="C316" s="461" t="s">
        <v>264</v>
      </c>
      <c r="D316" s="461" t="s">
        <v>213</v>
      </c>
      <c r="E316" s="461"/>
      <c r="F316" s="461"/>
      <c r="G316" s="10">
        <f>G317</f>
        <v>752.9</v>
      </c>
      <c r="H316" s="10">
        <f t="shared" si="167"/>
        <v>268.57029999999997</v>
      </c>
      <c r="I316" s="451">
        <f t="shared" si="142"/>
        <v>35.671443750830122</v>
      </c>
    </row>
    <row r="317" spans="1:9" s="200" customFormat="1" ht="31.5" x14ac:dyDescent="0.25">
      <c r="A317" s="29" t="s">
        <v>272</v>
      </c>
      <c r="B317" s="454" t="s">
        <v>1429</v>
      </c>
      <c r="C317" s="461" t="s">
        <v>264</v>
      </c>
      <c r="D317" s="461" t="s">
        <v>213</v>
      </c>
      <c r="E317" s="461" t="s">
        <v>273</v>
      </c>
      <c r="F317" s="461"/>
      <c r="G317" s="10">
        <f>G318</f>
        <v>752.9</v>
      </c>
      <c r="H317" s="10">
        <f t="shared" si="167"/>
        <v>268.57029999999997</v>
      </c>
      <c r="I317" s="451">
        <f t="shared" si="142"/>
        <v>35.671443750830122</v>
      </c>
    </row>
    <row r="318" spans="1:9" s="200" customFormat="1" ht="15.75" x14ac:dyDescent="0.25">
      <c r="A318" s="182" t="s">
        <v>274</v>
      </c>
      <c r="B318" s="454" t="s">
        <v>1429</v>
      </c>
      <c r="C318" s="461" t="s">
        <v>264</v>
      </c>
      <c r="D318" s="461" t="s">
        <v>213</v>
      </c>
      <c r="E318" s="461" t="s">
        <v>275</v>
      </c>
      <c r="F318" s="461"/>
      <c r="G318" s="10">
        <f>'Пр.3 Рд,пр, ЦС,ВР 21'!F625</f>
        <v>752.9</v>
      </c>
      <c r="H318" s="10">
        <f>'Пр.3 Рд,пр, ЦС,ВР 21'!G625</f>
        <v>268.57029999999997</v>
      </c>
      <c r="I318" s="451">
        <f t="shared" si="142"/>
        <v>35.671443750830122</v>
      </c>
    </row>
    <row r="319" spans="1:9" s="200" customFormat="1" ht="31.5" x14ac:dyDescent="0.25">
      <c r="A319" s="29" t="s">
        <v>403</v>
      </c>
      <c r="B319" s="454" t="s">
        <v>1429</v>
      </c>
      <c r="C319" s="461" t="s">
        <v>264</v>
      </c>
      <c r="D319" s="461" t="s">
        <v>213</v>
      </c>
      <c r="E319" s="461" t="s">
        <v>275</v>
      </c>
      <c r="F319" s="461" t="s">
        <v>636</v>
      </c>
      <c r="G319" s="10">
        <f>G318</f>
        <v>752.9</v>
      </c>
      <c r="H319" s="10">
        <f t="shared" ref="H319" si="168">H318</f>
        <v>268.57029999999997</v>
      </c>
      <c r="I319" s="451">
        <f t="shared" si="142"/>
        <v>35.671443750830122</v>
      </c>
    </row>
    <row r="320" spans="1:9" s="200" customFormat="1" ht="94.5" x14ac:dyDescent="0.25">
      <c r="A320" s="456" t="s">
        <v>1414</v>
      </c>
      <c r="B320" s="457" t="s">
        <v>1247</v>
      </c>
      <c r="C320" s="457"/>
      <c r="D320" s="457"/>
      <c r="E320" s="461"/>
      <c r="F320" s="461"/>
      <c r="G320" s="59">
        <f>G321</f>
        <v>1738</v>
      </c>
      <c r="H320" s="59">
        <f t="shared" ref="H320:H324" si="169">H321</f>
        <v>593.89490000000001</v>
      </c>
      <c r="I320" s="450">
        <f t="shared" si="142"/>
        <v>34.171168009205985</v>
      </c>
    </row>
    <row r="321" spans="1:9" s="200" customFormat="1" ht="15.75" x14ac:dyDescent="0.25">
      <c r="A321" s="29" t="s">
        <v>263</v>
      </c>
      <c r="B321" s="454" t="s">
        <v>1247</v>
      </c>
      <c r="C321" s="454" t="s">
        <v>264</v>
      </c>
      <c r="D321" s="454"/>
      <c r="E321" s="461"/>
      <c r="F321" s="461"/>
      <c r="G321" s="10">
        <f>G322</f>
        <v>1738</v>
      </c>
      <c r="H321" s="10">
        <f t="shared" si="169"/>
        <v>593.89490000000001</v>
      </c>
      <c r="I321" s="451">
        <f t="shared" si="142"/>
        <v>34.171168009205985</v>
      </c>
    </row>
    <row r="322" spans="1:9" s="200" customFormat="1" ht="15.75" x14ac:dyDescent="0.25">
      <c r="A322" s="45" t="s">
        <v>404</v>
      </c>
      <c r="B322" s="454" t="s">
        <v>1247</v>
      </c>
      <c r="C322" s="454" t="s">
        <v>264</v>
      </c>
      <c r="D322" s="454" t="s">
        <v>118</v>
      </c>
      <c r="E322" s="461"/>
      <c r="F322" s="461"/>
      <c r="G322" s="10">
        <f>G323</f>
        <v>1738</v>
      </c>
      <c r="H322" s="10">
        <f t="shared" si="169"/>
        <v>593.89490000000001</v>
      </c>
      <c r="I322" s="451">
        <f t="shared" si="142"/>
        <v>34.171168009205985</v>
      </c>
    </row>
    <row r="323" spans="1:9" s="200" customFormat="1" ht="102.2" customHeight="1" x14ac:dyDescent="0.25">
      <c r="A323" s="149" t="s">
        <v>1498</v>
      </c>
      <c r="B323" s="454" t="s">
        <v>1248</v>
      </c>
      <c r="C323" s="454" t="s">
        <v>264</v>
      </c>
      <c r="D323" s="454" t="s">
        <v>118</v>
      </c>
      <c r="E323" s="461"/>
      <c r="F323" s="461"/>
      <c r="G323" s="10">
        <f>G324</f>
        <v>1738</v>
      </c>
      <c r="H323" s="10">
        <f t="shared" si="169"/>
        <v>593.89490000000001</v>
      </c>
      <c r="I323" s="451">
        <f t="shared" si="142"/>
        <v>34.171168009205985</v>
      </c>
    </row>
    <row r="324" spans="1:9" s="200" customFormat="1" ht="31.5" x14ac:dyDescent="0.25">
      <c r="A324" s="458" t="s">
        <v>272</v>
      </c>
      <c r="B324" s="454" t="s">
        <v>1248</v>
      </c>
      <c r="C324" s="454" t="s">
        <v>264</v>
      </c>
      <c r="D324" s="454" t="s">
        <v>118</v>
      </c>
      <c r="E324" s="454" t="s">
        <v>273</v>
      </c>
      <c r="F324" s="461"/>
      <c r="G324" s="10">
        <f>G325</f>
        <v>1738</v>
      </c>
      <c r="H324" s="10">
        <f t="shared" si="169"/>
        <v>593.89490000000001</v>
      </c>
      <c r="I324" s="451">
        <f t="shared" si="142"/>
        <v>34.171168009205985</v>
      </c>
    </row>
    <row r="325" spans="1:9" s="200" customFormat="1" ht="15.75" x14ac:dyDescent="0.25">
      <c r="A325" s="458" t="s">
        <v>274</v>
      </c>
      <c r="B325" s="454" t="s">
        <v>1248</v>
      </c>
      <c r="C325" s="454" t="s">
        <v>264</v>
      </c>
      <c r="D325" s="454" t="s">
        <v>118</v>
      </c>
      <c r="E325" s="454" t="s">
        <v>275</v>
      </c>
      <c r="F325" s="461"/>
      <c r="G325" s="10">
        <f>'Пр.4 ведом.21'!G616</f>
        <v>1738</v>
      </c>
      <c r="H325" s="10">
        <f>'Пр.4 ведом.21'!H616</f>
        <v>593.89490000000001</v>
      </c>
      <c r="I325" s="451">
        <f t="shared" si="142"/>
        <v>34.171168009205985</v>
      </c>
    </row>
    <row r="326" spans="1:9" s="200" customFormat="1" ht="31.5" x14ac:dyDescent="0.25">
      <c r="A326" s="29" t="s">
        <v>403</v>
      </c>
      <c r="B326" s="454" t="s">
        <v>1248</v>
      </c>
      <c r="C326" s="454" t="s">
        <v>264</v>
      </c>
      <c r="D326" s="454" t="s">
        <v>118</v>
      </c>
      <c r="E326" s="454" t="s">
        <v>275</v>
      </c>
      <c r="F326" s="461" t="s">
        <v>636</v>
      </c>
      <c r="G326" s="10">
        <f>G321</f>
        <v>1738</v>
      </c>
      <c r="H326" s="10">
        <f t="shared" ref="H326" si="170">H321</f>
        <v>593.89490000000001</v>
      </c>
      <c r="I326" s="451">
        <f t="shared" si="142"/>
        <v>34.171168009205985</v>
      </c>
    </row>
    <row r="327" spans="1:9" s="200" customFormat="1" ht="31.5" x14ac:dyDescent="0.25">
      <c r="A327" s="288" t="s">
        <v>1408</v>
      </c>
      <c r="B327" s="457" t="s">
        <v>1407</v>
      </c>
      <c r="C327" s="457"/>
      <c r="D327" s="457"/>
      <c r="E327" s="457"/>
      <c r="F327" s="7"/>
      <c r="G327" s="59">
        <f>G328</f>
        <v>5296.5999999999995</v>
      </c>
      <c r="H327" s="59">
        <f t="shared" ref="H327:H331" si="171">H328</f>
        <v>2647.9048499999999</v>
      </c>
      <c r="I327" s="450">
        <f t="shared" si="142"/>
        <v>49.992539553675947</v>
      </c>
    </row>
    <row r="328" spans="1:9" s="200" customFormat="1" ht="15.75" x14ac:dyDescent="0.25">
      <c r="A328" s="182" t="s">
        <v>263</v>
      </c>
      <c r="B328" s="454" t="s">
        <v>1407</v>
      </c>
      <c r="C328" s="454" t="s">
        <v>264</v>
      </c>
      <c r="D328" s="454"/>
      <c r="E328" s="454"/>
      <c r="F328" s="461"/>
      <c r="G328" s="10">
        <f>G329</f>
        <v>5296.5999999999995</v>
      </c>
      <c r="H328" s="10">
        <f t="shared" si="171"/>
        <v>2647.9048499999999</v>
      </c>
      <c r="I328" s="451">
        <f t="shared" si="142"/>
        <v>49.992539553675947</v>
      </c>
    </row>
    <row r="329" spans="1:9" s="200" customFormat="1" ht="15.75" x14ac:dyDescent="0.25">
      <c r="A329" s="182" t="s">
        <v>425</v>
      </c>
      <c r="B329" s="454" t="s">
        <v>1407</v>
      </c>
      <c r="C329" s="454" t="s">
        <v>264</v>
      </c>
      <c r="D329" s="454" t="s">
        <v>213</v>
      </c>
      <c r="E329" s="454"/>
      <c r="F329" s="461"/>
      <c r="G329" s="10">
        <f>G330</f>
        <v>5296.5999999999995</v>
      </c>
      <c r="H329" s="10">
        <f t="shared" si="171"/>
        <v>2647.9048499999999</v>
      </c>
      <c r="I329" s="451">
        <f t="shared" si="142"/>
        <v>49.992539553675947</v>
      </c>
    </row>
    <row r="330" spans="1:9" s="200" customFormat="1" ht="63" x14ac:dyDescent="0.25">
      <c r="A330" s="287" t="s">
        <v>1394</v>
      </c>
      <c r="B330" s="454" t="s">
        <v>1454</v>
      </c>
      <c r="C330" s="454" t="s">
        <v>264</v>
      </c>
      <c r="D330" s="454" t="s">
        <v>213</v>
      </c>
      <c r="E330" s="454"/>
      <c r="F330" s="461"/>
      <c r="G330" s="10">
        <f>G331</f>
        <v>5296.5999999999995</v>
      </c>
      <c r="H330" s="10">
        <f t="shared" si="171"/>
        <v>2647.9048499999999</v>
      </c>
      <c r="I330" s="451">
        <f t="shared" si="142"/>
        <v>49.992539553675947</v>
      </c>
    </row>
    <row r="331" spans="1:9" s="200" customFormat="1" ht="31.5" x14ac:dyDescent="0.25">
      <c r="A331" s="31" t="s">
        <v>272</v>
      </c>
      <c r="B331" s="454" t="s">
        <v>1454</v>
      </c>
      <c r="C331" s="454" t="s">
        <v>264</v>
      </c>
      <c r="D331" s="454" t="s">
        <v>213</v>
      </c>
      <c r="E331" s="454" t="s">
        <v>273</v>
      </c>
      <c r="F331" s="461"/>
      <c r="G331" s="10">
        <f>G332</f>
        <v>5296.5999999999995</v>
      </c>
      <c r="H331" s="10">
        <f t="shared" si="171"/>
        <v>2647.9048499999999</v>
      </c>
      <c r="I331" s="451">
        <f t="shared" ref="I331:I394" si="172">H331/G331*100</f>
        <v>49.992539553675947</v>
      </c>
    </row>
    <row r="332" spans="1:9" s="200" customFormat="1" ht="15.75" x14ac:dyDescent="0.25">
      <c r="A332" s="31" t="s">
        <v>274</v>
      </c>
      <c r="B332" s="454" t="s">
        <v>1454</v>
      </c>
      <c r="C332" s="454" t="s">
        <v>264</v>
      </c>
      <c r="D332" s="454" t="s">
        <v>213</v>
      </c>
      <c r="E332" s="454" t="s">
        <v>275</v>
      </c>
      <c r="F332" s="461"/>
      <c r="G332" s="10">
        <f>'Пр.4 ведом.21'!G698</f>
        <v>5296.5999999999995</v>
      </c>
      <c r="H332" s="10">
        <f>'Пр.4 ведом.21'!H698</f>
        <v>2647.9048499999999</v>
      </c>
      <c r="I332" s="451">
        <f t="shared" si="172"/>
        <v>49.992539553675947</v>
      </c>
    </row>
    <row r="333" spans="1:9" s="200" customFormat="1" ht="31.5" x14ac:dyDescent="0.25">
      <c r="A333" s="182" t="s">
        <v>403</v>
      </c>
      <c r="B333" s="454" t="s">
        <v>1454</v>
      </c>
      <c r="C333" s="454" t="s">
        <v>264</v>
      </c>
      <c r="D333" s="454" t="s">
        <v>213</v>
      </c>
      <c r="E333" s="454" t="s">
        <v>275</v>
      </c>
      <c r="F333" s="461" t="s">
        <v>636</v>
      </c>
      <c r="G333" s="10">
        <f>G327</f>
        <v>5296.5999999999995</v>
      </c>
      <c r="H333" s="10">
        <f t="shared" ref="H333" si="173">H327</f>
        <v>2647.9048499999999</v>
      </c>
      <c r="I333" s="451">
        <f t="shared" si="172"/>
        <v>49.992539553675947</v>
      </c>
    </row>
    <row r="334" spans="1:9" s="200" customFormat="1" ht="31.5" x14ac:dyDescent="0.25">
      <c r="A334" s="288" t="s">
        <v>1433</v>
      </c>
      <c r="B334" s="457" t="s">
        <v>1418</v>
      </c>
      <c r="C334" s="454"/>
      <c r="D334" s="454"/>
      <c r="E334" s="454"/>
      <c r="F334" s="461"/>
      <c r="G334" s="59">
        <f>G335</f>
        <v>1714</v>
      </c>
      <c r="H334" s="59">
        <f t="shared" ref="H334:H338" si="174">H335</f>
        <v>0</v>
      </c>
      <c r="I334" s="450">
        <f t="shared" si="172"/>
        <v>0</v>
      </c>
    </row>
    <row r="335" spans="1:9" s="200" customFormat="1" ht="15.75" x14ac:dyDescent="0.25">
      <c r="A335" s="182" t="s">
        <v>263</v>
      </c>
      <c r="B335" s="454" t="s">
        <v>1418</v>
      </c>
      <c r="C335" s="454" t="s">
        <v>264</v>
      </c>
      <c r="D335" s="454"/>
      <c r="E335" s="454"/>
      <c r="F335" s="461"/>
      <c r="G335" s="10">
        <f>G336</f>
        <v>1714</v>
      </c>
      <c r="H335" s="10">
        <f t="shared" si="174"/>
        <v>0</v>
      </c>
      <c r="I335" s="451">
        <f t="shared" si="172"/>
        <v>0</v>
      </c>
    </row>
    <row r="336" spans="1:9" s="200" customFormat="1" ht="15.75" x14ac:dyDescent="0.25">
      <c r="A336" s="182" t="s">
        <v>425</v>
      </c>
      <c r="B336" s="454" t="s">
        <v>1418</v>
      </c>
      <c r="C336" s="454" t="s">
        <v>264</v>
      </c>
      <c r="D336" s="454" t="s">
        <v>213</v>
      </c>
      <c r="E336" s="454"/>
      <c r="F336" s="461"/>
      <c r="G336" s="10">
        <f>G337</f>
        <v>1714</v>
      </c>
      <c r="H336" s="10">
        <f t="shared" si="174"/>
        <v>0</v>
      </c>
      <c r="I336" s="451">
        <f t="shared" si="172"/>
        <v>0</v>
      </c>
    </row>
    <row r="337" spans="1:9" s="200" customFormat="1" ht="21.2" customHeight="1" x14ac:dyDescent="0.25">
      <c r="A337" s="287" t="s">
        <v>1419</v>
      </c>
      <c r="B337" s="454" t="s">
        <v>1421</v>
      </c>
      <c r="C337" s="454" t="s">
        <v>264</v>
      </c>
      <c r="D337" s="454" t="s">
        <v>213</v>
      </c>
      <c r="E337" s="454"/>
      <c r="F337" s="461"/>
      <c r="G337" s="10">
        <f>G338</f>
        <v>1714</v>
      </c>
      <c r="H337" s="10">
        <f t="shared" si="174"/>
        <v>0</v>
      </c>
      <c r="I337" s="451">
        <f t="shared" si="172"/>
        <v>0</v>
      </c>
    </row>
    <row r="338" spans="1:9" s="200" customFormat="1" ht="31.5" x14ac:dyDescent="0.25">
      <c r="A338" s="31" t="s">
        <v>272</v>
      </c>
      <c r="B338" s="454" t="s">
        <v>1421</v>
      </c>
      <c r="C338" s="454" t="s">
        <v>264</v>
      </c>
      <c r="D338" s="454" t="s">
        <v>213</v>
      </c>
      <c r="E338" s="454" t="s">
        <v>273</v>
      </c>
      <c r="F338" s="461"/>
      <c r="G338" s="10">
        <f>G339</f>
        <v>1714</v>
      </c>
      <c r="H338" s="10">
        <f t="shared" si="174"/>
        <v>0</v>
      </c>
      <c r="I338" s="451">
        <f t="shared" si="172"/>
        <v>0</v>
      </c>
    </row>
    <row r="339" spans="1:9" s="200" customFormat="1" ht="15.75" x14ac:dyDescent="0.25">
      <c r="A339" s="31" t="s">
        <v>274</v>
      </c>
      <c r="B339" s="454" t="s">
        <v>1421</v>
      </c>
      <c r="C339" s="454" t="s">
        <v>264</v>
      </c>
      <c r="D339" s="454" t="s">
        <v>213</v>
      </c>
      <c r="E339" s="454" t="s">
        <v>275</v>
      </c>
      <c r="F339" s="461"/>
      <c r="G339" s="10">
        <f>'Пр.4 ведом.21'!G702</f>
        <v>1714</v>
      </c>
      <c r="H339" s="10">
        <f>'Пр.4 ведом.21'!H702</f>
        <v>0</v>
      </c>
      <c r="I339" s="451">
        <f t="shared" si="172"/>
        <v>0</v>
      </c>
    </row>
    <row r="340" spans="1:9" s="200" customFormat="1" ht="31.5" x14ac:dyDescent="0.25">
      <c r="A340" s="182" t="s">
        <v>403</v>
      </c>
      <c r="B340" s="454" t="s">
        <v>1421</v>
      </c>
      <c r="C340" s="454" t="s">
        <v>264</v>
      </c>
      <c r="D340" s="454" t="s">
        <v>213</v>
      </c>
      <c r="E340" s="454" t="s">
        <v>275</v>
      </c>
      <c r="F340" s="461" t="s">
        <v>636</v>
      </c>
      <c r="G340" s="10">
        <f>G337</f>
        <v>1714</v>
      </c>
      <c r="H340" s="10">
        <f t="shared" ref="H340" si="175">H337</f>
        <v>0</v>
      </c>
      <c r="I340" s="451">
        <f t="shared" si="172"/>
        <v>0</v>
      </c>
    </row>
    <row r="341" spans="1:9" s="436" customFormat="1" ht="47.25" x14ac:dyDescent="0.25">
      <c r="A341" s="288" t="s">
        <v>1645</v>
      </c>
      <c r="B341" s="457" t="s">
        <v>1646</v>
      </c>
      <c r="C341" s="454"/>
      <c r="D341" s="454"/>
      <c r="E341" s="454"/>
      <c r="F341" s="461"/>
      <c r="G341" s="59">
        <f>G342</f>
        <v>3304.3</v>
      </c>
      <c r="H341" s="59">
        <f t="shared" ref="H341:H345" si="176">H342</f>
        <v>2864.7559999999999</v>
      </c>
      <c r="I341" s="450">
        <f t="shared" si="172"/>
        <v>86.697817994734123</v>
      </c>
    </row>
    <row r="342" spans="1:9" s="436" customFormat="1" ht="15.75" x14ac:dyDescent="0.25">
      <c r="A342" s="182" t="s">
        <v>263</v>
      </c>
      <c r="B342" s="454" t="s">
        <v>1646</v>
      </c>
      <c r="C342" s="454" t="s">
        <v>264</v>
      </c>
      <c r="D342" s="454"/>
      <c r="E342" s="454"/>
      <c r="F342" s="461"/>
      <c r="G342" s="10">
        <f>G343</f>
        <v>3304.3</v>
      </c>
      <c r="H342" s="10">
        <f t="shared" si="176"/>
        <v>2864.7559999999999</v>
      </c>
      <c r="I342" s="451">
        <f t="shared" si="172"/>
        <v>86.697817994734123</v>
      </c>
    </row>
    <row r="343" spans="1:9" s="436" customFormat="1" ht="15.75" x14ac:dyDescent="0.25">
      <c r="A343" s="182" t="s">
        <v>425</v>
      </c>
      <c r="B343" s="454" t="s">
        <v>1646</v>
      </c>
      <c r="C343" s="454" t="s">
        <v>264</v>
      </c>
      <c r="D343" s="454" t="s">
        <v>213</v>
      </c>
      <c r="E343" s="454"/>
      <c r="F343" s="461"/>
      <c r="G343" s="10">
        <f>G344</f>
        <v>3304.3</v>
      </c>
      <c r="H343" s="10">
        <f t="shared" si="176"/>
        <v>2864.7559999999999</v>
      </c>
      <c r="I343" s="451">
        <f t="shared" si="172"/>
        <v>86.697817994734123</v>
      </c>
    </row>
    <row r="344" spans="1:9" s="436" customFormat="1" ht="47.25" x14ac:dyDescent="0.25">
      <c r="A344" s="287" t="s">
        <v>450</v>
      </c>
      <c r="B344" s="454" t="s">
        <v>1647</v>
      </c>
      <c r="C344" s="454" t="s">
        <v>264</v>
      </c>
      <c r="D344" s="454" t="s">
        <v>213</v>
      </c>
      <c r="E344" s="454"/>
      <c r="F344" s="461"/>
      <c r="G344" s="10">
        <f>G345</f>
        <v>3304.3</v>
      </c>
      <c r="H344" s="10">
        <f t="shared" si="176"/>
        <v>2864.7559999999999</v>
      </c>
      <c r="I344" s="451">
        <f t="shared" si="172"/>
        <v>86.697817994734123</v>
      </c>
    </row>
    <row r="345" spans="1:9" s="436" customFormat="1" ht="31.5" x14ac:dyDescent="0.25">
      <c r="A345" s="31" t="s">
        <v>272</v>
      </c>
      <c r="B345" s="454" t="s">
        <v>1647</v>
      </c>
      <c r="C345" s="454" t="s">
        <v>264</v>
      </c>
      <c r="D345" s="454" t="s">
        <v>213</v>
      </c>
      <c r="E345" s="454"/>
      <c r="F345" s="461"/>
      <c r="G345" s="10">
        <f>G346</f>
        <v>3304.3</v>
      </c>
      <c r="H345" s="10">
        <f t="shared" si="176"/>
        <v>2864.7559999999999</v>
      </c>
      <c r="I345" s="451">
        <f t="shared" si="172"/>
        <v>86.697817994734123</v>
      </c>
    </row>
    <row r="346" spans="1:9" s="436" customFormat="1" ht="15.75" x14ac:dyDescent="0.25">
      <c r="A346" s="31" t="s">
        <v>274</v>
      </c>
      <c r="B346" s="454" t="s">
        <v>1647</v>
      </c>
      <c r="C346" s="454" t="s">
        <v>264</v>
      </c>
      <c r="D346" s="454" t="s">
        <v>213</v>
      </c>
      <c r="E346" s="454" t="s">
        <v>273</v>
      </c>
      <c r="F346" s="461"/>
      <c r="G346" s="10">
        <f>'Пр.4 ведом.21'!G706</f>
        <v>3304.3</v>
      </c>
      <c r="H346" s="10">
        <f>'Пр.4 ведом.21'!H706</f>
        <v>2864.7559999999999</v>
      </c>
      <c r="I346" s="451">
        <f t="shared" si="172"/>
        <v>86.697817994734123</v>
      </c>
    </row>
    <row r="347" spans="1:9" s="436" customFormat="1" ht="31.5" x14ac:dyDescent="0.25">
      <c r="A347" s="29" t="s">
        <v>403</v>
      </c>
      <c r="B347" s="454" t="s">
        <v>1647</v>
      </c>
      <c r="C347" s="454" t="s">
        <v>264</v>
      </c>
      <c r="D347" s="454" t="s">
        <v>213</v>
      </c>
      <c r="E347" s="454" t="s">
        <v>275</v>
      </c>
      <c r="F347" s="461" t="s">
        <v>636</v>
      </c>
      <c r="G347" s="10">
        <f>G341</f>
        <v>3304.3</v>
      </c>
      <c r="H347" s="10">
        <f t="shared" ref="H347" si="177">H341</f>
        <v>2864.7559999999999</v>
      </c>
      <c r="I347" s="451">
        <f t="shared" si="172"/>
        <v>86.697817994734123</v>
      </c>
    </row>
    <row r="348" spans="1:9" s="436" customFormat="1" ht="31.5" x14ac:dyDescent="0.25">
      <c r="A348" s="288" t="s">
        <v>1661</v>
      </c>
      <c r="B348" s="457" t="s">
        <v>1663</v>
      </c>
      <c r="C348" s="457"/>
      <c r="D348" s="457"/>
      <c r="E348" s="457"/>
      <c r="F348" s="7"/>
      <c r="G348" s="59">
        <f>G349</f>
        <v>535.79999999999995</v>
      </c>
      <c r="H348" s="59">
        <f t="shared" ref="H348" si="178">H349</f>
        <v>263.74900000000002</v>
      </c>
      <c r="I348" s="450">
        <f t="shared" si="172"/>
        <v>49.225270623366931</v>
      </c>
    </row>
    <row r="349" spans="1:9" s="436" customFormat="1" ht="15.75" x14ac:dyDescent="0.25">
      <c r="A349" s="182" t="s">
        <v>263</v>
      </c>
      <c r="B349" s="454" t="s">
        <v>1663</v>
      </c>
      <c r="C349" s="454" t="s">
        <v>264</v>
      </c>
      <c r="D349" s="454"/>
      <c r="E349" s="454"/>
      <c r="F349" s="461"/>
      <c r="G349" s="10">
        <f>G350+G355</f>
        <v>535.79999999999995</v>
      </c>
      <c r="H349" s="10">
        <f t="shared" ref="H349" si="179">H350+H355</f>
        <v>263.74900000000002</v>
      </c>
      <c r="I349" s="451">
        <f t="shared" si="172"/>
        <v>49.225270623366931</v>
      </c>
    </row>
    <row r="350" spans="1:9" s="436" customFormat="1" ht="15.75" x14ac:dyDescent="0.25">
      <c r="A350" s="45" t="s">
        <v>404</v>
      </c>
      <c r="B350" s="454" t="s">
        <v>1663</v>
      </c>
      <c r="C350" s="454" t="s">
        <v>264</v>
      </c>
      <c r="D350" s="454" t="s">
        <v>118</v>
      </c>
      <c r="E350" s="454"/>
      <c r="F350" s="461"/>
      <c r="G350" s="10">
        <f>G351</f>
        <v>238.61500000000001</v>
      </c>
      <c r="H350" s="10">
        <f t="shared" ref="H350:H352" si="180">H351</f>
        <v>0</v>
      </c>
      <c r="I350" s="451">
        <f t="shared" si="172"/>
        <v>0</v>
      </c>
    </row>
    <row r="351" spans="1:9" s="436" customFormat="1" ht="31.5" x14ac:dyDescent="0.25">
      <c r="A351" s="287" t="s">
        <v>1662</v>
      </c>
      <c r="B351" s="454" t="s">
        <v>1664</v>
      </c>
      <c r="C351" s="454" t="s">
        <v>264</v>
      </c>
      <c r="D351" s="454" t="s">
        <v>118</v>
      </c>
      <c r="E351" s="454"/>
      <c r="F351" s="461"/>
      <c r="G351" s="10">
        <f>G352</f>
        <v>238.61500000000001</v>
      </c>
      <c r="H351" s="10">
        <f t="shared" si="180"/>
        <v>0</v>
      </c>
      <c r="I351" s="451">
        <f t="shared" si="172"/>
        <v>0</v>
      </c>
    </row>
    <row r="352" spans="1:9" s="436" customFormat="1" ht="31.5" x14ac:dyDescent="0.25">
      <c r="A352" s="31" t="s">
        <v>272</v>
      </c>
      <c r="B352" s="454" t="s">
        <v>1664</v>
      </c>
      <c r="C352" s="454" t="s">
        <v>264</v>
      </c>
      <c r="D352" s="454" t="s">
        <v>118</v>
      </c>
      <c r="E352" s="454" t="s">
        <v>273</v>
      </c>
      <c r="F352" s="461"/>
      <c r="G352" s="10">
        <f>G353</f>
        <v>238.61500000000001</v>
      </c>
      <c r="H352" s="10">
        <f t="shared" si="180"/>
        <v>0</v>
      </c>
      <c r="I352" s="451">
        <f t="shared" si="172"/>
        <v>0</v>
      </c>
    </row>
    <row r="353" spans="1:9" s="436" customFormat="1" ht="15.75" x14ac:dyDescent="0.25">
      <c r="A353" s="31" t="s">
        <v>274</v>
      </c>
      <c r="B353" s="454" t="s">
        <v>1664</v>
      </c>
      <c r="C353" s="454" t="s">
        <v>264</v>
      </c>
      <c r="D353" s="454" t="s">
        <v>118</v>
      </c>
      <c r="E353" s="454" t="s">
        <v>275</v>
      </c>
      <c r="F353" s="461"/>
      <c r="G353" s="10">
        <f>'Пр.4 ведом.21'!G623</f>
        <v>238.61500000000001</v>
      </c>
      <c r="H353" s="10">
        <f>'Пр.4 ведом.21'!H623</f>
        <v>0</v>
      </c>
      <c r="I353" s="451">
        <f t="shared" si="172"/>
        <v>0</v>
      </c>
    </row>
    <row r="354" spans="1:9" s="436" customFormat="1" ht="31.5" x14ac:dyDescent="0.25">
      <c r="A354" s="29" t="s">
        <v>403</v>
      </c>
      <c r="B354" s="454" t="s">
        <v>1664</v>
      </c>
      <c r="C354" s="454" t="s">
        <v>264</v>
      </c>
      <c r="D354" s="454" t="s">
        <v>118</v>
      </c>
      <c r="E354" s="454" t="s">
        <v>275</v>
      </c>
      <c r="F354" s="461" t="s">
        <v>636</v>
      </c>
      <c r="G354" s="10">
        <f>G353</f>
        <v>238.61500000000001</v>
      </c>
      <c r="H354" s="10">
        <f t="shared" ref="H354" si="181">H353</f>
        <v>0</v>
      </c>
      <c r="I354" s="451">
        <f t="shared" si="172"/>
        <v>0</v>
      </c>
    </row>
    <row r="355" spans="1:9" s="436" customFormat="1" ht="15.75" x14ac:dyDescent="0.25">
      <c r="A355" s="182" t="s">
        <v>425</v>
      </c>
      <c r="B355" s="454" t="s">
        <v>1664</v>
      </c>
      <c r="C355" s="454" t="s">
        <v>264</v>
      </c>
      <c r="D355" s="454" t="s">
        <v>213</v>
      </c>
      <c r="E355" s="454"/>
      <c r="F355" s="461"/>
      <c r="G355" s="10">
        <f>G356</f>
        <v>297.185</v>
      </c>
      <c r="H355" s="10">
        <f t="shared" ref="H355:H357" si="182">H356</f>
        <v>263.74900000000002</v>
      </c>
      <c r="I355" s="451">
        <f t="shared" si="172"/>
        <v>88.749095681141384</v>
      </c>
    </row>
    <row r="356" spans="1:9" s="436" customFormat="1" ht="31.5" x14ac:dyDescent="0.25">
      <c r="A356" s="287" t="s">
        <v>1662</v>
      </c>
      <c r="B356" s="454" t="s">
        <v>1664</v>
      </c>
      <c r="C356" s="454" t="s">
        <v>264</v>
      </c>
      <c r="D356" s="454" t="s">
        <v>213</v>
      </c>
      <c r="E356" s="454"/>
      <c r="F356" s="461"/>
      <c r="G356" s="10">
        <f>G357</f>
        <v>297.185</v>
      </c>
      <c r="H356" s="10">
        <f t="shared" si="182"/>
        <v>263.74900000000002</v>
      </c>
      <c r="I356" s="451">
        <f t="shared" si="172"/>
        <v>88.749095681141384</v>
      </c>
    </row>
    <row r="357" spans="1:9" s="436" customFormat="1" ht="31.5" x14ac:dyDescent="0.25">
      <c r="A357" s="31" t="s">
        <v>272</v>
      </c>
      <c r="B357" s="454" t="s">
        <v>1664</v>
      </c>
      <c r="C357" s="454" t="s">
        <v>264</v>
      </c>
      <c r="D357" s="454" t="s">
        <v>213</v>
      </c>
      <c r="E357" s="454" t="s">
        <v>273</v>
      </c>
      <c r="F357" s="461"/>
      <c r="G357" s="10">
        <f>G358</f>
        <v>297.185</v>
      </c>
      <c r="H357" s="10">
        <f t="shared" si="182"/>
        <v>263.74900000000002</v>
      </c>
      <c r="I357" s="451">
        <f t="shared" si="172"/>
        <v>88.749095681141384</v>
      </c>
    </row>
    <row r="358" spans="1:9" s="436" customFormat="1" ht="15.75" x14ac:dyDescent="0.25">
      <c r="A358" s="31" t="s">
        <v>274</v>
      </c>
      <c r="B358" s="454" t="s">
        <v>1664</v>
      </c>
      <c r="C358" s="454" t="s">
        <v>264</v>
      </c>
      <c r="D358" s="454" t="s">
        <v>213</v>
      </c>
      <c r="E358" s="454" t="s">
        <v>275</v>
      </c>
      <c r="F358" s="461"/>
      <c r="G358" s="10">
        <f>'Пр.4 ведом.21'!G710</f>
        <v>297.185</v>
      </c>
      <c r="H358" s="10">
        <f>'Пр.4 ведом.21'!H710</f>
        <v>263.74900000000002</v>
      </c>
      <c r="I358" s="451">
        <f t="shared" si="172"/>
        <v>88.749095681141384</v>
      </c>
    </row>
    <row r="359" spans="1:9" s="436" customFormat="1" ht="31.5" x14ac:dyDescent="0.25">
      <c r="A359" s="29" t="s">
        <v>403</v>
      </c>
      <c r="B359" s="454" t="s">
        <v>1664</v>
      </c>
      <c r="C359" s="454" t="s">
        <v>264</v>
      </c>
      <c r="D359" s="454" t="s">
        <v>213</v>
      </c>
      <c r="E359" s="454" t="s">
        <v>275</v>
      </c>
      <c r="F359" s="461" t="s">
        <v>636</v>
      </c>
      <c r="G359" s="10">
        <f>G358</f>
        <v>297.185</v>
      </c>
      <c r="H359" s="10">
        <f t="shared" ref="H359" si="183">H358</f>
        <v>263.74900000000002</v>
      </c>
      <c r="I359" s="451">
        <f t="shared" si="172"/>
        <v>88.749095681141384</v>
      </c>
    </row>
    <row r="360" spans="1:9" s="449" customFormat="1" ht="47.25" x14ac:dyDescent="0.25">
      <c r="A360" s="288" t="s">
        <v>1669</v>
      </c>
      <c r="B360" s="457" t="s">
        <v>1672</v>
      </c>
      <c r="C360" s="457"/>
      <c r="D360" s="457"/>
      <c r="E360" s="457"/>
      <c r="F360" s="7"/>
      <c r="G360" s="59">
        <f t="shared" ref="G360:H364" si="184">G361</f>
        <v>2606.89</v>
      </c>
      <c r="H360" s="59">
        <f t="shared" si="184"/>
        <v>1649.3989999999999</v>
      </c>
      <c r="I360" s="450">
        <f t="shared" si="172"/>
        <v>63.270755574650252</v>
      </c>
    </row>
    <row r="361" spans="1:9" s="449" customFormat="1" ht="15.75" x14ac:dyDescent="0.25">
      <c r="A361" s="182" t="s">
        <v>263</v>
      </c>
      <c r="B361" s="454" t="s">
        <v>1672</v>
      </c>
      <c r="C361" s="454" t="s">
        <v>264</v>
      </c>
      <c r="D361" s="454"/>
      <c r="E361" s="454"/>
      <c r="F361" s="461"/>
      <c r="G361" s="10">
        <f t="shared" si="184"/>
        <v>2606.89</v>
      </c>
      <c r="H361" s="10">
        <f t="shared" si="184"/>
        <v>1649.3989999999999</v>
      </c>
      <c r="I361" s="451">
        <f t="shared" si="172"/>
        <v>63.270755574650252</v>
      </c>
    </row>
    <row r="362" spans="1:9" s="449" customFormat="1" ht="15.75" x14ac:dyDescent="0.25">
      <c r="A362" s="45" t="s">
        <v>404</v>
      </c>
      <c r="B362" s="454" t="s">
        <v>1672</v>
      </c>
      <c r="C362" s="454" t="s">
        <v>264</v>
      </c>
      <c r="D362" s="454" t="s">
        <v>118</v>
      </c>
      <c r="E362" s="454"/>
      <c r="F362" s="461"/>
      <c r="G362" s="10">
        <f t="shared" si="184"/>
        <v>2606.89</v>
      </c>
      <c r="H362" s="10">
        <f t="shared" si="184"/>
        <v>1649.3989999999999</v>
      </c>
      <c r="I362" s="451">
        <f t="shared" si="172"/>
        <v>63.270755574650252</v>
      </c>
    </row>
    <row r="363" spans="1:9" s="449" customFormat="1" ht="47.25" x14ac:dyDescent="0.25">
      <c r="A363" s="287" t="s">
        <v>1670</v>
      </c>
      <c r="B363" s="454" t="s">
        <v>1671</v>
      </c>
      <c r="C363" s="454" t="s">
        <v>264</v>
      </c>
      <c r="D363" s="454" t="s">
        <v>118</v>
      </c>
      <c r="E363" s="454"/>
      <c r="F363" s="461"/>
      <c r="G363" s="10">
        <f>G364</f>
        <v>2606.89</v>
      </c>
      <c r="H363" s="10">
        <f t="shared" si="184"/>
        <v>1649.3989999999999</v>
      </c>
      <c r="I363" s="451">
        <f t="shared" si="172"/>
        <v>63.270755574650252</v>
      </c>
    </row>
    <row r="364" spans="1:9" s="449" customFormat="1" ht="31.5" x14ac:dyDescent="0.25">
      <c r="A364" s="31" t="s">
        <v>272</v>
      </c>
      <c r="B364" s="454" t="s">
        <v>1671</v>
      </c>
      <c r="C364" s="454" t="s">
        <v>264</v>
      </c>
      <c r="D364" s="454" t="s">
        <v>118</v>
      </c>
      <c r="E364" s="454" t="s">
        <v>273</v>
      </c>
      <c r="F364" s="461"/>
      <c r="G364" s="10">
        <f t="shared" si="184"/>
        <v>2606.89</v>
      </c>
      <c r="H364" s="10">
        <f t="shared" si="184"/>
        <v>1649.3989999999999</v>
      </c>
      <c r="I364" s="451">
        <f t="shared" si="172"/>
        <v>63.270755574650252</v>
      </c>
    </row>
    <row r="365" spans="1:9" s="449" customFormat="1" ht="15.75" x14ac:dyDescent="0.25">
      <c r="A365" s="31" t="s">
        <v>274</v>
      </c>
      <c r="B365" s="454" t="s">
        <v>1671</v>
      </c>
      <c r="C365" s="454" t="s">
        <v>264</v>
      </c>
      <c r="D365" s="454" t="s">
        <v>118</v>
      </c>
      <c r="E365" s="454" t="s">
        <v>275</v>
      </c>
      <c r="F365" s="461"/>
      <c r="G365" s="10">
        <f>'Пр.4 ведом.21'!G627</f>
        <v>2606.89</v>
      </c>
      <c r="H365" s="10">
        <f>'Пр.4 ведом.21'!H627</f>
        <v>1649.3989999999999</v>
      </c>
      <c r="I365" s="451">
        <f t="shared" si="172"/>
        <v>63.270755574650252</v>
      </c>
    </row>
    <row r="366" spans="1:9" s="449" customFormat="1" ht="31.5" x14ac:dyDescent="0.25">
      <c r="A366" s="29" t="s">
        <v>403</v>
      </c>
      <c r="B366" s="454" t="s">
        <v>1671</v>
      </c>
      <c r="C366" s="454" t="s">
        <v>264</v>
      </c>
      <c r="D366" s="454" t="s">
        <v>118</v>
      </c>
      <c r="E366" s="454" t="s">
        <v>275</v>
      </c>
      <c r="F366" s="461" t="s">
        <v>636</v>
      </c>
      <c r="G366" s="10">
        <f>G365</f>
        <v>2606.89</v>
      </c>
      <c r="H366" s="10">
        <f t="shared" ref="H366" si="185">H365</f>
        <v>1649.3989999999999</v>
      </c>
      <c r="I366" s="451">
        <f t="shared" si="172"/>
        <v>63.270755574650252</v>
      </c>
    </row>
    <row r="367" spans="1:9" s="200" customFormat="1" ht="48.2" customHeight="1" x14ac:dyDescent="0.25">
      <c r="A367" s="212" t="s">
        <v>1173</v>
      </c>
      <c r="B367" s="457" t="s">
        <v>1321</v>
      </c>
      <c r="C367" s="461"/>
      <c r="D367" s="461"/>
      <c r="E367" s="461"/>
      <c r="F367" s="461"/>
      <c r="G367" s="59">
        <f>G368</f>
        <v>1570.7</v>
      </c>
      <c r="H367" s="59">
        <f t="shared" ref="H367:H371" si="186">H368</f>
        <v>1570.7</v>
      </c>
      <c r="I367" s="450">
        <f t="shared" si="172"/>
        <v>100</v>
      </c>
    </row>
    <row r="368" spans="1:9" s="200" customFormat="1" ht="15" customHeight="1" x14ac:dyDescent="0.25">
      <c r="A368" s="29" t="s">
        <v>263</v>
      </c>
      <c r="B368" s="454" t="s">
        <v>1321</v>
      </c>
      <c r="C368" s="461" t="s">
        <v>264</v>
      </c>
      <c r="D368" s="461"/>
      <c r="E368" s="461"/>
      <c r="F368" s="461"/>
      <c r="G368" s="10">
        <f>G369</f>
        <v>1570.7</v>
      </c>
      <c r="H368" s="10">
        <f t="shared" si="186"/>
        <v>1570.7</v>
      </c>
      <c r="I368" s="451">
        <f t="shared" si="172"/>
        <v>100</v>
      </c>
    </row>
    <row r="369" spans="1:9" s="200" customFormat="1" ht="19.5" customHeight="1" x14ac:dyDescent="0.25">
      <c r="A369" s="29" t="s">
        <v>425</v>
      </c>
      <c r="B369" s="454" t="s">
        <v>1321</v>
      </c>
      <c r="C369" s="461" t="s">
        <v>264</v>
      </c>
      <c r="D369" s="461" t="s">
        <v>213</v>
      </c>
      <c r="E369" s="461"/>
      <c r="F369" s="461"/>
      <c r="G369" s="10">
        <f>G370</f>
        <v>1570.7</v>
      </c>
      <c r="H369" s="10">
        <f t="shared" si="186"/>
        <v>1570.7</v>
      </c>
      <c r="I369" s="451">
        <f t="shared" si="172"/>
        <v>100</v>
      </c>
    </row>
    <row r="370" spans="1:9" s="200" customFormat="1" ht="62.45" customHeight="1" x14ac:dyDescent="0.25">
      <c r="A370" s="182" t="s">
        <v>1530</v>
      </c>
      <c r="B370" s="454" t="s">
        <v>1322</v>
      </c>
      <c r="C370" s="461" t="s">
        <v>264</v>
      </c>
      <c r="D370" s="461" t="s">
        <v>213</v>
      </c>
      <c r="E370" s="461"/>
      <c r="F370" s="461"/>
      <c r="G370" s="10">
        <f>G371</f>
        <v>1570.7</v>
      </c>
      <c r="H370" s="10">
        <f t="shared" si="186"/>
        <v>1570.7</v>
      </c>
      <c r="I370" s="451">
        <f t="shared" si="172"/>
        <v>100</v>
      </c>
    </row>
    <row r="371" spans="1:9" s="200" customFormat="1" ht="33.75" customHeight="1" x14ac:dyDescent="0.25">
      <c r="A371" s="31" t="s">
        <v>272</v>
      </c>
      <c r="B371" s="454" t="s">
        <v>1322</v>
      </c>
      <c r="C371" s="461" t="s">
        <v>264</v>
      </c>
      <c r="D371" s="461" t="s">
        <v>213</v>
      </c>
      <c r="E371" s="461" t="s">
        <v>273</v>
      </c>
      <c r="F371" s="461"/>
      <c r="G371" s="10">
        <f>G372</f>
        <v>1570.7</v>
      </c>
      <c r="H371" s="10">
        <f t="shared" si="186"/>
        <v>1570.7</v>
      </c>
      <c r="I371" s="451">
        <f t="shared" si="172"/>
        <v>100</v>
      </c>
    </row>
    <row r="372" spans="1:9" s="200" customFormat="1" ht="21.2" customHeight="1" x14ac:dyDescent="0.25">
      <c r="A372" s="31" t="s">
        <v>274</v>
      </c>
      <c r="B372" s="454" t="s">
        <v>1322</v>
      </c>
      <c r="C372" s="461" t="s">
        <v>264</v>
      </c>
      <c r="D372" s="461" t="s">
        <v>213</v>
      </c>
      <c r="E372" s="461" t="s">
        <v>275</v>
      </c>
      <c r="F372" s="461"/>
      <c r="G372" s="10">
        <f>'Пр.4 ведом.21'!G714</f>
        <v>1570.7</v>
      </c>
      <c r="H372" s="10">
        <f>'Пр.4 ведом.21'!H714</f>
        <v>1570.7</v>
      </c>
      <c r="I372" s="451">
        <f t="shared" si="172"/>
        <v>100</v>
      </c>
    </row>
    <row r="373" spans="1:9" s="200" customFormat="1" ht="31.7" customHeight="1" x14ac:dyDescent="0.25">
      <c r="A373" s="29" t="s">
        <v>403</v>
      </c>
      <c r="B373" s="454" t="s">
        <v>1322</v>
      </c>
      <c r="C373" s="461" t="s">
        <v>264</v>
      </c>
      <c r="D373" s="461" t="s">
        <v>213</v>
      </c>
      <c r="E373" s="461" t="s">
        <v>275</v>
      </c>
      <c r="F373" s="461" t="s">
        <v>636</v>
      </c>
      <c r="G373" s="10">
        <f>G367</f>
        <v>1570.7</v>
      </c>
      <c r="H373" s="10">
        <f t="shared" ref="H373" si="187">H367</f>
        <v>1570.7</v>
      </c>
      <c r="I373" s="451">
        <f t="shared" si="172"/>
        <v>100</v>
      </c>
    </row>
    <row r="374" spans="1:9" s="200" customFormat="1" ht="31.7" customHeight="1" x14ac:dyDescent="0.25">
      <c r="A374" s="34" t="s">
        <v>1468</v>
      </c>
      <c r="B374" s="457" t="s">
        <v>1469</v>
      </c>
      <c r="C374" s="461"/>
      <c r="D374" s="461"/>
      <c r="E374" s="461"/>
      <c r="F374" s="461"/>
      <c r="G374" s="59">
        <f>G375</f>
        <v>2692.1</v>
      </c>
      <c r="H374" s="59">
        <f t="shared" ref="H374:H378" si="188">H375</f>
        <v>2691.1640000000002</v>
      </c>
      <c r="I374" s="450">
        <f t="shared" si="172"/>
        <v>99.965231603580861</v>
      </c>
    </row>
    <row r="375" spans="1:9" s="200" customFormat="1" ht="15.75" x14ac:dyDescent="0.25">
      <c r="A375" s="29" t="s">
        <v>263</v>
      </c>
      <c r="B375" s="454" t="s">
        <v>1469</v>
      </c>
      <c r="C375" s="461" t="s">
        <v>264</v>
      </c>
      <c r="D375" s="461"/>
      <c r="E375" s="461"/>
      <c r="F375" s="461"/>
      <c r="G375" s="10">
        <f>G376</f>
        <v>2692.1</v>
      </c>
      <c r="H375" s="10">
        <f t="shared" si="188"/>
        <v>2691.1640000000002</v>
      </c>
      <c r="I375" s="451">
        <f t="shared" si="172"/>
        <v>99.965231603580861</v>
      </c>
    </row>
    <row r="376" spans="1:9" s="200" customFormat="1" ht="15.75" x14ac:dyDescent="0.25">
      <c r="A376" s="29" t="s">
        <v>425</v>
      </c>
      <c r="B376" s="454" t="s">
        <v>1469</v>
      </c>
      <c r="C376" s="461" t="s">
        <v>264</v>
      </c>
      <c r="D376" s="461" t="s">
        <v>213</v>
      </c>
      <c r="E376" s="461"/>
      <c r="F376" s="461"/>
      <c r="G376" s="10">
        <f>G377</f>
        <v>2692.1</v>
      </c>
      <c r="H376" s="10">
        <f t="shared" si="188"/>
        <v>2691.1640000000002</v>
      </c>
      <c r="I376" s="451">
        <f t="shared" si="172"/>
        <v>99.965231603580861</v>
      </c>
    </row>
    <row r="377" spans="1:9" s="200" customFormat="1" ht="57.75" customHeight="1" x14ac:dyDescent="0.25">
      <c r="A377" s="31" t="s">
        <v>1531</v>
      </c>
      <c r="B377" s="454" t="s">
        <v>1470</v>
      </c>
      <c r="C377" s="461" t="s">
        <v>264</v>
      </c>
      <c r="D377" s="461" t="s">
        <v>213</v>
      </c>
      <c r="E377" s="461"/>
      <c r="F377" s="461"/>
      <c r="G377" s="10">
        <f>G378</f>
        <v>2692.1</v>
      </c>
      <c r="H377" s="10">
        <f t="shared" si="188"/>
        <v>2691.1640000000002</v>
      </c>
      <c r="I377" s="451">
        <f t="shared" si="172"/>
        <v>99.965231603580861</v>
      </c>
    </row>
    <row r="378" spans="1:9" s="200" customFormat="1" ht="31.7" customHeight="1" x14ac:dyDescent="0.25">
      <c r="A378" s="31" t="s">
        <v>272</v>
      </c>
      <c r="B378" s="454" t="s">
        <v>1470</v>
      </c>
      <c r="C378" s="461" t="s">
        <v>264</v>
      </c>
      <c r="D378" s="461" t="s">
        <v>213</v>
      </c>
      <c r="E378" s="461" t="s">
        <v>273</v>
      </c>
      <c r="F378" s="461"/>
      <c r="G378" s="10">
        <f>G379</f>
        <v>2692.1</v>
      </c>
      <c r="H378" s="10">
        <f t="shared" si="188"/>
        <v>2691.1640000000002</v>
      </c>
      <c r="I378" s="451">
        <f t="shared" si="172"/>
        <v>99.965231603580861</v>
      </c>
    </row>
    <row r="379" spans="1:9" s="200" customFormat="1" ht="31.7" customHeight="1" x14ac:dyDescent="0.25">
      <c r="A379" s="31" t="s">
        <v>274</v>
      </c>
      <c r="B379" s="454" t="s">
        <v>1470</v>
      </c>
      <c r="C379" s="461" t="s">
        <v>264</v>
      </c>
      <c r="D379" s="461" t="s">
        <v>213</v>
      </c>
      <c r="E379" s="461" t="s">
        <v>275</v>
      </c>
      <c r="F379" s="461"/>
      <c r="G379" s="10">
        <f>'Пр.4 ведом.21'!G718</f>
        <v>2692.1</v>
      </c>
      <c r="H379" s="10">
        <f>'Пр.4 ведом.21'!H718</f>
        <v>2691.1640000000002</v>
      </c>
      <c r="I379" s="451">
        <f t="shared" si="172"/>
        <v>99.965231603580861</v>
      </c>
    </row>
    <row r="380" spans="1:9" s="200" customFormat="1" ht="31.7" customHeight="1" x14ac:dyDescent="0.25">
      <c r="A380" s="29" t="s">
        <v>403</v>
      </c>
      <c r="B380" s="454" t="s">
        <v>1470</v>
      </c>
      <c r="C380" s="461" t="s">
        <v>264</v>
      </c>
      <c r="D380" s="461" t="s">
        <v>213</v>
      </c>
      <c r="E380" s="461" t="s">
        <v>275</v>
      </c>
      <c r="F380" s="461" t="s">
        <v>636</v>
      </c>
      <c r="G380" s="10">
        <f>G374</f>
        <v>2692.1</v>
      </c>
      <c r="H380" s="10">
        <f t="shared" ref="H380" si="189">H374</f>
        <v>2691.1640000000002</v>
      </c>
      <c r="I380" s="451">
        <f t="shared" si="172"/>
        <v>99.965231603580861</v>
      </c>
    </row>
    <row r="381" spans="1:9" ht="47.25" x14ac:dyDescent="0.25">
      <c r="A381" s="58" t="s">
        <v>1387</v>
      </c>
      <c r="B381" s="193" t="s">
        <v>156</v>
      </c>
      <c r="C381" s="7"/>
      <c r="D381" s="193"/>
      <c r="E381" s="193"/>
      <c r="F381" s="193"/>
      <c r="G381" s="59">
        <f>G383</f>
        <v>150</v>
      </c>
      <c r="H381" s="59">
        <f t="shared" ref="H381" si="190">H383</f>
        <v>0</v>
      </c>
      <c r="I381" s="450">
        <f t="shared" si="172"/>
        <v>0</v>
      </c>
    </row>
    <row r="382" spans="1:9" s="200" customFormat="1" ht="36.75" customHeight="1" x14ac:dyDescent="0.25">
      <c r="A382" s="456" t="s">
        <v>1065</v>
      </c>
      <c r="B382" s="457" t="s">
        <v>1062</v>
      </c>
      <c r="C382" s="7"/>
      <c r="D382" s="7"/>
      <c r="E382" s="7"/>
      <c r="F382" s="7"/>
      <c r="G382" s="59">
        <f>G383</f>
        <v>150</v>
      </c>
      <c r="H382" s="59">
        <f t="shared" ref="H382:H386" si="191">H383</f>
        <v>0</v>
      </c>
      <c r="I382" s="450">
        <f t="shared" si="172"/>
        <v>0</v>
      </c>
    </row>
    <row r="383" spans="1:9" ht="15.75" x14ac:dyDescent="0.25">
      <c r="A383" s="45" t="s">
        <v>232</v>
      </c>
      <c r="B383" s="5" t="s">
        <v>1062</v>
      </c>
      <c r="C383" s="461" t="s">
        <v>150</v>
      </c>
      <c r="D383" s="461"/>
      <c r="E383" s="461"/>
      <c r="F383" s="461"/>
      <c r="G383" s="10">
        <f>G384</f>
        <v>150</v>
      </c>
      <c r="H383" s="10">
        <f t="shared" si="191"/>
        <v>0</v>
      </c>
      <c r="I383" s="451">
        <f t="shared" si="172"/>
        <v>0</v>
      </c>
    </row>
    <row r="384" spans="1:9" ht="15.75" x14ac:dyDescent="0.25">
      <c r="A384" s="45" t="s">
        <v>775</v>
      </c>
      <c r="B384" s="5" t="s">
        <v>1062</v>
      </c>
      <c r="C384" s="461" t="s">
        <v>150</v>
      </c>
      <c r="D384" s="461" t="s">
        <v>238</v>
      </c>
      <c r="E384" s="461"/>
      <c r="F384" s="461"/>
      <c r="G384" s="10">
        <f>G385</f>
        <v>150</v>
      </c>
      <c r="H384" s="10">
        <f t="shared" si="191"/>
        <v>0</v>
      </c>
      <c r="I384" s="451">
        <f t="shared" si="172"/>
        <v>0</v>
      </c>
    </row>
    <row r="385" spans="1:9" ht="31.5" x14ac:dyDescent="0.25">
      <c r="A385" s="458" t="s">
        <v>1066</v>
      </c>
      <c r="B385" s="454" t="s">
        <v>1063</v>
      </c>
      <c r="C385" s="461" t="s">
        <v>150</v>
      </c>
      <c r="D385" s="461" t="s">
        <v>238</v>
      </c>
      <c r="E385" s="461"/>
      <c r="F385" s="461"/>
      <c r="G385" s="10">
        <f>G386</f>
        <v>150</v>
      </c>
      <c r="H385" s="10">
        <f t="shared" si="191"/>
        <v>0</v>
      </c>
      <c r="I385" s="451">
        <f t="shared" si="172"/>
        <v>0</v>
      </c>
    </row>
    <row r="386" spans="1:9" ht="15.75" x14ac:dyDescent="0.25">
      <c r="A386" s="458" t="s">
        <v>135</v>
      </c>
      <c r="B386" s="454" t="s">
        <v>1063</v>
      </c>
      <c r="C386" s="461" t="s">
        <v>150</v>
      </c>
      <c r="D386" s="461" t="s">
        <v>238</v>
      </c>
      <c r="E386" s="461" t="s">
        <v>132</v>
      </c>
      <c r="F386" s="461"/>
      <c r="G386" s="10">
        <f>G387</f>
        <v>150</v>
      </c>
      <c r="H386" s="10">
        <f t="shared" si="191"/>
        <v>0</v>
      </c>
      <c r="I386" s="451">
        <f t="shared" si="172"/>
        <v>0</v>
      </c>
    </row>
    <row r="387" spans="1:9" ht="47.25" x14ac:dyDescent="0.25">
      <c r="A387" s="458" t="s">
        <v>184</v>
      </c>
      <c r="B387" s="454" t="s">
        <v>1063</v>
      </c>
      <c r="C387" s="461" t="s">
        <v>150</v>
      </c>
      <c r="D387" s="461" t="s">
        <v>238</v>
      </c>
      <c r="E387" s="461" t="s">
        <v>134</v>
      </c>
      <c r="F387" s="461"/>
      <c r="G387" s="10">
        <f>'Пр.3 Рд,пр, ЦС,ВР 21'!F316</f>
        <v>150</v>
      </c>
      <c r="H387" s="10">
        <f>'Пр.3 Рд,пр, ЦС,ВР 21'!G316</f>
        <v>0</v>
      </c>
      <c r="I387" s="451">
        <f t="shared" si="172"/>
        <v>0</v>
      </c>
    </row>
    <row r="388" spans="1:9" s="200" customFormat="1" ht="15.75" x14ac:dyDescent="0.25">
      <c r="A388" s="29" t="s">
        <v>148</v>
      </c>
      <c r="B388" s="454" t="s">
        <v>1063</v>
      </c>
      <c r="C388" s="461" t="s">
        <v>150</v>
      </c>
      <c r="D388" s="461" t="s">
        <v>238</v>
      </c>
      <c r="E388" s="461" t="s">
        <v>134</v>
      </c>
      <c r="F388" s="461" t="s">
        <v>641</v>
      </c>
      <c r="G388" s="10">
        <f>G387</f>
        <v>150</v>
      </c>
      <c r="H388" s="10">
        <f t="shared" ref="H388" si="192">H387</f>
        <v>0</v>
      </c>
      <c r="I388" s="451">
        <f t="shared" si="172"/>
        <v>0</v>
      </c>
    </row>
    <row r="389" spans="1:9" ht="45.75" customHeight="1" x14ac:dyDescent="0.25">
      <c r="A389" s="462" t="s">
        <v>1367</v>
      </c>
      <c r="B389" s="193" t="s">
        <v>162</v>
      </c>
      <c r="C389" s="7"/>
      <c r="D389" s="7"/>
      <c r="E389" s="7"/>
      <c r="F389" s="7"/>
      <c r="G389" s="59">
        <f>G390+G397+G416</f>
        <v>622.44000000000005</v>
      </c>
      <c r="H389" s="59">
        <f t="shared" ref="H389" si="193">H390+H397+H416</f>
        <v>438.11099999999999</v>
      </c>
      <c r="I389" s="450">
        <f t="shared" si="172"/>
        <v>70.386061307113934</v>
      </c>
    </row>
    <row r="390" spans="1:9" s="200" customFormat="1" ht="67.7" customHeight="1" x14ac:dyDescent="0.25">
      <c r="A390" s="289" t="s">
        <v>1342</v>
      </c>
      <c r="B390" s="7" t="s">
        <v>849</v>
      </c>
      <c r="C390" s="7"/>
      <c r="D390" s="8"/>
      <c r="E390" s="193"/>
      <c r="F390" s="7"/>
      <c r="G390" s="59">
        <f>G392</f>
        <v>426</v>
      </c>
      <c r="H390" s="59">
        <f t="shared" ref="H390" si="194">H392</f>
        <v>283.86200000000002</v>
      </c>
      <c r="I390" s="450">
        <f t="shared" si="172"/>
        <v>66.63427230046949</v>
      </c>
    </row>
    <row r="391" spans="1:9" s="200" customFormat="1" ht="15.75" customHeight="1" x14ac:dyDescent="0.25">
      <c r="A391" s="45" t="s">
        <v>117</v>
      </c>
      <c r="B391" s="5" t="s">
        <v>849</v>
      </c>
      <c r="C391" s="461" t="s">
        <v>118</v>
      </c>
      <c r="D391" s="5"/>
      <c r="E391" s="5"/>
      <c r="F391" s="461"/>
      <c r="G391" s="10">
        <f t="shared" ref="G391:H392" si="195">G392</f>
        <v>426</v>
      </c>
      <c r="H391" s="10">
        <f t="shared" si="195"/>
        <v>283.86200000000002</v>
      </c>
      <c r="I391" s="451">
        <f t="shared" si="172"/>
        <v>66.63427230046949</v>
      </c>
    </row>
    <row r="392" spans="1:9" s="200" customFormat="1" ht="45.75" customHeight="1" x14ac:dyDescent="0.25">
      <c r="A392" s="29" t="s">
        <v>149</v>
      </c>
      <c r="B392" s="5" t="s">
        <v>849</v>
      </c>
      <c r="C392" s="461" t="s">
        <v>118</v>
      </c>
      <c r="D392" s="9" t="s">
        <v>150</v>
      </c>
      <c r="E392" s="5"/>
      <c r="F392" s="461"/>
      <c r="G392" s="10">
        <f>G393</f>
        <v>426</v>
      </c>
      <c r="H392" s="10">
        <f t="shared" si="195"/>
        <v>283.86200000000002</v>
      </c>
      <c r="I392" s="451">
        <f t="shared" si="172"/>
        <v>66.63427230046949</v>
      </c>
    </row>
    <row r="393" spans="1:9" s="200" customFormat="1" ht="62.45" customHeight="1" x14ac:dyDescent="0.25">
      <c r="A393" s="29" t="s">
        <v>1309</v>
      </c>
      <c r="B393" s="461" t="s">
        <v>841</v>
      </c>
      <c r="C393" s="461" t="s">
        <v>118</v>
      </c>
      <c r="D393" s="9" t="s">
        <v>150</v>
      </c>
      <c r="E393" s="461"/>
      <c r="F393" s="461"/>
      <c r="G393" s="10">
        <f t="shared" ref="G393:H394" si="196">G394</f>
        <v>426</v>
      </c>
      <c r="H393" s="10">
        <f t="shared" si="196"/>
        <v>283.86200000000002</v>
      </c>
      <c r="I393" s="451">
        <f t="shared" si="172"/>
        <v>66.63427230046949</v>
      </c>
    </row>
    <row r="394" spans="1:9" s="200" customFormat="1" ht="34.5" customHeight="1" x14ac:dyDescent="0.25">
      <c r="A394" s="29" t="s">
        <v>131</v>
      </c>
      <c r="B394" s="461" t="s">
        <v>841</v>
      </c>
      <c r="C394" s="461" t="s">
        <v>118</v>
      </c>
      <c r="D394" s="9" t="s">
        <v>150</v>
      </c>
      <c r="E394" s="461" t="s">
        <v>132</v>
      </c>
      <c r="F394" s="461"/>
      <c r="G394" s="10">
        <f t="shared" si="196"/>
        <v>426</v>
      </c>
      <c r="H394" s="10">
        <f t="shared" si="196"/>
        <v>283.86200000000002</v>
      </c>
      <c r="I394" s="451">
        <f t="shared" si="172"/>
        <v>66.63427230046949</v>
      </c>
    </row>
    <row r="395" spans="1:9" s="200" customFormat="1" ht="36" customHeight="1" x14ac:dyDescent="0.25">
      <c r="A395" s="29" t="s">
        <v>133</v>
      </c>
      <c r="B395" s="461" t="s">
        <v>841</v>
      </c>
      <c r="C395" s="461" t="s">
        <v>118</v>
      </c>
      <c r="D395" s="9" t="s">
        <v>150</v>
      </c>
      <c r="E395" s="461" t="s">
        <v>134</v>
      </c>
      <c r="F395" s="461"/>
      <c r="G395" s="10">
        <f>'Пр.3 Рд,пр, ЦС,ВР 21'!F90</f>
        <v>426</v>
      </c>
      <c r="H395" s="10">
        <f>'Пр.3 Рд,пр, ЦС,ВР 21'!G90</f>
        <v>283.86200000000002</v>
      </c>
      <c r="I395" s="451">
        <f t="shared" ref="I395:I458" si="197">H395/G395*100</f>
        <v>66.63427230046949</v>
      </c>
    </row>
    <row r="396" spans="1:9" s="200" customFormat="1" ht="20.25" customHeight="1" x14ac:dyDescent="0.25">
      <c r="A396" s="29" t="s">
        <v>148</v>
      </c>
      <c r="B396" s="461" t="s">
        <v>841</v>
      </c>
      <c r="C396" s="461" t="s">
        <v>118</v>
      </c>
      <c r="D396" s="9" t="s">
        <v>150</v>
      </c>
      <c r="E396" s="461" t="s">
        <v>134</v>
      </c>
      <c r="F396" s="461" t="s">
        <v>641</v>
      </c>
      <c r="G396" s="10">
        <f>G395</f>
        <v>426</v>
      </c>
      <c r="H396" s="10">
        <f t="shared" ref="H396" si="198">H395</f>
        <v>283.86200000000002</v>
      </c>
      <c r="I396" s="451">
        <f t="shared" si="197"/>
        <v>66.63427230046949</v>
      </c>
    </row>
    <row r="397" spans="1:9" s="200" customFormat="1" ht="63" customHeight="1" x14ac:dyDescent="0.25">
      <c r="A397" s="215" t="s">
        <v>843</v>
      </c>
      <c r="B397" s="7" t="s">
        <v>850</v>
      </c>
      <c r="C397" s="7"/>
      <c r="D397" s="8"/>
      <c r="E397" s="193"/>
      <c r="F397" s="7"/>
      <c r="G397" s="59">
        <f>G398</f>
        <v>195.94</v>
      </c>
      <c r="H397" s="59">
        <f t="shared" ref="H397" si="199">H398</f>
        <v>154.249</v>
      </c>
      <c r="I397" s="450">
        <f t="shared" si="197"/>
        <v>78.722568133101973</v>
      </c>
    </row>
    <row r="398" spans="1:9" ht="15.75" x14ac:dyDescent="0.25">
      <c r="A398" s="45" t="s">
        <v>117</v>
      </c>
      <c r="B398" s="5" t="s">
        <v>850</v>
      </c>
      <c r="C398" s="461" t="s">
        <v>118</v>
      </c>
      <c r="D398" s="5"/>
      <c r="E398" s="5"/>
      <c r="F398" s="461"/>
      <c r="G398" s="10">
        <f>G399+G404</f>
        <v>195.94</v>
      </c>
      <c r="H398" s="10">
        <f t="shared" ref="H398" si="200">H399+H404</f>
        <v>154.249</v>
      </c>
      <c r="I398" s="451">
        <f t="shared" si="197"/>
        <v>78.722568133101973</v>
      </c>
    </row>
    <row r="399" spans="1:9" s="200" customFormat="1" ht="47.25" x14ac:dyDescent="0.25">
      <c r="A399" s="458" t="s">
        <v>575</v>
      </c>
      <c r="B399" s="5" t="s">
        <v>850</v>
      </c>
      <c r="C399" s="461" t="s">
        <v>118</v>
      </c>
      <c r="D399" s="9" t="s">
        <v>213</v>
      </c>
      <c r="E399" s="5"/>
      <c r="F399" s="461"/>
      <c r="G399" s="10">
        <f>G400</f>
        <v>41.64</v>
      </c>
      <c r="H399" s="10">
        <f t="shared" ref="H399:H401" si="201">H400</f>
        <v>0</v>
      </c>
      <c r="I399" s="451">
        <f t="shared" si="197"/>
        <v>0</v>
      </c>
    </row>
    <row r="400" spans="1:9" s="200" customFormat="1" ht="47.25" x14ac:dyDescent="0.25">
      <c r="A400" s="31" t="s">
        <v>695</v>
      </c>
      <c r="B400" s="461" t="s">
        <v>993</v>
      </c>
      <c r="C400" s="454" t="s">
        <v>118</v>
      </c>
      <c r="D400" s="9" t="s">
        <v>213</v>
      </c>
      <c r="E400" s="5"/>
      <c r="F400" s="461"/>
      <c r="G400" s="10">
        <f>G401</f>
        <v>41.64</v>
      </c>
      <c r="H400" s="10">
        <f t="shared" si="201"/>
        <v>0</v>
      </c>
      <c r="I400" s="451">
        <f t="shared" si="197"/>
        <v>0</v>
      </c>
    </row>
    <row r="401" spans="1:9" s="200" customFormat="1" ht="31.5" x14ac:dyDescent="0.25">
      <c r="A401" s="458" t="s">
        <v>131</v>
      </c>
      <c r="B401" s="461" t="s">
        <v>696</v>
      </c>
      <c r="C401" s="454" t="s">
        <v>118</v>
      </c>
      <c r="D401" s="9" t="s">
        <v>213</v>
      </c>
      <c r="E401" s="5">
        <v>200</v>
      </c>
      <c r="F401" s="461"/>
      <c r="G401" s="10">
        <f>G402</f>
        <v>41.64</v>
      </c>
      <c r="H401" s="10">
        <f t="shared" si="201"/>
        <v>0</v>
      </c>
      <c r="I401" s="451">
        <f t="shared" si="197"/>
        <v>0</v>
      </c>
    </row>
    <row r="402" spans="1:9" s="200" customFormat="1" ht="31.5" x14ac:dyDescent="0.25">
      <c r="A402" s="458" t="s">
        <v>133</v>
      </c>
      <c r="B402" s="461" t="s">
        <v>696</v>
      </c>
      <c r="C402" s="454" t="s">
        <v>118</v>
      </c>
      <c r="D402" s="9" t="s">
        <v>213</v>
      </c>
      <c r="E402" s="5">
        <v>240</v>
      </c>
      <c r="F402" s="461"/>
      <c r="G402" s="10">
        <f>'Пр.4 ведом.21'!G49</f>
        <v>41.64</v>
      </c>
      <c r="H402" s="10">
        <f>'Пр.4 ведом.21'!H49</f>
        <v>0</v>
      </c>
      <c r="I402" s="451">
        <f t="shared" si="197"/>
        <v>0</v>
      </c>
    </row>
    <row r="403" spans="1:9" s="200" customFormat="1" ht="15.75" x14ac:dyDescent="0.25">
      <c r="A403" s="458" t="s">
        <v>148</v>
      </c>
      <c r="B403" s="461" t="s">
        <v>696</v>
      </c>
      <c r="C403" s="454" t="s">
        <v>118</v>
      </c>
      <c r="D403" s="9" t="s">
        <v>213</v>
      </c>
      <c r="E403" s="5">
        <v>240</v>
      </c>
      <c r="F403" s="461" t="s">
        <v>641</v>
      </c>
      <c r="G403" s="10">
        <f>G400</f>
        <v>41.64</v>
      </c>
      <c r="H403" s="10">
        <f t="shared" ref="H403" si="202">H400</f>
        <v>0</v>
      </c>
      <c r="I403" s="451">
        <f t="shared" si="197"/>
        <v>0</v>
      </c>
    </row>
    <row r="404" spans="1:9" s="200" customFormat="1" ht="63" x14ac:dyDescent="0.25">
      <c r="A404" s="29" t="s">
        <v>149</v>
      </c>
      <c r="B404" s="5" t="s">
        <v>850</v>
      </c>
      <c r="C404" s="461" t="s">
        <v>118</v>
      </c>
      <c r="D404" s="9" t="s">
        <v>150</v>
      </c>
      <c r="E404" s="5"/>
      <c r="F404" s="461"/>
      <c r="G404" s="10">
        <f>G405</f>
        <v>154.30000000000001</v>
      </c>
      <c r="H404" s="10">
        <f t="shared" ref="H404" si="203">H405</f>
        <v>154.249</v>
      </c>
      <c r="I404" s="451">
        <f t="shared" si="197"/>
        <v>99.966947504860642</v>
      </c>
    </row>
    <row r="405" spans="1:9" ht="47.25" x14ac:dyDescent="0.25">
      <c r="A405" s="174" t="s">
        <v>165</v>
      </c>
      <c r="B405" s="461" t="s">
        <v>842</v>
      </c>
      <c r="C405" s="461" t="s">
        <v>118</v>
      </c>
      <c r="D405" s="9" t="s">
        <v>150</v>
      </c>
      <c r="E405" s="461"/>
      <c r="F405" s="461"/>
      <c r="G405" s="10">
        <f>G406+G409</f>
        <v>154.30000000000001</v>
      </c>
      <c r="H405" s="10">
        <f t="shared" ref="H405" si="204">H406+H409</f>
        <v>154.249</v>
      </c>
      <c r="I405" s="451">
        <f t="shared" si="197"/>
        <v>99.966947504860642</v>
      </c>
    </row>
    <row r="406" spans="1:9" s="200" customFormat="1" ht="78.75" x14ac:dyDescent="0.25">
      <c r="A406" s="458" t="s">
        <v>127</v>
      </c>
      <c r="B406" s="461" t="s">
        <v>842</v>
      </c>
      <c r="C406" s="461" t="s">
        <v>118</v>
      </c>
      <c r="D406" s="9" t="s">
        <v>150</v>
      </c>
      <c r="E406" s="461" t="s">
        <v>128</v>
      </c>
      <c r="F406" s="461"/>
      <c r="G406" s="10">
        <f>G407</f>
        <v>109.3</v>
      </c>
      <c r="H406" s="10">
        <f t="shared" ref="H406" si="205">H407</f>
        <v>109.249</v>
      </c>
      <c r="I406" s="451">
        <f t="shared" si="197"/>
        <v>99.953339432753879</v>
      </c>
    </row>
    <row r="407" spans="1:9" s="200" customFormat="1" ht="31.5" x14ac:dyDescent="0.25">
      <c r="A407" s="458" t="s">
        <v>129</v>
      </c>
      <c r="B407" s="461" t="s">
        <v>842</v>
      </c>
      <c r="C407" s="461" t="s">
        <v>118</v>
      </c>
      <c r="D407" s="9" t="s">
        <v>150</v>
      </c>
      <c r="E407" s="461" t="s">
        <v>130</v>
      </c>
      <c r="F407" s="461"/>
      <c r="G407" s="10">
        <f>'Пр.3 Рд,пр, ЦС,ВР 21'!F94</f>
        <v>109.3</v>
      </c>
      <c r="H407" s="10">
        <f>'Пр.3 Рд,пр, ЦС,ВР 21'!G94</f>
        <v>109.249</v>
      </c>
      <c r="I407" s="451">
        <f t="shared" si="197"/>
        <v>99.953339432753879</v>
      </c>
    </row>
    <row r="408" spans="1:9" s="200" customFormat="1" ht="24" customHeight="1" x14ac:dyDescent="0.25">
      <c r="A408" s="29" t="s">
        <v>1323</v>
      </c>
      <c r="B408" s="461" t="s">
        <v>842</v>
      </c>
      <c r="C408" s="461" t="s">
        <v>118</v>
      </c>
      <c r="D408" s="9" t="s">
        <v>150</v>
      </c>
      <c r="E408" s="461" t="s">
        <v>130</v>
      </c>
      <c r="F408" s="461" t="s">
        <v>641</v>
      </c>
      <c r="G408" s="10">
        <f>G407</f>
        <v>109.3</v>
      </c>
      <c r="H408" s="10">
        <f t="shared" ref="H408" si="206">H407</f>
        <v>109.249</v>
      </c>
      <c r="I408" s="451">
        <f t="shared" si="197"/>
        <v>99.953339432753879</v>
      </c>
    </row>
    <row r="409" spans="1:9" s="200" customFormat="1" ht="31.5" x14ac:dyDescent="0.25">
      <c r="A409" s="458" t="s">
        <v>131</v>
      </c>
      <c r="B409" s="461" t="s">
        <v>842</v>
      </c>
      <c r="C409" s="461" t="s">
        <v>118</v>
      </c>
      <c r="D409" s="9" t="s">
        <v>150</v>
      </c>
      <c r="E409" s="461" t="s">
        <v>132</v>
      </c>
      <c r="F409" s="461"/>
      <c r="G409" s="10">
        <f>G410</f>
        <v>45</v>
      </c>
      <c r="H409" s="10">
        <f t="shared" ref="H409" si="207">H410</f>
        <v>45</v>
      </c>
      <c r="I409" s="451">
        <f t="shared" si="197"/>
        <v>100</v>
      </c>
    </row>
    <row r="410" spans="1:9" s="200" customFormat="1" ht="31.5" x14ac:dyDescent="0.25">
      <c r="A410" s="458" t="s">
        <v>133</v>
      </c>
      <c r="B410" s="461" t="s">
        <v>842</v>
      </c>
      <c r="C410" s="461" t="s">
        <v>118</v>
      </c>
      <c r="D410" s="9" t="s">
        <v>150</v>
      </c>
      <c r="E410" s="461" t="s">
        <v>134</v>
      </c>
      <c r="F410" s="461"/>
      <c r="G410" s="10">
        <f>'Пр.3 Рд,пр, ЦС,ВР 21'!F96</f>
        <v>45</v>
      </c>
      <c r="H410" s="10">
        <f>'Пр.3 Рд,пр, ЦС,ВР 21'!G96</f>
        <v>45</v>
      </c>
      <c r="I410" s="451">
        <f t="shared" si="197"/>
        <v>100</v>
      </c>
    </row>
    <row r="411" spans="1:9" s="200" customFormat="1" ht="22.7" customHeight="1" x14ac:dyDescent="0.25">
      <c r="A411" s="29" t="s">
        <v>148</v>
      </c>
      <c r="B411" s="461" t="s">
        <v>842</v>
      </c>
      <c r="C411" s="461" t="s">
        <v>118</v>
      </c>
      <c r="D411" s="9" t="s">
        <v>150</v>
      </c>
      <c r="E411" s="461" t="s">
        <v>134</v>
      </c>
      <c r="F411" s="461" t="s">
        <v>641</v>
      </c>
      <c r="G411" s="10">
        <f>G410</f>
        <v>45</v>
      </c>
      <c r="H411" s="10">
        <f t="shared" ref="H411" si="208">H410</f>
        <v>45</v>
      </c>
      <c r="I411" s="451">
        <f t="shared" si="197"/>
        <v>100</v>
      </c>
    </row>
    <row r="412" spans="1:9" s="200" customFormat="1" ht="47.25" hidden="1" x14ac:dyDescent="0.25">
      <c r="A412" s="31" t="s">
        <v>695</v>
      </c>
      <c r="B412" s="461" t="s">
        <v>993</v>
      </c>
      <c r="C412" s="461" t="s">
        <v>118</v>
      </c>
      <c r="D412" s="9" t="s">
        <v>150</v>
      </c>
      <c r="E412" s="5"/>
      <c r="F412" s="461"/>
      <c r="G412" s="10">
        <f>G413</f>
        <v>0</v>
      </c>
      <c r="H412" s="10">
        <f t="shared" ref="H412:H413" si="209">H413</f>
        <v>0</v>
      </c>
      <c r="I412" s="451" t="e">
        <f t="shared" si="197"/>
        <v>#DIV/0!</v>
      </c>
    </row>
    <row r="413" spans="1:9" s="200" customFormat="1" ht="31.5" hidden="1" x14ac:dyDescent="0.25">
      <c r="A413" s="458" t="s">
        <v>131</v>
      </c>
      <c r="B413" s="461" t="s">
        <v>993</v>
      </c>
      <c r="C413" s="461" t="s">
        <v>118</v>
      </c>
      <c r="D413" s="9" t="s">
        <v>150</v>
      </c>
      <c r="E413" s="5">
        <v>200</v>
      </c>
      <c r="F413" s="461"/>
      <c r="G413" s="10">
        <f>G414</f>
        <v>0</v>
      </c>
      <c r="H413" s="10">
        <f t="shared" si="209"/>
        <v>0</v>
      </c>
      <c r="I413" s="451" t="e">
        <f t="shared" si="197"/>
        <v>#DIV/0!</v>
      </c>
    </row>
    <row r="414" spans="1:9" s="200" customFormat="1" ht="31.5" hidden="1" x14ac:dyDescent="0.25">
      <c r="A414" s="458" t="s">
        <v>133</v>
      </c>
      <c r="B414" s="461" t="s">
        <v>993</v>
      </c>
      <c r="C414" s="461" t="s">
        <v>118</v>
      </c>
      <c r="D414" s="9" t="s">
        <v>150</v>
      </c>
      <c r="E414" s="5">
        <v>240</v>
      </c>
      <c r="F414" s="461"/>
      <c r="G414" s="10">
        <f>'Пр.4 ведом.21'!G103</f>
        <v>0</v>
      </c>
      <c r="H414" s="10">
        <f>'Пр.4 ведом.21'!H103</f>
        <v>0</v>
      </c>
      <c r="I414" s="451" t="e">
        <f t="shared" si="197"/>
        <v>#DIV/0!</v>
      </c>
    </row>
    <row r="415" spans="1:9" s="200" customFormat="1" ht="21.2" hidden="1" customHeight="1" x14ac:dyDescent="0.25">
      <c r="A415" s="29" t="s">
        <v>148</v>
      </c>
      <c r="B415" s="461" t="s">
        <v>993</v>
      </c>
      <c r="C415" s="461" t="s">
        <v>118</v>
      </c>
      <c r="D415" s="9" t="s">
        <v>150</v>
      </c>
      <c r="E415" s="5">
        <v>240</v>
      </c>
      <c r="F415" s="461" t="s">
        <v>641</v>
      </c>
      <c r="G415" s="10">
        <f>G414</f>
        <v>0</v>
      </c>
      <c r="H415" s="10">
        <f t="shared" ref="H415" si="210">H414</f>
        <v>0</v>
      </c>
      <c r="I415" s="451" t="e">
        <f t="shared" si="197"/>
        <v>#DIV/0!</v>
      </c>
    </row>
    <row r="416" spans="1:9" s="200" customFormat="1" ht="63" x14ac:dyDescent="0.25">
      <c r="A416" s="216" t="s">
        <v>1003</v>
      </c>
      <c r="B416" s="7" t="s">
        <v>851</v>
      </c>
      <c r="C416" s="7"/>
      <c r="D416" s="8"/>
      <c r="E416" s="7"/>
      <c r="F416" s="7"/>
      <c r="G416" s="59">
        <f>G417</f>
        <v>0.5</v>
      </c>
      <c r="H416" s="59">
        <f t="shared" ref="H416:H420" si="211">H417</f>
        <v>0</v>
      </c>
      <c r="I416" s="450">
        <f t="shared" si="197"/>
        <v>0</v>
      </c>
    </row>
    <row r="417" spans="1:9" s="200" customFormat="1" ht="15.75" x14ac:dyDescent="0.25">
      <c r="A417" s="45" t="s">
        <v>117</v>
      </c>
      <c r="B417" s="461" t="s">
        <v>851</v>
      </c>
      <c r="C417" s="461" t="s">
        <v>118</v>
      </c>
      <c r="D417" s="9"/>
      <c r="E417" s="7"/>
      <c r="F417" s="7"/>
      <c r="G417" s="10">
        <f>G418</f>
        <v>0.5</v>
      </c>
      <c r="H417" s="10">
        <f t="shared" si="211"/>
        <v>0</v>
      </c>
      <c r="I417" s="451">
        <f t="shared" si="197"/>
        <v>0</v>
      </c>
    </row>
    <row r="418" spans="1:9" s="200" customFormat="1" ht="63" x14ac:dyDescent="0.25">
      <c r="A418" s="29" t="s">
        <v>149</v>
      </c>
      <c r="B418" s="461" t="s">
        <v>851</v>
      </c>
      <c r="C418" s="461" t="s">
        <v>118</v>
      </c>
      <c r="D418" s="9" t="s">
        <v>150</v>
      </c>
      <c r="E418" s="7"/>
      <c r="F418" s="7"/>
      <c r="G418" s="10">
        <f>G419</f>
        <v>0.5</v>
      </c>
      <c r="H418" s="10">
        <f t="shared" si="211"/>
        <v>0</v>
      </c>
      <c r="I418" s="451">
        <f t="shared" si="197"/>
        <v>0</v>
      </c>
    </row>
    <row r="419" spans="1:9" s="200" customFormat="1" ht="47.25" x14ac:dyDescent="0.25">
      <c r="A419" s="33" t="s">
        <v>191</v>
      </c>
      <c r="B419" s="461" t="s">
        <v>844</v>
      </c>
      <c r="C419" s="461" t="s">
        <v>118</v>
      </c>
      <c r="D419" s="9" t="s">
        <v>150</v>
      </c>
      <c r="E419" s="461"/>
      <c r="F419" s="461"/>
      <c r="G419" s="10">
        <f>G420</f>
        <v>0.5</v>
      </c>
      <c r="H419" s="10">
        <f t="shared" si="211"/>
        <v>0</v>
      </c>
      <c r="I419" s="451">
        <f t="shared" si="197"/>
        <v>0</v>
      </c>
    </row>
    <row r="420" spans="1:9" s="200" customFormat="1" ht="31.5" x14ac:dyDescent="0.25">
      <c r="A420" s="458" t="s">
        <v>131</v>
      </c>
      <c r="B420" s="461" t="s">
        <v>844</v>
      </c>
      <c r="C420" s="461" t="s">
        <v>118</v>
      </c>
      <c r="D420" s="9" t="s">
        <v>150</v>
      </c>
      <c r="E420" s="461" t="s">
        <v>132</v>
      </c>
      <c r="F420" s="461"/>
      <c r="G420" s="10">
        <f>G421</f>
        <v>0.5</v>
      </c>
      <c r="H420" s="10">
        <f t="shared" si="211"/>
        <v>0</v>
      </c>
      <c r="I420" s="451">
        <f t="shared" si="197"/>
        <v>0</v>
      </c>
    </row>
    <row r="421" spans="1:9" s="200" customFormat="1" ht="31.5" x14ac:dyDescent="0.25">
      <c r="A421" s="458" t="s">
        <v>133</v>
      </c>
      <c r="B421" s="461" t="s">
        <v>844</v>
      </c>
      <c r="C421" s="461" t="s">
        <v>118</v>
      </c>
      <c r="D421" s="9" t="s">
        <v>150</v>
      </c>
      <c r="E421" s="461" t="s">
        <v>134</v>
      </c>
      <c r="F421" s="461"/>
      <c r="G421" s="10">
        <f>'Пр.3 Рд,пр, ЦС,ВР 21'!F103</f>
        <v>0.5</v>
      </c>
      <c r="H421" s="10">
        <f>'Пр.3 Рд,пр, ЦС,ВР 21'!G103</f>
        <v>0</v>
      </c>
      <c r="I421" s="451">
        <f t="shared" si="197"/>
        <v>0</v>
      </c>
    </row>
    <row r="422" spans="1:9" s="200" customFormat="1" ht="21.75" customHeight="1" x14ac:dyDescent="0.25">
      <c r="A422" s="29" t="s">
        <v>148</v>
      </c>
      <c r="B422" s="461" t="s">
        <v>844</v>
      </c>
      <c r="C422" s="461" t="s">
        <v>118</v>
      </c>
      <c r="D422" s="9" t="s">
        <v>150</v>
      </c>
      <c r="E422" s="461" t="s">
        <v>134</v>
      </c>
      <c r="F422" s="461" t="s">
        <v>641</v>
      </c>
      <c r="G422" s="10">
        <f>G421</f>
        <v>0.5</v>
      </c>
      <c r="H422" s="10">
        <f t="shared" ref="H422" si="212">H421</f>
        <v>0</v>
      </c>
      <c r="I422" s="451">
        <f t="shared" si="197"/>
        <v>0</v>
      </c>
    </row>
    <row r="423" spans="1:9" ht="70.5" customHeight="1" x14ac:dyDescent="0.25">
      <c r="A423" s="462" t="s">
        <v>1349</v>
      </c>
      <c r="B423" s="193" t="s">
        <v>254</v>
      </c>
      <c r="C423" s="461"/>
      <c r="D423" s="461"/>
      <c r="E423" s="461"/>
      <c r="F423" s="461"/>
      <c r="G423" s="59">
        <f t="shared" ref="G423:H423" si="213">G425</f>
        <v>10</v>
      </c>
      <c r="H423" s="59">
        <f t="shared" si="213"/>
        <v>0</v>
      </c>
      <c r="I423" s="450">
        <f t="shared" si="197"/>
        <v>0</v>
      </c>
    </row>
    <row r="424" spans="1:9" s="200" customFormat="1" ht="54" customHeight="1" x14ac:dyDescent="0.25">
      <c r="A424" s="456" t="s">
        <v>884</v>
      </c>
      <c r="B424" s="457" t="s">
        <v>882</v>
      </c>
      <c r="C424" s="461"/>
      <c r="D424" s="461"/>
      <c r="E424" s="461"/>
      <c r="F424" s="461"/>
      <c r="G424" s="59">
        <f>G425</f>
        <v>10</v>
      </c>
      <c r="H424" s="59">
        <f t="shared" ref="H424:H426" si="214">H425</f>
        <v>0</v>
      </c>
      <c r="I424" s="450">
        <f t="shared" si="197"/>
        <v>0</v>
      </c>
    </row>
    <row r="425" spans="1:9" ht="15.75" x14ac:dyDescent="0.25">
      <c r="A425" s="29" t="s">
        <v>243</v>
      </c>
      <c r="B425" s="5" t="s">
        <v>882</v>
      </c>
      <c r="C425" s="461" t="s">
        <v>244</v>
      </c>
      <c r="D425" s="461"/>
      <c r="E425" s="461"/>
      <c r="F425" s="461"/>
      <c r="G425" s="10">
        <f>G426</f>
        <v>10</v>
      </c>
      <c r="H425" s="10">
        <f t="shared" si="214"/>
        <v>0</v>
      </c>
      <c r="I425" s="451">
        <f t="shared" si="197"/>
        <v>0</v>
      </c>
    </row>
    <row r="426" spans="1:9" ht="22.7" customHeight="1" x14ac:dyDescent="0.25">
      <c r="A426" s="29" t="s">
        <v>252</v>
      </c>
      <c r="B426" s="5" t="s">
        <v>882</v>
      </c>
      <c r="C426" s="461" t="s">
        <v>244</v>
      </c>
      <c r="D426" s="461" t="s">
        <v>215</v>
      </c>
      <c r="E426" s="461"/>
      <c r="F426" s="461"/>
      <c r="G426" s="10">
        <f>G427</f>
        <v>10</v>
      </c>
      <c r="H426" s="10">
        <f t="shared" si="214"/>
        <v>0</v>
      </c>
      <c r="I426" s="451">
        <f t="shared" si="197"/>
        <v>0</v>
      </c>
    </row>
    <row r="427" spans="1:9" ht="31.5" x14ac:dyDescent="0.25">
      <c r="A427" s="458" t="s">
        <v>883</v>
      </c>
      <c r="B427" s="454" t="s">
        <v>1189</v>
      </c>
      <c r="C427" s="461" t="s">
        <v>244</v>
      </c>
      <c r="D427" s="461" t="s">
        <v>215</v>
      </c>
      <c r="E427" s="461"/>
      <c r="F427" s="461"/>
      <c r="G427" s="10">
        <f t="shared" ref="G427:H428" si="215">G428</f>
        <v>10</v>
      </c>
      <c r="H427" s="10">
        <f t="shared" si="215"/>
        <v>0</v>
      </c>
      <c r="I427" s="451">
        <f t="shared" si="197"/>
        <v>0</v>
      </c>
    </row>
    <row r="428" spans="1:9" ht="21.75" customHeight="1" x14ac:dyDescent="0.25">
      <c r="A428" s="458" t="s">
        <v>248</v>
      </c>
      <c r="B428" s="454" t="s">
        <v>1189</v>
      </c>
      <c r="C428" s="461" t="s">
        <v>244</v>
      </c>
      <c r="D428" s="461" t="s">
        <v>215</v>
      </c>
      <c r="E428" s="461" t="s">
        <v>249</v>
      </c>
      <c r="F428" s="461"/>
      <c r="G428" s="10">
        <f t="shared" si="215"/>
        <v>10</v>
      </c>
      <c r="H428" s="10">
        <f t="shared" si="215"/>
        <v>0</v>
      </c>
      <c r="I428" s="451">
        <f t="shared" si="197"/>
        <v>0</v>
      </c>
    </row>
    <row r="429" spans="1:9" ht="31.7" customHeight="1" x14ac:dyDescent="0.25">
      <c r="A429" s="458" t="s">
        <v>250</v>
      </c>
      <c r="B429" s="454" t="s">
        <v>1189</v>
      </c>
      <c r="C429" s="461" t="s">
        <v>244</v>
      </c>
      <c r="D429" s="461" t="s">
        <v>215</v>
      </c>
      <c r="E429" s="461" t="s">
        <v>251</v>
      </c>
      <c r="F429" s="461"/>
      <c r="G429" s="10">
        <f>'Пр.4 ведом.21'!G231</f>
        <v>10</v>
      </c>
      <c r="H429" s="10">
        <f>'Пр.4 ведом.21'!H231</f>
        <v>0</v>
      </c>
      <c r="I429" s="451">
        <f t="shared" si="197"/>
        <v>0</v>
      </c>
    </row>
    <row r="430" spans="1:9" ht="22.7" customHeight="1" x14ac:dyDescent="0.25">
      <c r="A430" s="29" t="s">
        <v>148</v>
      </c>
      <c r="B430" s="454" t="s">
        <v>1189</v>
      </c>
      <c r="C430" s="461" t="s">
        <v>244</v>
      </c>
      <c r="D430" s="461" t="s">
        <v>215</v>
      </c>
      <c r="E430" s="461" t="s">
        <v>251</v>
      </c>
      <c r="F430" s="461" t="s">
        <v>641</v>
      </c>
      <c r="G430" s="10">
        <f>G429</f>
        <v>10</v>
      </c>
      <c r="H430" s="10">
        <f t="shared" ref="H430" si="216">H429</f>
        <v>0</v>
      </c>
      <c r="I430" s="451">
        <f t="shared" si="197"/>
        <v>0</v>
      </c>
    </row>
    <row r="431" spans="1:9" ht="53.45" customHeight="1" x14ac:dyDescent="0.25">
      <c r="A431" s="462" t="s">
        <v>1372</v>
      </c>
      <c r="B431" s="3" t="s">
        <v>482</v>
      </c>
      <c r="C431" s="68"/>
      <c r="D431" s="68"/>
      <c r="E431" s="68"/>
      <c r="F431" s="68"/>
      <c r="G431" s="450">
        <f>G432+G439+G458+G469+G493+G476+G486</f>
        <v>60414.53</v>
      </c>
      <c r="H431" s="450">
        <f t="shared" ref="H431" si="217">H432+H439+H458+H469+H493+H476+H486</f>
        <v>40182.882000000005</v>
      </c>
      <c r="I431" s="450">
        <f t="shared" si="197"/>
        <v>66.511950022618734</v>
      </c>
    </row>
    <row r="432" spans="1:9" s="200" customFormat="1" ht="31.5" x14ac:dyDescent="0.25">
      <c r="A432" s="456" t="s">
        <v>937</v>
      </c>
      <c r="B432" s="457" t="s">
        <v>1264</v>
      </c>
      <c r="C432" s="7"/>
      <c r="D432" s="7"/>
      <c r="E432" s="218"/>
      <c r="F432" s="193"/>
      <c r="G432" s="59">
        <f>G433</f>
        <v>48905</v>
      </c>
      <c r="H432" s="59">
        <f t="shared" ref="H432" si="218">H433</f>
        <v>35758.855000000003</v>
      </c>
      <c r="I432" s="450">
        <f t="shared" si="197"/>
        <v>73.119016460484616</v>
      </c>
    </row>
    <row r="433" spans="1:9" ht="17.45" customHeight="1" x14ac:dyDescent="0.25">
      <c r="A433" s="29" t="s">
        <v>490</v>
      </c>
      <c r="B433" s="461" t="s">
        <v>1264</v>
      </c>
      <c r="C433" s="2">
        <v>11</v>
      </c>
      <c r="D433" s="68"/>
      <c r="E433" s="68"/>
      <c r="F433" s="68"/>
      <c r="G433" s="10">
        <f t="shared" ref="G433:H436" si="219">G434</f>
        <v>48905</v>
      </c>
      <c r="H433" s="10">
        <f t="shared" si="219"/>
        <v>35758.855000000003</v>
      </c>
      <c r="I433" s="451">
        <f t="shared" si="197"/>
        <v>73.119016460484616</v>
      </c>
    </row>
    <row r="434" spans="1:9" ht="19.5" customHeight="1" x14ac:dyDescent="0.25">
      <c r="A434" s="29" t="s">
        <v>492</v>
      </c>
      <c r="B434" s="461" t="s">
        <v>1264</v>
      </c>
      <c r="C434" s="461" t="s">
        <v>491</v>
      </c>
      <c r="D434" s="461" t="s">
        <v>118</v>
      </c>
      <c r="E434" s="71"/>
      <c r="F434" s="5"/>
      <c r="G434" s="10">
        <f>G435</f>
        <v>48905</v>
      </c>
      <c r="H434" s="10">
        <f t="shared" si="219"/>
        <v>35758.855000000003</v>
      </c>
      <c r="I434" s="451">
        <f t="shared" si="197"/>
        <v>73.119016460484616</v>
      </c>
    </row>
    <row r="435" spans="1:9" ht="31.5" x14ac:dyDescent="0.25">
      <c r="A435" s="458" t="s">
        <v>1294</v>
      </c>
      <c r="B435" s="454" t="s">
        <v>1265</v>
      </c>
      <c r="C435" s="461" t="s">
        <v>491</v>
      </c>
      <c r="D435" s="461" t="s">
        <v>118</v>
      </c>
      <c r="E435" s="71"/>
      <c r="F435" s="5"/>
      <c r="G435" s="10">
        <f>G436</f>
        <v>48905</v>
      </c>
      <c r="H435" s="10">
        <f t="shared" si="219"/>
        <v>35758.855000000003</v>
      </c>
      <c r="I435" s="451">
        <f t="shared" si="197"/>
        <v>73.119016460484616</v>
      </c>
    </row>
    <row r="436" spans="1:9" ht="31.5" x14ac:dyDescent="0.25">
      <c r="A436" s="29" t="s">
        <v>272</v>
      </c>
      <c r="B436" s="454" t="s">
        <v>1265</v>
      </c>
      <c r="C436" s="461" t="s">
        <v>491</v>
      </c>
      <c r="D436" s="461" t="s">
        <v>118</v>
      </c>
      <c r="E436" s="461" t="s">
        <v>273</v>
      </c>
      <c r="F436" s="5"/>
      <c r="G436" s="10">
        <f>G437</f>
        <v>48905</v>
      </c>
      <c r="H436" s="10">
        <f t="shared" si="219"/>
        <v>35758.855000000003</v>
      </c>
      <c r="I436" s="451">
        <f t="shared" si="197"/>
        <v>73.119016460484616</v>
      </c>
    </row>
    <row r="437" spans="1:9" ht="15.75" x14ac:dyDescent="0.25">
      <c r="A437" s="29" t="s">
        <v>274</v>
      </c>
      <c r="B437" s="454" t="s">
        <v>1265</v>
      </c>
      <c r="C437" s="461" t="s">
        <v>491</v>
      </c>
      <c r="D437" s="461" t="s">
        <v>118</v>
      </c>
      <c r="E437" s="461" t="s">
        <v>275</v>
      </c>
      <c r="F437" s="5"/>
      <c r="G437" s="10">
        <f>'Пр.4 ведом.21'!G810</f>
        <v>48905</v>
      </c>
      <c r="H437" s="10">
        <f>'Пр.4 ведом.21'!H810</f>
        <v>35758.855000000003</v>
      </c>
      <c r="I437" s="451">
        <f t="shared" si="197"/>
        <v>73.119016460484616</v>
      </c>
    </row>
    <row r="438" spans="1:9" s="200" customFormat="1" ht="31.5" x14ac:dyDescent="0.25">
      <c r="A438" s="45" t="s">
        <v>480</v>
      </c>
      <c r="B438" s="454" t="s">
        <v>1265</v>
      </c>
      <c r="C438" s="461" t="s">
        <v>491</v>
      </c>
      <c r="D438" s="461" t="s">
        <v>118</v>
      </c>
      <c r="E438" s="461" t="s">
        <v>275</v>
      </c>
      <c r="F438" s="5">
        <v>907</v>
      </c>
      <c r="G438" s="10">
        <f>G437</f>
        <v>48905</v>
      </c>
      <c r="H438" s="10">
        <f t="shared" ref="H438" si="220">H437</f>
        <v>35758.855000000003</v>
      </c>
      <c r="I438" s="451">
        <f t="shared" si="197"/>
        <v>73.119016460484616</v>
      </c>
    </row>
    <row r="439" spans="1:9" s="200" customFormat="1" ht="31.5" x14ac:dyDescent="0.25">
      <c r="A439" s="456" t="s">
        <v>945</v>
      </c>
      <c r="B439" s="457" t="s">
        <v>1266</v>
      </c>
      <c r="C439" s="7"/>
      <c r="D439" s="7"/>
      <c r="E439" s="7"/>
      <c r="F439" s="193"/>
      <c r="G439" s="59">
        <f>G440</f>
        <v>1268.9000000000001</v>
      </c>
      <c r="H439" s="59">
        <f t="shared" ref="H439:H440" si="221">H440</f>
        <v>1210.472</v>
      </c>
      <c r="I439" s="450">
        <f t="shared" si="197"/>
        <v>95.395381826779087</v>
      </c>
    </row>
    <row r="440" spans="1:9" s="200" customFormat="1" ht="15.75" x14ac:dyDescent="0.25">
      <c r="A440" s="29" t="s">
        <v>490</v>
      </c>
      <c r="B440" s="454" t="s">
        <v>1266</v>
      </c>
      <c r="C440" s="2">
        <v>11</v>
      </c>
      <c r="D440" s="68"/>
      <c r="E440" s="68"/>
      <c r="F440" s="68"/>
      <c r="G440" s="10">
        <f>G441</f>
        <v>1268.9000000000001</v>
      </c>
      <c r="H440" s="10">
        <f t="shared" si="221"/>
        <v>1210.472</v>
      </c>
      <c r="I440" s="451">
        <f t="shared" si="197"/>
        <v>95.395381826779087</v>
      </c>
    </row>
    <row r="441" spans="1:9" s="200" customFormat="1" ht="16.5" x14ac:dyDescent="0.25">
      <c r="A441" s="29" t="s">
        <v>492</v>
      </c>
      <c r="B441" s="454" t="s">
        <v>1266</v>
      </c>
      <c r="C441" s="461" t="s">
        <v>491</v>
      </c>
      <c r="D441" s="461" t="s">
        <v>118</v>
      </c>
      <c r="E441" s="71"/>
      <c r="F441" s="5"/>
      <c r="G441" s="10">
        <f>G442+G446+G450+G454</f>
        <v>1268.9000000000001</v>
      </c>
      <c r="H441" s="10">
        <f t="shared" ref="H441" si="222">H442+H446+H450+H454</f>
        <v>1210.472</v>
      </c>
      <c r="I441" s="451">
        <f t="shared" si="197"/>
        <v>95.395381826779087</v>
      </c>
    </row>
    <row r="442" spans="1:9" ht="31.7" customHeight="1" x14ac:dyDescent="0.25">
      <c r="A442" s="29" t="s">
        <v>278</v>
      </c>
      <c r="B442" s="454" t="s">
        <v>1324</v>
      </c>
      <c r="C442" s="461" t="s">
        <v>491</v>
      </c>
      <c r="D442" s="461" t="s">
        <v>118</v>
      </c>
      <c r="E442" s="461"/>
      <c r="F442" s="5"/>
      <c r="G442" s="10">
        <f t="shared" ref="G442:H443" si="223">G443</f>
        <v>232.9</v>
      </c>
      <c r="H442" s="10">
        <f t="shared" si="223"/>
        <v>231.904</v>
      </c>
      <c r="I442" s="451">
        <f t="shared" si="197"/>
        <v>99.572348647488184</v>
      </c>
    </row>
    <row r="443" spans="1:9" ht="31.7" customHeight="1" x14ac:dyDescent="0.25">
      <c r="A443" s="29" t="s">
        <v>272</v>
      </c>
      <c r="B443" s="454" t="s">
        <v>1324</v>
      </c>
      <c r="C443" s="461" t="s">
        <v>491</v>
      </c>
      <c r="D443" s="461" t="s">
        <v>118</v>
      </c>
      <c r="E443" s="461" t="s">
        <v>273</v>
      </c>
      <c r="F443" s="5"/>
      <c r="G443" s="10">
        <f t="shared" si="223"/>
        <v>232.9</v>
      </c>
      <c r="H443" s="10">
        <f t="shared" si="223"/>
        <v>231.904</v>
      </c>
      <c r="I443" s="451">
        <f t="shared" si="197"/>
        <v>99.572348647488184</v>
      </c>
    </row>
    <row r="444" spans="1:9" ht="15.75" customHeight="1" x14ac:dyDescent="0.25">
      <c r="A444" s="29" t="s">
        <v>274</v>
      </c>
      <c r="B444" s="454" t="s">
        <v>1324</v>
      </c>
      <c r="C444" s="461" t="s">
        <v>491</v>
      </c>
      <c r="D444" s="461" t="s">
        <v>118</v>
      </c>
      <c r="E444" s="461" t="s">
        <v>275</v>
      </c>
      <c r="F444" s="5"/>
      <c r="G444" s="10">
        <f>'Пр.4 ведом.21'!G814</f>
        <v>232.9</v>
      </c>
      <c r="H444" s="10">
        <f>'Пр.4 ведом.21'!H814</f>
        <v>231.904</v>
      </c>
      <c r="I444" s="451">
        <f t="shared" si="197"/>
        <v>99.572348647488184</v>
      </c>
    </row>
    <row r="445" spans="1:9" s="200" customFormat="1" ht="34.5" customHeight="1" x14ac:dyDescent="0.25">
      <c r="A445" s="45" t="s">
        <v>480</v>
      </c>
      <c r="B445" s="454" t="s">
        <v>1324</v>
      </c>
      <c r="C445" s="461" t="s">
        <v>491</v>
      </c>
      <c r="D445" s="461" t="s">
        <v>118</v>
      </c>
      <c r="E445" s="461" t="s">
        <v>275</v>
      </c>
      <c r="F445" s="5">
        <v>907</v>
      </c>
      <c r="G445" s="10">
        <f>G444</f>
        <v>232.9</v>
      </c>
      <c r="H445" s="10">
        <f t="shared" ref="H445" si="224">H444</f>
        <v>231.904</v>
      </c>
      <c r="I445" s="451">
        <f t="shared" si="197"/>
        <v>99.572348647488184</v>
      </c>
    </row>
    <row r="446" spans="1:9" ht="31.7" customHeight="1" x14ac:dyDescent="0.25">
      <c r="A446" s="29" t="s">
        <v>280</v>
      </c>
      <c r="B446" s="454" t="s">
        <v>1325</v>
      </c>
      <c r="C446" s="461" t="s">
        <v>491</v>
      </c>
      <c r="D446" s="461" t="s">
        <v>118</v>
      </c>
      <c r="E446" s="461"/>
      <c r="F446" s="5"/>
      <c r="G446" s="10">
        <f t="shared" ref="G446:H447" si="225">G447</f>
        <v>700</v>
      </c>
      <c r="H446" s="10">
        <f t="shared" si="225"/>
        <v>642.56799999999998</v>
      </c>
      <c r="I446" s="451">
        <f t="shared" si="197"/>
        <v>91.795428571428573</v>
      </c>
    </row>
    <row r="447" spans="1:9" ht="31.7" customHeight="1" x14ac:dyDescent="0.25">
      <c r="A447" s="29" t="s">
        <v>272</v>
      </c>
      <c r="B447" s="454" t="s">
        <v>1325</v>
      </c>
      <c r="C447" s="461" t="s">
        <v>491</v>
      </c>
      <c r="D447" s="461" t="s">
        <v>118</v>
      </c>
      <c r="E447" s="461" t="s">
        <v>273</v>
      </c>
      <c r="F447" s="5"/>
      <c r="G447" s="10">
        <f t="shared" si="225"/>
        <v>700</v>
      </c>
      <c r="H447" s="10">
        <f t="shared" si="225"/>
        <v>642.56799999999998</v>
      </c>
      <c r="I447" s="451">
        <f t="shared" si="197"/>
        <v>91.795428571428573</v>
      </c>
    </row>
    <row r="448" spans="1:9" ht="15.75" customHeight="1" x14ac:dyDescent="0.25">
      <c r="A448" s="29" t="s">
        <v>274</v>
      </c>
      <c r="B448" s="454" t="s">
        <v>1325</v>
      </c>
      <c r="C448" s="461" t="s">
        <v>491</v>
      </c>
      <c r="D448" s="461" t="s">
        <v>118</v>
      </c>
      <c r="E448" s="461" t="s">
        <v>275</v>
      </c>
      <c r="F448" s="5"/>
      <c r="G448" s="10">
        <f>'Пр.4 ведом.21'!G817</f>
        <v>700</v>
      </c>
      <c r="H448" s="10">
        <f>'Пр.4 ведом.21'!H817</f>
        <v>642.56799999999998</v>
      </c>
      <c r="I448" s="451">
        <f t="shared" si="197"/>
        <v>91.795428571428573</v>
      </c>
    </row>
    <row r="449" spans="1:9" s="200" customFormat="1" ht="36" customHeight="1" x14ac:dyDescent="0.25">
      <c r="A449" s="45" t="s">
        <v>480</v>
      </c>
      <c r="B449" s="454" t="s">
        <v>1325</v>
      </c>
      <c r="C449" s="461" t="s">
        <v>491</v>
      </c>
      <c r="D449" s="461" t="s">
        <v>118</v>
      </c>
      <c r="E449" s="461" t="s">
        <v>275</v>
      </c>
      <c r="F449" s="5">
        <v>907</v>
      </c>
      <c r="G449" s="10">
        <f>G448</f>
        <v>700</v>
      </c>
      <c r="H449" s="10">
        <f t="shared" ref="H449" si="226">H448</f>
        <v>642.56799999999998</v>
      </c>
      <c r="I449" s="451">
        <f t="shared" si="197"/>
        <v>91.795428571428573</v>
      </c>
    </row>
    <row r="450" spans="1:9" s="200" customFormat="1" ht="15.75" customHeight="1" x14ac:dyDescent="0.25">
      <c r="A450" s="458" t="s">
        <v>830</v>
      </c>
      <c r="B450" s="454" t="s">
        <v>1267</v>
      </c>
      <c r="C450" s="461" t="s">
        <v>491</v>
      </c>
      <c r="D450" s="461" t="s">
        <v>118</v>
      </c>
      <c r="E450" s="461"/>
      <c r="F450" s="5"/>
      <c r="G450" s="10">
        <f>G451</f>
        <v>36</v>
      </c>
      <c r="H450" s="10">
        <f t="shared" ref="H450:H451" si="227">H451</f>
        <v>36</v>
      </c>
      <c r="I450" s="451">
        <f t="shared" si="197"/>
        <v>100</v>
      </c>
    </row>
    <row r="451" spans="1:9" s="200" customFormat="1" ht="31.5" x14ac:dyDescent="0.25">
      <c r="A451" s="458" t="s">
        <v>272</v>
      </c>
      <c r="B451" s="454" t="s">
        <v>1267</v>
      </c>
      <c r="C451" s="461" t="s">
        <v>491</v>
      </c>
      <c r="D451" s="461" t="s">
        <v>118</v>
      </c>
      <c r="E451" s="461" t="s">
        <v>273</v>
      </c>
      <c r="F451" s="5"/>
      <c r="G451" s="10">
        <f>G452</f>
        <v>36</v>
      </c>
      <c r="H451" s="10">
        <f t="shared" si="227"/>
        <v>36</v>
      </c>
      <c r="I451" s="451">
        <f t="shared" si="197"/>
        <v>100</v>
      </c>
    </row>
    <row r="452" spans="1:9" s="200" customFormat="1" ht="15.75" customHeight="1" x14ac:dyDescent="0.25">
      <c r="A452" s="458" t="s">
        <v>274</v>
      </c>
      <c r="B452" s="454" t="s">
        <v>1267</v>
      </c>
      <c r="C452" s="461" t="s">
        <v>491</v>
      </c>
      <c r="D452" s="461" t="s">
        <v>118</v>
      </c>
      <c r="E452" s="461" t="s">
        <v>275</v>
      </c>
      <c r="F452" s="5"/>
      <c r="G452" s="10">
        <f>'Пр.4 ведом.21'!G820</f>
        <v>36</v>
      </c>
      <c r="H452" s="10">
        <f>'Пр.4 ведом.21'!H820</f>
        <v>36</v>
      </c>
      <c r="I452" s="451">
        <f t="shared" si="197"/>
        <v>100</v>
      </c>
    </row>
    <row r="453" spans="1:9" s="200" customFormat="1" ht="33" customHeight="1" x14ac:dyDescent="0.25">
      <c r="A453" s="45" t="s">
        <v>480</v>
      </c>
      <c r="B453" s="454" t="s">
        <v>1267</v>
      </c>
      <c r="C453" s="461" t="s">
        <v>491</v>
      </c>
      <c r="D453" s="461" t="s">
        <v>118</v>
      </c>
      <c r="E453" s="461" t="s">
        <v>275</v>
      </c>
      <c r="F453" s="5">
        <v>907</v>
      </c>
      <c r="G453" s="10">
        <f>G452</f>
        <v>36</v>
      </c>
      <c r="H453" s="10">
        <f t="shared" ref="H453" si="228">H452</f>
        <v>36</v>
      </c>
      <c r="I453" s="451">
        <f t="shared" si="197"/>
        <v>100</v>
      </c>
    </row>
    <row r="454" spans="1:9" s="449" customFormat="1" ht="33" customHeight="1" x14ac:dyDescent="0.25">
      <c r="A454" s="458" t="s">
        <v>287</v>
      </c>
      <c r="B454" s="454" t="s">
        <v>1733</v>
      </c>
      <c r="C454" s="461" t="s">
        <v>491</v>
      </c>
      <c r="D454" s="461" t="s">
        <v>118</v>
      </c>
      <c r="E454" s="461"/>
      <c r="F454" s="5"/>
      <c r="G454" s="10">
        <f>G455</f>
        <v>300</v>
      </c>
      <c r="H454" s="10">
        <f t="shared" ref="H454:H455" si="229">H455</f>
        <v>300</v>
      </c>
      <c r="I454" s="451">
        <f t="shared" si="197"/>
        <v>100</v>
      </c>
    </row>
    <row r="455" spans="1:9" s="449" customFormat="1" ht="33" customHeight="1" x14ac:dyDescent="0.25">
      <c r="A455" s="458" t="s">
        <v>272</v>
      </c>
      <c r="B455" s="454" t="s">
        <v>1733</v>
      </c>
      <c r="C455" s="461" t="s">
        <v>491</v>
      </c>
      <c r="D455" s="461" t="s">
        <v>118</v>
      </c>
      <c r="E455" s="461" t="s">
        <v>273</v>
      </c>
      <c r="F455" s="5"/>
      <c r="G455" s="10">
        <f>G456</f>
        <v>300</v>
      </c>
      <c r="H455" s="10">
        <f t="shared" si="229"/>
        <v>300</v>
      </c>
      <c r="I455" s="451">
        <f t="shared" si="197"/>
        <v>100</v>
      </c>
    </row>
    <row r="456" spans="1:9" s="449" customFormat="1" ht="21.75" customHeight="1" x14ac:dyDescent="0.25">
      <c r="A456" s="458" t="s">
        <v>274</v>
      </c>
      <c r="B456" s="454" t="s">
        <v>1733</v>
      </c>
      <c r="C456" s="461" t="s">
        <v>491</v>
      </c>
      <c r="D456" s="461" t="s">
        <v>118</v>
      </c>
      <c r="E456" s="461" t="s">
        <v>275</v>
      </c>
      <c r="F456" s="5"/>
      <c r="G456" s="10">
        <f>'Пр.4 ведом.21'!G823</f>
        <v>300</v>
      </c>
      <c r="H456" s="10">
        <f>'Пр.4 ведом.21'!H823</f>
        <v>300</v>
      </c>
      <c r="I456" s="451">
        <f t="shared" si="197"/>
        <v>100</v>
      </c>
    </row>
    <row r="457" spans="1:9" s="449" customFormat="1" ht="33" customHeight="1" x14ac:dyDescent="0.25">
      <c r="A457" s="45" t="s">
        <v>480</v>
      </c>
      <c r="B457" s="454" t="s">
        <v>1733</v>
      </c>
      <c r="C457" s="461" t="s">
        <v>491</v>
      </c>
      <c r="D457" s="461" t="s">
        <v>118</v>
      </c>
      <c r="E457" s="461" t="s">
        <v>275</v>
      </c>
      <c r="F457" s="5">
        <v>907</v>
      </c>
      <c r="G457" s="10">
        <f>G456</f>
        <v>300</v>
      </c>
      <c r="H457" s="10">
        <f t="shared" ref="H457" si="230">H456</f>
        <v>300</v>
      </c>
      <c r="I457" s="451">
        <f t="shared" si="197"/>
        <v>100</v>
      </c>
    </row>
    <row r="458" spans="1:9" s="200" customFormat="1" ht="36" customHeight="1" x14ac:dyDescent="0.25">
      <c r="A458" s="456" t="s">
        <v>947</v>
      </c>
      <c r="B458" s="457" t="s">
        <v>1268</v>
      </c>
      <c r="C458" s="7"/>
      <c r="D458" s="7"/>
      <c r="E458" s="7"/>
      <c r="F458" s="193"/>
      <c r="G458" s="59">
        <f>G459</f>
        <v>1204</v>
      </c>
      <c r="H458" s="59">
        <f t="shared" ref="H458" si="231">H459</f>
        <v>746.33699999999999</v>
      </c>
      <c r="I458" s="450">
        <f t="shared" si="197"/>
        <v>61.988122923588037</v>
      </c>
    </row>
    <row r="459" spans="1:9" s="200" customFormat="1" ht="18" customHeight="1" x14ac:dyDescent="0.25">
      <c r="A459" s="29" t="s">
        <v>490</v>
      </c>
      <c r="B459" s="454" t="s">
        <v>1268</v>
      </c>
      <c r="C459" s="2">
        <v>11</v>
      </c>
      <c r="D459" s="68"/>
      <c r="E459" s="68"/>
      <c r="F459" s="68"/>
      <c r="G459" s="10">
        <f t="shared" ref="G459:H459" si="232">G460</f>
        <v>1204</v>
      </c>
      <c r="H459" s="10">
        <f t="shared" si="232"/>
        <v>746.33699999999999</v>
      </c>
      <c r="I459" s="451">
        <f t="shared" ref="I459:I522" si="233">H459/G459*100</f>
        <v>61.988122923588037</v>
      </c>
    </row>
    <row r="460" spans="1:9" s="200" customFormat="1" ht="18" customHeight="1" x14ac:dyDescent="0.25">
      <c r="A460" s="29" t="s">
        <v>492</v>
      </c>
      <c r="B460" s="454" t="s">
        <v>1268</v>
      </c>
      <c r="C460" s="461" t="s">
        <v>491</v>
      </c>
      <c r="D460" s="461" t="s">
        <v>118</v>
      </c>
      <c r="E460" s="71"/>
      <c r="F460" s="5"/>
      <c r="G460" s="10">
        <f>G461+G465</f>
        <v>1204</v>
      </c>
      <c r="H460" s="10">
        <f t="shared" ref="H460" si="234">H461+H465</f>
        <v>746.33699999999999</v>
      </c>
      <c r="I460" s="451">
        <f t="shared" si="233"/>
        <v>61.988122923588037</v>
      </c>
    </row>
    <row r="461" spans="1:9" ht="31.7" customHeight="1" x14ac:dyDescent="0.25">
      <c r="A461" s="29" t="s">
        <v>284</v>
      </c>
      <c r="B461" s="454" t="s">
        <v>1306</v>
      </c>
      <c r="C461" s="461" t="s">
        <v>491</v>
      </c>
      <c r="D461" s="461" t="s">
        <v>118</v>
      </c>
      <c r="E461" s="461"/>
      <c r="F461" s="5"/>
      <c r="G461" s="10">
        <f t="shared" ref="G461:H462" si="235">G462</f>
        <v>73.7</v>
      </c>
      <c r="H461" s="10">
        <f t="shared" si="235"/>
        <v>73.72</v>
      </c>
      <c r="I461" s="451">
        <f t="shared" si="233"/>
        <v>100.02713704206241</v>
      </c>
    </row>
    <row r="462" spans="1:9" ht="31.7" customHeight="1" x14ac:dyDescent="0.25">
      <c r="A462" s="29" t="s">
        <v>272</v>
      </c>
      <c r="B462" s="454" t="s">
        <v>1306</v>
      </c>
      <c r="C462" s="461" t="s">
        <v>491</v>
      </c>
      <c r="D462" s="461" t="s">
        <v>118</v>
      </c>
      <c r="E462" s="461" t="s">
        <v>273</v>
      </c>
      <c r="F462" s="5"/>
      <c r="G462" s="10">
        <f t="shared" si="235"/>
        <v>73.7</v>
      </c>
      <c r="H462" s="10">
        <f t="shared" si="235"/>
        <v>73.72</v>
      </c>
      <c r="I462" s="451">
        <f t="shared" si="233"/>
        <v>100.02713704206241</v>
      </c>
    </row>
    <row r="463" spans="1:9" ht="15.75" customHeight="1" x14ac:dyDescent="0.25">
      <c r="A463" s="29" t="s">
        <v>274</v>
      </c>
      <c r="B463" s="454" t="s">
        <v>1306</v>
      </c>
      <c r="C463" s="461" t="s">
        <v>491</v>
      </c>
      <c r="D463" s="461" t="s">
        <v>118</v>
      </c>
      <c r="E463" s="461" t="s">
        <v>275</v>
      </c>
      <c r="F463" s="5"/>
      <c r="G463" s="10">
        <f>'Пр.4 ведом.21'!G827</f>
        <v>73.7</v>
      </c>
      <c r="H463" s="10">
        <f>'Пр.4 ведом.21'!H827</f>
        <v>73.72</v>
      </c>
      <c r="I463" s="451">
        <f t="shared" si="233"/>
        <v>100.02713704206241</v>
      </c>
    </row>
    <row r="464" spans="1:9" s="200" customFormat="1" ht="39.75" customHeight="1" x14ac:dyDescent="0.25">
      <c r="A464" s="45" t="s">
        <v>480</v>
      </c>
      <c r="B464" s="454" t="s">
        <v>1306</v>
      </c>
      <c r="C464" s="461" t="s">
        <v>491</v>
      </c>
      <c r="D464" s="461" t="s">
        <v>118</v>
      </c>
      <c r="E464" s="461" t="s">
        <v>275</v>
      </c>
      <c r="F464" s="5">
        <v>907</v>
      </c>
      <c r="G464" s="10">
        <f>G463</f>
        <v>73.7</v>
      </c>
      <c r="H464" s="10">
        <f t="shared" ref="H464" si="236">H463</f>
        <v>73.72</v>
      </c>
      <c r="I464" s="451">
        <f t="shared" si="233"/>
        <v>100.02713704206241</v>
      </c>
    </row>
    <row r="465" spans="1:9" ht="31.5" x14ac:dyDescent="0.25">
      <c r="A465" s="45" t="s">
        <v>764</v>
      </c>
      <c r="B465" s="454" t="s">
        <v>1269</v>
      </c>
      <c r="C465" s="461" t="s">
        <v>491</v>
      </c>
      <c r="D465" s="461" t="s">
        <v>118</v>
      </c>
      <c r="E465" s="461"/>
      <c r="F465" s="5"/>
      <c r="G465" s="10">
        <f t="shared" ref="G465:H466" si="237">G466</f>
        <v>1130.3</v>
      </c>
      <c r="H465" s="10">
        <f t="shared" si="237"/>
        <v>672.61699999999996</v>
      </c>
      <c r="I465" s="451">
        <f t="shared" si="233"/>
        <v>59.507829779704501</v>
      </c>
    </row>
    <row r="466" spans="1:9" ht="31.5" x14ac:dyDescent="0.25">
      <c r="A466" s="31" t="s">
        <v>272</v>
      </c>
      <c r="B466" s="454" t="s">
        <v>1269</v>
      </c>
      <c r="C466" s="461" t="s">
        <v>491</v>
      </c>
      <c r="D466" s="461" t="s">
        <v>118</v>
      </c>
      <c r="E466" s="461" t="s">
        <v>273</v>
      </c>
      <c r="F466" s="5"/>
      <c r="G466" s="10">
        <f t="shared" si="237"/>
        <v>1130.3</v>
      </c>
      <c r="H466" s="10">
        <f t="shared" si="237"/>
        <v>672.61699999999996</v>
      </c>
      <c r="I466" s="451">
        <f t="shared" si="233"/>
        <v>59.507829779704501</v>
      </c>
    </row>
    <row r="467" spans="1:9" ht="15.75" x14ac:dyDescent="0.25">
      <c r="A467" s="31" t="s">
        <v>274</v>
      </c>
      <c r="B467" s="454" t="s">
        <v>1269</v>
      </c>
      <c r="C467" s="461" t="s">
        <v>491</v>
      </c>
      <c r="D467" s="461" t="s">
        <v>118</v>
      </c>
      <c r="E467" s="461" t="s">
        <v>275</v>
      </c>
      <c r="F467" s="5"/>
      <c r="G467" s="10">
        <f>'Пр.4 ведом.21'!G830</f>
        <v>1130.3</v>
      </c>
      <c r="H467" s="10">
        <f>'Пр.4 ведом.21'!H830</f>
        <v>672.61699999999996</v>
      </c>
      <c r="I467" s="451">
        <f t="shared" si="233"/>
        <v>59.507829779704501</v>
      </c>
    </row>
    <row r="468" spans="1:9" s="200" customFormat="1" ht="31.5" x14ac:dyDescent="0.25">
      <c r="A468" s="45" t="s">
        <v>480</v>
      </c>
      <c r="B468" s="454" t="s">
        <v>1269</v>
      </c>
      <c r="C468" s="461" t="s">
        <v>491</v>
      </c>
      <c r="D468" s="461" t="s">
        <v>118</v>
      </c>
      <c r="E468" s="461" t="s">
        <v>275</v>
      </c>
      <c r="F468" s="5">
        <v>907</v>
      </c>
      <c r="G468" s="10">
        <f>G467</f>
        <v>1130.3</v>
      </c>
      <c r="H468" s="10">
        <f t="shared" ref="H468" si="238">H467</f>
        <v>672.61699999999996</v>
      </c>
      <c r="I468" s="451">
        <f t="shared" si="233"/>
        <v>59.507829779704501</v>
      </c>
    </row>
    <row r="469" spans="1:9" s="200" customFormat="1" ht="47.25" x14ac:dyDescent="0.25">
      <c r="A469" s="456" t="s">
        <v>900</v>
      </c>
      <c r="B469" s="457" t="s">
        <v>1270</v>
      </c>
      <c r="C469" s="7"/>
      <c r="D469" s="7"/>
      <c r="E469" s="7"/>
      <c r="F469" s="193"/>
      <c r="G469" s="59">
        <f>G470</f>
        <v>763.5</v>
      </c>
      <c r="H469" s="59">
        <f t="shared" ref="H469" si="239">H470</f>
        <v>496.97300000000001</v>
      </c>
      <c r="I469" s="450">
        <f t="shared" si="233"/>
        <v>65.091421087098894</v>
      </c>
    </row>
    <row r="470" spans="1:9" s="200" customFormat="1" ht="15.75" x14ac:dyDescent="0.25">
      <c r="A470" s="29" t="s">
        <v>490</v>
      </c>
      <c r="B470" s="454" t="s">
        <v>1270</v>
      </c>
      <c r="C470" s="2">
        <v>11</v>
      </c>
      <c r="D470" s="68"/>
      <c r="E470" s="68"/>
      <c r="F470" s="68"/>
      <c r="G470" s="10">
        <f t="shared" ref="G470:H473" si="240">G471</f>
        <v>763.5</v>
      </c>
      <c r="H470" s="10">
        <f t="shared" si="240"/>
        <v>496.97300000000001</v>
      </c>
      <c r="I470" s="451">
        <f t="shared" si="233"/>
        <v>65.091421087098894</v>
      </c>
    </row>
    <row r="471" spans="1:9" s="200" customFormat="1" ht="16.5" x14ac:dyDescent="0.25">
      <c r="A471" s="29" t="s">
        <v>492</v>
      </c>
      <c r="B471" s="454" t="s">
        <v>1270</v>
      </c>
      <c r="C471" s="461" t="s">
        <v>491</v>
      </c>
      <c r="D471" s="461" t="s">
        <v>118</v>
      </c>
      <c r="E471" s="71"/>
      <c r="F471" s="5"/>
      <c r="G471" s="10">
        <f>G472</f>
        <v>763.5</v>
      </c>
      <c r="H471" s="10">
        <f t="shared" si="240"/>
        <v>496.97300000000001</v>
      </c>
      <c r="I471" s="451">
        <f t="shared" si="233"/>
        <v>65.091421087098894</v>
      </c>
    </row>
    <row r="472" spans="1:9" s="200" customFormat="1" ht="94.5" x14ac:dyDescent="0.25">
      <c r="A472" s="31" t="s">
        <v>464</v>
      </c>
      <c r="B472" s="454" t="s">
        <v>1405</v>
      </c>
      <c r="C472" s="461" t="s">
        <v>491</v>
      </c>
      <c r="D472" s="461" t="s">
        <v>118</v>
      </c>
      <c r="E472" s="461"/>
      <c r="F472" s="5"/>
      <c r="G472" s="10">
        <f>G473</f>
        <v>763.5</v>
      </c>
      <c r="H472" s="10">
        <f t="shared" si="240"/>
        <v>496.97300000000001</v>
      </c>
      <c r="I472" s="451">
        <f t="shared" si="233"/>
        <v>65.091421087098894</v>
      </c>
    </row>
    <row r="473" spans="1:9" s="200" customFormat="1" ht="31.5" x14ac:dyDescent="0.25">
      <c r="A473" s="458" t="s">
        <v>272</v>
      </c>
      <c r="B473" s="454" t="s">
        <v>1405</v>
      </c>
      <c r="C473" s="461" t="s">
        <v>491</v>
      </c>
      <c r="D473" s="461" t="s">
        <v>118</v>
      </c>
      <c r="E473" s="461" t="s">
        <v>273</v>
      </c>
      <c r="F473" s="5"/>
      <c r="G473" s="10">
        <f>G474</f>
        <v>763.5</v>
      </c>
      <c r="H473" s="10">
        <f t="shared" si="240"/>
        <v>496.97300000000001</v>
      </c>
      <c r="I473" s="451">
        <f t="shared" si="233"/>
        <v>65.091421087098894</v>
      </c>
    </row>
    <row r="474" spans="1:9" s="200" customFormat="1" ht="15.75" x14ac:dyDescent="0.25">
      <c r="A474" s="458" t="s">
        <v>274</v>
      </c>
      <c r="B474" s="454" t="s">
        <v>1405</v>
      </c>
      <c r="C474" s="461" t="s">
        <v>491</v>
      </c>
      <c r="D474" s="461" t="s">
        <v>118</v>
      </c>
      <c r="E474" s="461" t="s">
        <v>275</v>
      </c>
      <c r="F474" s="5"/>
      <c r="G474" s="10">
        <f>'Пр.3 Рд,пр, ЦС,ВР 21'!F975</f>
        <v>763.5</v>
      </c>
      <c r="H474" s="10">
        <f>'Пр.3 Рд,пр, ЦС,ВР 21'!G975</f>
        <v>496.97300000000001</v>
      </c>
      <c r="I474" s="451">
        <f t="shared" si="233"/>
        <v>65.091421087098894</v>
      </c>
    </row>
    <row r="475" spans="1:9" s="200" customFormat="1" ht="31.5" x14ac:dyDescent="0.25">
      <c r="A475" s="45" t="s">
        <v>480</v>
      </c>
      <c r="B475" s="454" t="s">
        <v>1405</v>
      </c>
      <c r="C475" s="461" t="s">
        <v>491</v>
      </c>
      <c r="D475" s="461" t="s">
        <v>118</v>
      </c>
      <c r="E475" s="461" t="s">
        <v>275</v>
      </c>
      <c r="F475" s="5">
        <v>907</v>
      </c>
      <c r="G475" s="10">
        <f>G474</f>
        <v>763.5</v>
      </c>
      <c r="H475" s="10">
        <f t="shared" ref="H475" si="241">H474</f>
        <v>496.97300000000001</v>
      </c>
      <c r="I475" s="451">
        <f t="shared" si="233"/>
        <v>65.091421087098894</v>
      </c>
    </row>
    <row r="476" spans="1:9" s="200" customFormat="1" ht="31.5" x14ac:dyDescent="0.25">
      <c r="A476" s="58" t="s">
        <v>951</v>
      </c>
      <c r="B476" s="7" t="s">
        <v>1272</v>
      </c>
      <c r="C476" s="7"/>
      <c r="D476" s="7"/>
      <c r="E476" s="7"/>
      <c r="F476" s="193"/>
      <c r="G476" s="450">
        <f>G477</f>
        <v>2481.6999999999998</v>
      </c>
      <c r="H476" s="450">
        <f t="shared" ref="H476:H478" si="242">H477</f>
        <v>1201.0149999999999</v>
      </c>
      <c r="I476" s="450">
        <f t="shared" si="233"/>
        <v>48.394850304226935</v>
      </c>
    </row>
    <row r="477" spans="1:9" ht="15.75" x14ac:dyDescent="0.25">
      <c r="A477" s="29" t="s">
        <v>490</v>
      </c>
      <c r="B477" s="461" t="s">
        <v>1272</v>
      </c>
      <c r="C477" s="461" t="s">
        <v>491</v>
      </c>
      <c r="D477" s="461"/>
      <c r="E477" s="461"/>
      <c r="F477" s="5"/>
      <c r="G477" s="451">
        <f>G478</f>
        <v>2481.6999999999998</v>
      </c>
      <c r="H477" s="451">
        <f t="shared" si="242"/>
        <v>1201.0149999999999</v>
      </c>
      <c r="I477" s="451">
        <f t="shared" si="233"/>
        <v>48.394850304226935</v>
      </c>
    </row>
    <row r="478" spans="1:9" ht="31.5" x14ac:dyDescent="0.25">
      <c r="A478" s="458" t="s">
        <v>500</v>
      </c>
      <c r="B478" s="461" t="s">
        <v>1272</v>
      </c>
      <c r="C478" s="461" t="s">
        <v>491</v>
      </c>
      <c r="D478" s="461" t="s">
        <v>234</v>
      </c>
      <c r="E478" s="461"/>
      <c r="F478" s="5"/>
      <c r="G478" s="451">
        <f>G479</f>
        <v>2481.6999999999998</v>
      </c>
      <c r="H478" s="451">
        <f t="shared" si="242"/>
        <v>1201.0149999999999</v>
      </c>
      <c r="I478" s="451">
        <f t="shared" si="233"/>
        <v>48.394850304226935</v>
      </c>
    </row>
    <row r="479" spans="1:9" ht="15.75" x14ac:dyDescent="0.25">
      <c r="A479" s="29" t="s">
        <v>952</v>
      </c>
      <c r="B479" s="461" t="s">
        <v>1273</v>
      </c>
      <c r="C479" s="461" t="s">
        <v>491</v>
      </c>
      <c r="D479" s="461" t="s">
        <v>234</v>
      </c>
      <c r="E479" s="461"/>
      <c r="F479" s="5"/>
      <c r="G479" s="451">
        <f>G480+G483</f>
        <v>2481.6999999999998</v>
      </c>
      <c r="H479" s="451">
        <f t="shared" ref="H479" si="243">H480+H483</f>
        <v>1201.0149999999999</v>
      </c>
      <c r="I479" s="451">
        <f t="shared" si="233"/>
        <v>48.394850304226935</v>
      </c>
    </row>
    <row r="480" spans="1:9" ht="78.75" x14ac:dyDescent="0.25">
      <c r="A480" s="458" t="s">
        <v>127</v>
      </c>
      <c r="B480" s="461" t="s">
        <v>1273</v>
      </c>
      <c r="C480" s="461" t="s">
        <v>491</v>
      </c>
      <c r="D480" s="461" t="s">
        <v>234</v>
      </c>
      <c r="E480" s="461" t="s">
        <v>128</v>
      </c>
      <c r="F480" s="5"/>
      <c r="G480" s="451">
        <f t="shared" ref="G480:H480" si="244">G481</f>
        <v>1981.7</v>
      </c>
      <c r="H480" s="451">
        <f t="shared" si="244"/>
        <v>1020.025</v>
      </c>
      <c r="I480" s="451">
        <f t="shared" si="233"/>
        <v>51.472220820507644</v>
      </c>
    </row>
    <row r="481" spans="1:9" ht="24" customHeight="1" x14ac:dyDescent="0.25">
      <c r="A481" s="458" t="s">
        <v>342</v>
      </c>
      <c r="B481" s="461" t="s">
        <v>1273</v>
      </c>
      <c r="C481" s="461" t="s">
        <v>491</v>
      </c>
      <c r="D481" s="461" t="s">
        <v>234</v>
      </c>
      <c r="E481" s="461" t="s">
        <v>209</v>
      </c>
      <c r="F481" s="5"/>
      <c r="G481" s="451">
        <f>'Пр.4 ведом.21'!G873</f>
        <v>1981.7</v>
      </c>
      <c r="H481" s="451">
        <f>'Пр.4 ведом.21'!H873</f>
        <v>1020.025</v>
      </c>
      <c r="I481" s="451">
        <f t="shared" si="233"/>
        <v>51.472220820507644</v>
      </c>
    </row>
    <row r="482" spans="1:9" s="200" customFormat="1" ht="33" customHeight="1" x14ac:dyDescent="0.25">
      <c r="A482" s="45" t="s">
        <v>480</v>
      </c>
      <c r="B482" s="461" t="s">
        <v>1273</v>
      </c>
      <c r="C482" s="461" t="s">
        <v>491</v>
      </c>
      <c r="D482" s="461" t="s">
        <v>234</v>
      </c>
      <c r="E482" s="461" t="s">
        <v>209</v>
      </c>
      <c r="F482" s="5">
        <v>907</v>
      </c>
      <c r="G482" s="10">
        <f>G481</f>
        <v>1981.7</v>
      </c>
      <c r="H482" s="10">
        <f t="shared" ref="H482" si="245">H481</f>
        <v>1020.025</v>
      </c>
      <c r="I482" s="451">
        <f t="shared" si="233"/>
        <v>51.472220820507644</v>
      </c>
    </row>
    <row r="483" spans="1:9" ht="31.5" x14ac:dyDescent="0.25">
      <c r="A483" s="29" t="s">
        <v>131</v>
      </c>
      <c r="B483" s="461" t="s">
        <v>1273</v>
      </c>
      <c r="C483" s="461" t="s">
        <v>491</v>
      </c>
      <c r="D483" s="461" t="s">
        <v>234</v>
      </c>
      <c r="E483" s="461" t="s">
        <v>132</v>
      </c>
      <c r="F483" s="5"/>
      <c r="G483" s="451">
        <f t="shared" ref="G483:H483" si="246">G484</f>
        <v>500</v>
      </c>
      <c r="H483" s="451">
        <f t="shared" si="246"/>
        <v>180.99</v>
      </c>
      <c r="I483" s="451">
        <f t="shared" si="233"/>
        <v>36.198</v>
      </c>
    </row>
    <row r="484" spans="1:9" ht="31.5" x14ac:dyDescent="0.25">
      <c r="A484" s="29" t="s">
        <v>133</v>
      </c>
      <c r="B484" s="461" t="s">
        <v>1273</v>
      </c>
      <c r="C484" s="461" t="s">
        <v>491</v>
      </c>
      <c r="D484" s="461" t="s">
        <v>234</v>
      </c>
      <c r="E484" s="461" t="s">
        <v>134</v>
      </c>
      <c r="F484" s="5"/>
      <c r="G484" s="451">
        <f>'Пр.4 ведом.21'!G875</f>
        <v>500</v>
      </c>
      <c r="H484" s="451">
        <f>'Пр.4 ведом.21'!H875</f>
        <v>180.99</v>
      </c>
      <c r="I484" s="451">
        <f t="shared" si="233"/>
        <v>36.198</v>
      </c>
    </row>
    <row r="485" spans="1:9" ht="31.5" x14ac:dyDescent="0.25">
      <c r="A485" s="45" t="s">
        <v>480</v>
      </c>
      <c r="B485" s="461" t="s">
        <v>1273</v>
      </c>
      <c r="C485" s="461" t="s">
        <v>491</v>
      </c>
      <c r="D485" s="461" t="s">
        <v>234</v>
      </c>
      <c r="E485" s="461" t="s">
        <v>134</v>
      </c>
      <c r="F485" s="5">
        <v>907</v>
      </c>
      <c r="G485" s="10">
        <f>G484</f>
        <v>500</v>
      </c>
      <c r="H485" s="10">
        <f t="shared" ref="H485" si="247">H484</f>
        <v>180.99</v>
      </c>
      <c r="I485" s="451">
        <f t="shared" si="233"/>
        <v>36.198</v>
      </c>
    </row>
    <row r="486" spans="1:9" s="449" customFormat="1" ht="47.25" x14ac:dyDescent="0.25">
      <c r="A486" s="58" t="s">
        <v>1707</v>
      </c>
      <c r="B486" s="7" t="s">
        <v>1705</v>
      </c>
      <c r="C486" s="7"/>
      <c r="D486" s="7"/>
      <c r="E486" s="7"/>
      <c r="F486" s="193"/>
      <c r="G486" s="450">
        <f>G487</f>
        <v>5022.2</v>
      </c>
      <c r="H486" s="450">
        <f t="shared" ref="H486:H489" si="248">H487</f>
        <v>0</v>
      </c>
      <c r="I486" s="450">
        <f t="shared" si="233"/>
        <v>0</v>
      </c>
    </row>
    <row r="487" spans="1:9" s="449" customFormat="1" ht="15.75" x14ac:dyDescent="0.25">
      <c r="A487" s="29" t="s">
        <v>490</v>
      </c>
      <c r="B487" s="461" t="s">
        <v>1705</v>
      </c>
      <c r="C487" s="461" t="s">
        <v>491</v>
      </c>
      <c r="D487" s="461"/>
      <c r="E487" s="461"/>
      <c r="F487" s="5"/>
      <c r="G487" s="451">
        <f>G488</f>
        <v>5022.2</v>
      </c>
      <c r="H487" s="451">
        <f t="shared" si="248"/>
        <v>0</v>
      </c>
      <c r="I487" s="451">
        <f t="shared" si="233"/>
        <v>0</v>
      </c>
    </row>
    <row r="488" spans="1:9" s="449" customFormat="1" ht="31.5" x14ac:dyDescent="0.25">
      <c r="A488" s="458" t="s">
        <v>500</v>
      </c>
      <c r="B488" s="461" t="s">
        <v>1705</v>
      </c>
      <c r="C488" s="461" t="s">
        <v>491</v>
      </c>
      <c r="D488" s="461" t="s">
        <v>234</v>
      </c>
      <c r="E488" s="461"/>
      <c r="F488" s="5"/>
      <c r="G488" s="451">
        <f>G489</f>
        <v>5022.2</v>
      </c>
      <c r="H488" s="451">
        <f t="shared" si="248"/>
        <v>0</v>
      </c>
      <c r="I488" s="451">
        <f t="shared" si="233"/>
        <v>0</v>
      </c>
    </row>
    <row r="489" spans="1:9" s="449" customFormat="1" ht="47.25" x14ac:dyDescent="0.25">
      <c r="A489" s="31" t="s">
        <v>1708</v>
      </c>
      <c r="B489" s="461" t="s">
        <v>1706</v>
      </c>
      <c r="C489" s="461" t="s">
        <v>491</v>
      </c>
      <c r="D489" s="461" t="s">
        <v>234</v>
      </c>
      <c r="E489" s="461"/>
      <c r="F489" s="5"/>
      <c r="G489" s="451">
        <f>G490</f>
        <v>5022.2</v>
      </c>
      <c r="H489" s="451">
        <f t="shared" si="248"/>
        <v>0</v>
      </c>
      <c r="I489" s="451">
        <f t="shared" si="233"/>
        <v>0</v>
      </c>
    </row>
    <row r="490" spans="1:9" s="449" customFormat="1" ht="31.5" x14ac:dyDescent="0.25">
      <c r="A490" s="29" t="s">
        <v>131</v>
      </c>
      <c r="B490" s="461" t="s">
        <v>1706</v>
      </c>
      <c r="C490" s="461" t="s">
        <v>491</v>
      </c>
      <c r="D490" s="461" t="s">
        <v>234</v>
      </c>
      <c r="E490" s="461" t="s">
        <v>132</v>
      </c>
      <c r="F490" s="5"/>
      <c r="G490" s="451">
        <f t="shared" ref="G490:H490" si="249">G491</f>
        <v>5022.2</v>
      </c>
      <c r="H490" s="451">
        <f t="shared" si="249"/>
        <v>0</v>
      </c>
      <c r="I490" s="451">
        <f t="shared" si="233"/>
        <v>0</v>
      </c>
    </row>
    <row r="491" spans="1:9" s="449" customFormat="1" ht="31.5" x14ac:dyDescent="0.25">
      <c r="A491" s="29" t="s">
        <v>133</v>
      </c>
      <c r="B491" s="461" t="s">
        <v>1706</v>
      </c>
      <c r="C491" s="461" t="s">
        <v>491</v>
      </c>
      <c r="D491" s="461" t="s">
        <v>234</v>
      </c>
      <c r="E491" s="461" t="s">
        <v>134</v>
      </c>
      <c r="F491" s="5"/>
      <c r="G491" s="451">
        <f>'Пр.4 ведом.21'!G838</f>
        <v>5022.2</v>
      </c>
      <c r="H491" s="451">
        <f>'Пр.4 ведом.21'!H838</f>
        <v>0</v>
      </c>
      <c r="I491" s="451">
        <f t="shared" si="233"/>
        <v>0</v>
      </c>
    </row>
    <row r="492" spans="1:9" s="449" customFormat="1" ht="31.5" x14ac:dyDescent="0.25">
      <c r="A492" s="45" t="s">
        <v>480</v>
      </c>
      <c r="B492" s="461" t="s">
        <v>1706</v>
      </c>
      <c r="C492" s="461" t="s">
        <v>491</v>
      </c>
      <c r="D492" s="461" t="s">
        <v>234</v>
      </c>
      <c r="E492" s="461" t="s">
        <v>134</v>
      </c>
      <c r="F492" s="5">
        <v>907</v>
      </c>
      <c r="G492" s="10">
        <v>5022.2</v>
      </c>
      <c r="H492" s="10">
        <v>5022.2</v>
      </c>
      <c r="I492" s="451">
        <f t="shared" si="233"/>
        <v>100</v>
      </c>
    </row>
    <row r="493" spans="1:9" s="200" customFormat="1" ht="63" x14ac:dyDescent="0.25">
      <c r="A493" s="456" t="s">
        <v>1332</v>
      </c>
      <c r="B493" s="457" t="s">
        <v>1271</v>
      </c>
      <c r="C493" s="7"/>
      <c r="D493" s="7"/>
      <c r="E493" s="7"/>
      <c r="F493" s="193"/>
      <c r="G493" s="59">
        <f>G494</f>
        <v>769.23</v>
      </c>
      <c r="H493" s="59">
        <f t="shared" ref="H493:H497" si="250">H494</f>
        <v>769.23</v>
      </c>
      <c r="I493" s="450">
        <f t="shared" si="233"/>
        <v>100</v>
      </c>
    </row>
    <row r="494" spans="1:9" s="200" customFormat="1" ht="15.75" x14ac:dyDescent="0.25">
      <c r="A494" s="29" t="s">
        <v>490</v>
      </c>
      <c r="B494" s="454" t="s">
        <v>1271</v>
      </c>
      <c r="C494" s="461" t="s">
        <v>491</v>
      </c>
      <c r="D494" s="461"/>
      <c r="E494" s="461"/>
      <c r="F494" s="5"/>
      <c r="G494" s="10">
        <f>G495</f>
        <v>769.23</v>
      </c>
      <c r="H494" s="10">
        <f t="shared" si="250"/>
        <v>769.23</v>
      </c>
      <c r="I494" s="451">
        <f t="shared" si="233"/>
        <v>100</v>
      </c>
    </row>
    <row r="495" spans="1:9" s="200" customFormat="1" ht="15.75" x14ac:dyDescent="0.25">
      <c r="A495" s="29" t="s">
        <v>492</v>
      </c>
      <c r="B495" s="454" t="s">
        <v>1271</v>
      </c>
      <c r="C495" s="461" t="s">
        <v>491</v>
      </c>
      <c r="D495" s="461" t="s">
        <v>118</v>
      </c>
      <c r="E495" s="461"/>
      <c r="F495" s="5"/>
      <c r="G495" s="10">
        <f>G496</f>
        <v>769.23</v>
      </c>
      <c r="H495" s="10">
        <f t="shared" si="250"/>
        <v>769.23</v>
      </c>
      <c r="I495" s="451">
        <f t="shared" si="233"/>
        <v>100</v>
      </c>
    </row>
    <row r="496" spans="1:9" s="200" customFormat="1" ht="63" x14ac:dyDescent="0.25">
      <c r="A496" s="458" t="s">
        <v>1194</v>
      </c>
      <c r="B496" s="454" t="s">
        <v>1326</v>
      </c>
      <c r="C496" s="461" t="s">
        <v>491</v>
      </c>
      <c r="D496" s="461" t="s">
        <v>118</v>
      </c>
      <c r="E496" s="461"/>
      <c r="F496" s="5"/>
      <c r="G496" s="10">
        <f>G497</f>
        <v>769.23</v>
      </c>
      <c r="H496" s="10">
        <f t="shared" si="250"/>
        <v>769.23</v>
      </c>
      <c r="I496" s="451">
        <f t="shared" si="233"/>
        <v>100</v>
      </c>
    </row>
    <row r="497" spans="1:11" s="200" customFormat="1" ht="31.5" x14ac:dyDescent="0.25">
      <c r="A497" s="458" t="s">
        <v>272</v>
      </c>
      <c r="B497" s="454" t="s">
        <v>1326</v>
      </c>
      <c r="C497" s="461" t="s">
        <v>491</v>
      </c>
      <c r="D497" s="461" t="s">
        <v>118</v>
      </c>
      <c r="E497" s="461" t="s">
        <v>273</v>
      </c>
      <c r="F497" s="5"/>
      <c r="G497" s="10">
        <f>G498</f>
        <v>769.23</v>
      </c>
      <c r="H497" s="10">
        <f t="shared" si="250"/>
        <v>769.23</v>
      </c>
      <c r="I497" s="451">
        <f t="shared" si="233"/>
        <v>100</v>
      </c>
    </row>
    <row r="498" spans="1:11" s="200" customFormat="1" ht="15.75" x14ac:dyDescent="0.25">
      <c r="A498" s="458" t="s">
        <v>274</v>
      </c>
      <c r="B498" s="454" t="s">
        <v>1326</v>
      </c>
      <c r="C498" s="461" t="s">
        <v>491</v>
      </c>
      <c r="D498" s="461" t="s">
        <v>118</v>
      </c>
      <c r="E498" s="461" t="s">
        <v>275</v>
      </c>
      <c r="F498" s="5"/>
      <c r="G498" s="10">
        <f>'Пр.4 ведом.21'!G842</f>
        <v>769.23</v>
      </c>
      <c r="H498" s="10">
        <f>'Пр.4 ведом.21'!H842</f>
        <v>769.23</v>
      </c>
      <c r="I498" s="451">
        <f t="shared" si="233"/>
        <v>100</v>
      </c>
    </row>
    <row r="499" spans="1:11" s="200" customFormat="1" ht="31.5" x14ac:dyDescent="0.25">
      <c r="A499" s="45" t="s">
        <v>480</v>
      </c>
      <c r="B499" s="454" t="s">
        <v>1326</v>
      </c>
      <c r="C499" s="461" t="s">
        <v>491</v>
      </c>
      <c r="D499" s="461" t="s">
        <v>118</v>
      </c>
      <c r="E499" s="461" t="s">
        <v>275</v>
      </c>
      <c r="F499" s="5">
        <v>907</v>
      </c>
      <c r="G499" s="10">
        <f>G493</f>
        <v>769.23</v>
      </c>
      <c r="H499" s="10">
        <f t="shared" ref="H499" si="251">H493</f>
        <v>769.23</v>
      </c>
      <c r="I499" s="451">
        <f t="shared" si="233"/>
        <v>100</v>
      </c>
    </row>
    <row r="500" spans="1:11" ht="31.5" x14ac:dyDescent="0.25">
      <c r="A500" s="462" t="s">
        <v>1354</v>
      </c>
      <c r="B500" s="7" t="s">
        <v>267</v>
      </c>
      <c r="C500" s="72"/>
      <c r="D500" s="72"/>
      <c r="E500" s="72"/>
      <c r="F500" s="3"/>
      <c r="G500" s="59">
        <f>G501+G546+G569+G588+G613+G620+G634+G641+G627</f>
        <v>84858.319999999992</v>
      </c>
      <c r="H500" s="59">
        <f t="shared" ref="H500" si="252">H501+H546+H569+H588+H613+H620+H634+H641+H627</f>
        <v>53047.86439000001</v>
      </c>
      <c r="I500" s="450">
        <f t="shared" si="233"/>
        <v>62.513451114752229</v>
      </c>
      <c r="J500">
        <v>90406.34</v>
      </c>
      <c r="K500" s="227">
        <f>J500-G500</f>
        <v>5548.0200000000041</v>
      </c>
    </row>
    <row r="501" spans="1:11" s="200" customFormat="1" ht="38.25" customHeight="1" x14ac:dyDescent="0.25">
      <c r="A501" s="456" t="s">
        <v>1300</v>
      </c>
      <c r="B501" s="457" t="s">
        <v>1204</v>
      </c>
      <c r="C501" s="7"/>
      <c r="D501" s="7"/>
      <c r="E501" s="7"/>
      <c r="F501" s="3"/>
      <c r="G501" s="59">
        <f>G518+G502+G534</f>
        <v>78642.22</v>
      </c>
      <c r="H501" s="59">
        <f t="shared" ref="H501" si="253">H518+H502+H534</f>
        <v>48922.830390000003</v>
      </c>
      <c r="I501" s="450">
        <f t="shared" si="233"/>
        <v>62.209370984186364</v>
      </c>
    </row>
    <row r="502" spans="1:11" s="200" customFormat="1" ht="18.75" customHeight="1" x14ac:dyDescent="0.25">
      <c r="A502" s="458" t="s">
        <v>263</v>
      </c>
      <c r="B502" s="454" t="s">
        <v>1204</v>
      </c>
      <c r="C502" s="461" t="s">
        <v>264</v>
      </c>
      <c r="D502" s="461"/>
      <c r="E502" s="461"/>
      <c r="F502" s="2"/>
      <c r="G502" s="10">
        <f>G503</f>
        <v>16025.720000000001</v>
      </c>
      <c r="H502" s="10">
        <f t="shared" ref="H502" si="254">H503</f>
        <v>10283.672</v>
      </c>
      <c r="I502" s="451">
        <f t="shared" si="233"/>
        <v>64.169797051240124</v>
      </c>
      <c r="J502" s="22">
        <f>G502+G547+G570+G589</f>
        <v>17751.620000000003</v>
      </c>
      <c r="K502" s="22">
        <v>16998.7</v>
      </c>
    </row>
    <row r="503" spans="1:11" s="200" customFormat="1" ht="19.5" customHeight="1" x14ac:dyDescent="0.25">
      <c r="A503" s="458" t="s">
        <v>265</v>
      </c>
      <c r="B503" s="454" t="s">
        <v>1204</v>
      </c>
      <c r="C503" s="461" t="s">
        <v>264</v>
      </c>
      <c r="D503" s="461" t="s">
        <v>215</v>
      </c>
      <c r="E503" s="461"/>
      <c r="F503" s="2"/>
      <c r="G503" s="10">
        <f>G504+G514</f>
        <v>16025.720000000001</v>
      </c>
      <c r="H503" s="10">
        <f t="shared" ref="H503" si="255">H504+H514</f>
        <v>10283.672</v>
      </c>
      <c r="I503" s="451">
        <f t="shared" si="233"/>
        <v>64.169797051240124</v>
      </c>
    </row>
    <row r="504" spans="1:11" s="200" customFormat="1" ht="18" customHeight="1" x14ac:dyDescent="0.25">
      <c r="A504" s="458" t="s">
        <v>800</v>
      </c>
      <c r="B504" s="454" t="s">
        <v>1205</v>
      </c>
      <c r="C504" s="461" t="s">
        <v>264</v>
      </c>
      <c r="D504" s="461" t="s">
        <v>215</v>
      </c>
      <c r="E504" s="461"/>
      <c r="F504" s="2"/>
      <c r="G504" s="10">
        <f>G505+G508+G511</f>
        <v>9175.92</v>
      </c>
      <c r="H504" s="10">
        <f t="shared" ref="H504" si="256">H505+H508+H511</f>
        <v>5224.2490000000007</v>
      </c>
      <c r="I504" s="451">
        <f t="shared" si="233"/>
        <v>56.934334649822581</v>
      </c>
    </row>
    <row r="505" spans="1:11" s="200" customFormat="1" ht="81" customHeight="1" x14ac:dyDescent="0.25">
      <c r="A505" s="458" t="s">
        <v>127</v>
      </c>
      <c r="B505" s="454" t="s">
        <v>1205</v>
      </c>
      <c r="C505" s="461" t="s">
        <v>264</v>
      </c>
      <c r="D505" s="461" t="s">
        <v>215</v>
      </c>
      <c r="E505" s="454" t="s">
        <v>128</v>
      </c>
      <c r="F505" s="2"/>
      <c r="G505" s="10">
        <f>G506</f>
        <v>7205.8199999999988</v>
      </c>
      <c r="H505" s="10">
        <f t="shared" ref="H505" si="257">H506</f>
        <v>4105.0870000000004</v>
      </c>
      <c r="I505" s="451">
        <f t="shared" si="233"/>
        <v>56.969047242367985</v>
      </c>
    </row>
    <row r="506" spans="1:11" s="200" customFormat="1" ht="20.25" customHeight="1" x14ac:dyDescent="0.25">
      <c r="A506" s="46" t="s">
        <v>342</v>
      </c>
      <c r="B506" s="454" t="s">
        <v>1205</v>
      </c>
      <c r="C506" s="461" t="s">
        <v>264</v>
      </c>
      <c r="D506" s="461" t="s">
        <v>215</v>
      </c>
      <c r="E506" s="454" t="s">
        <v>209</v>
      </c>
      <c r="F506" s="2"/>
      <c r="G506" s="10">
        <f>'Пр.4 ведом.21'!G300</f>
        <v>7205.8199999999988</v>
      </c>
      <c r="H506" s="10">
        <f>'Пр.4 ведом.21'!H300</f>
        <v>4105.0870000000004</v>
      </c>
      <c r="I506" s="451">
        <f t="shared" si="233"/>
        <v>56.969047242367985</v>
      </c>
    </row>
    <row r="507" spans="1:11" s="200" customFormat="1" ht="51.75" customHeight="1" x14ac:dyDescent="0.25">
      <c r="A507" s="45" t="s">
        <v>261</v>
      </c>
      <c r="B507" s="454" t="s">
        <v>1205</v>
      </c>
      <c r="C507" s="461" t="s">
        <v>264</v>
      </c>
      <c r="D507" s="461" t="s">
        <v>215</v>
      </c>
      <c r="E507" s="454" t="s">
        <v>209</v>
      </c>
      <c r="F507" s="2">
        <v>903</v>
      </c>
      <c r="G507" s="10">
        <f>G506</f>
        <v>7205.8199999999988</v>
      </c>
      <c r="H507" s="10">
        <f t="shared" ref="H507" si="258">H506</f>
        <v>4105.0870000000004</v>
      </c>
      <c r="I507" s="451">
        <f t="shared" si="233"/>
        <v>56.969047242367985</v>
      </c>
    </row>
    <row r="508" spans="1:11" s="200" customFormat="1" ht="38.25" customHeight="1" x14ac:dyDescent="0.25">
      <c r="A508" s="458" t="s">
        <v>131</v>
      </c>
      <c r="B508" s="454" t="s">
        <v>1205</v>
      </c>
      <c r="C508" s="461" t="s">
        <v>264</v>
      </c>
      <c r="D508" s="461" t="s">
        <v>215</v>
      </c>
      <c r="E508" s="454" t="s">
        <v>132</v>
      </c>
      <c r="F508" s="2"/>
      <c r="G508" s="10">
        <f>G509</f>
        <v>1901.8999999999999</v>
      </c>
      <c r="H508" s="10">
        <f t="shared" ref="H508" si="259">H509</f>
        <v>1078.4459999999999</v>
      </c>
      <c r="I508" s="451">
        <f t="shared" si="233"/>
        <v>56.703612177296392</v>
      </c>
    </row>
    <row r="509" spans="1:11" s="200" customFormat="1" ht="33.75" customHeight="1" x14ac:dyDescent="0.25">
      <c r="A509" s="458" t="s">
        <v>133</v>
      </c>
      <c r="B509" s="454" t="s">
        <v>1205</v>
      </c>
      <c r="C509" s="461" t="s">
        <v>264</v>
      </c>
      <c r="D509" s="461" t="s">
        <v>215</v>
      </c>
      <c r="E509" s="454" t="s">
        <v>134</v>
      </c>
      <c r="F509" s="2"/>
      <c r="G509" s="10">
        <f>'Пр.4 ведом.21'!G302</f>
        <v>1901.8999999999999</v>
      </c>
      <c r="H509" s="10">
        <f>'Пр.4 ведом.21'!H302</f>
        <v>1078.4459999999999</v>
      </c>
      <c r="I509" s="451">
        <f t="shared" si="233"/>
        <v>56.703612177296392</v>
      </c>
    </row>
    <row r="510" spans="1:11" s="200" customFormat="1" ht="55.5" customHeight="1" x14ac:dyDescent="0.25">
      <c r="A510" s="45" t="s">
        <v>261</v>
      </c>
      <c r="B510" s="454" t="s">
        <v>1205</v>
      </c>
      <c r="C510" s="461" t="s">
        <v>264</v>
      </c>
      <c r="D510" s="461" t="s">
        <v>215</v>
      </c>
      <c r="E510" s="454" t="s">
        <v>134</v>
      </c>
      <c r="F510" s="2">
        <v>903</v>
      </c>
      <c r="G510" s="10">
        <f>G509</f>
        <v>1901.8999999999999</v>
      </c>
      <c r="H510" s="10">
        <f t="shared" ref="H510" si="260">H509</f>
        <v>1078.4459999999999</v>
      </c>
      <c r="I510" s="451">
        <f t="shared" si="233"/>
        <v>56.703612177296392</v>
      </c>
    </row>
    <row r="511" spans="1:11" s="200" customFormat="1" ht="19.5" customHeight="1" x14ac:dyDescent="0.25">
      <c r="A511" s="458" t="s">
        <v>135</v>
      </c>
      <c r="B511" s="454" t="s">
        <v>1205</v>
      </c>
      <c r="C511" s="461" t="s">
        <v>264</v>
      </c>
      <c r="D511" s="461" t="s">
        <v>215</v>
      </c>
      <c r="E511" s="454" t="s">
        <v>145</v>
      </c>
      <c r="F511" s="2"/>
      <c r="G511" s="10">
        <f>G512</f>
        <v>68.2</v>
      </c>
      <c r="H511" s="10">
        <f t="shared" ref="H511" si="261">H512</f>
        <v>40.716000000000001</v>
      </c>
      <c r="I511" s="451">
        <f t="shared" si="233"/>
        <v>59.700879765395896</v>
      </c>
    </row>
    <row r="512" spans="1:11" s="200" customFormat="1" ht="17.45" customHeight="1" x14ac:dyDescent="0.25">
      <c r="A512" s="458" t="s">
        <v>704</v>
      </c>
      <c r="B512" s="454" t="s">
        <v>1205</v>
      </c>
      <c r="C512" s="461" t="s">
        <v>264</v>
      </c>
      <c r="D512" s="461" t="s">
        <v>215</v>
      </c>
      <c r="E512" s="454" t="s">
        <v>138</v>
      </c>
      <c r="F512" s="2"/>
      <c r="G512" s="10">
        <f>'Пр.4 ведом.21'!G304</f>
        <v>68.2</v>
      </c>
      <c r="H512" s="10">
        <f>'Пр.4 ведом.21'!H304</f>
        <v>40.716000000000001</v>
      </c>
      <c r="I512" s="451">
        <f t="shared" si="233"/>
        <v>59.700879765395896</v>
      </c>
    </row>
    <row r="513" spans="1:11" s="200" customFormat="1" ht="56.25" customHeight="1" x14ac:dyDescent="0.25">
      <c r="A513" s="45" t="s">
        <v>261</v>
      </c>
      <c r="B513" s="454" t="s">
        <v>1205</v>
      </c>
      <c r="C513" s="461" t="s">
        <v>264</v>
      </c>
      <c r="D513" s="461" t="s">
        <v>215</v>
      </c>
      <c r="E513" s="454" t="s">
        <v>138</v>
      </c>
      <c r="F513" s="2">
        <v>903</v>
      </c>
      <c r="G513" s="10">
        <f>G512</f>
        <v>68.2</v>
      </c>
      <c r="H513" s="10">
        <f t="shared" ref="H513" si="262">H512</f>
        <v>40.716000000000001</v>
      </c>
      <c r="I513" s="451">
        <f t="shared" si="233"/>
        <v>59.700879765395896</v>
      </c>
    </row>
    <row r="514" spans="1:11" s="200" customFormat="1" ht="31.5" x14ac:dyDescent="0.25">
      <c r="A514" s="31" t="s">
        <v>1514</v>
      </c>
      <c r="B514" s="454" t="s">
        <v>1486</v>
      </c>
      <c r="C514" s="461" t="s">
        <v>264</v>
      </c>
      <c r="D514" s="461" t="s">
        <v>215</v>
      </c>
      <c r="E514" s="454"/>
      <c r="F514" s="2"/>
      <c r="G514" s="10">
        <f>G515</f>
        <v>6849.8000000000011</v>
      </c>
      <c r="H514" s="10">
        <f t="shared" ref="H514:H515" si="263">H515</f>
        <v>5059.4229999999998</v>
      </c>
      <c r="I514" s="451">
        <f t="shared" si="233"/>
        <v>73.862346345878692</v>
      </c>
    </row>
    <row r="515" spans="1:11" s="200" customFormat="1" ht="78.75" x14ac:dyDescent="0.25">
      <c r="A515" s="458" t="s">
        <v>127</v>
      </c>
      <c r="B515" s="454" t="s">
        <v>1486</v>
      </c>
      <c r="C515" s="461" t="s">
        <v>264</v>
      </c>
      <c r="D515" s="461" t="s">
        <v>215</v>
      </c>
      <c r="E515" s="454" t="s">
        <v>128</v>
      </c>
      <c r="F515" s="2"/>
      <c r="G515" s="10">
        <f>G516</f>
        <v>6849.8000000000011</v>
      </c>
      <c r="H515" s="10">
        <f t="shared" si="263"/>
        <v>5059.4229999999998</v>
      </c>
      <c r="I515" s="451">
        <f t="shared" si="233"/>
        <v>73.862346345878692</v>
      </c>
    </row>
    <row r="516" spans="1:11" s="200" customFormat="1" ht="15.75" x14ac:dyDescent="0.25">
      <c r="A516" s="458" t="s">
        <v>208</v>
      </c>
      <c r="B516" s="454" t="s">
        <v>1486</v>
      </c>
      <c r="C516" s="461" t="s">
        <v>264</v>
      </c>
      <c r="D516" s="461" t="s">
        <v>215</v>
      </c>
      <c r="E516" s="454" t="s">
        <v>209</v>
      </c>
      <c r="F516" s="2"/>
      <c r="G516" s="10">
        <f>'Пр.4 ведом.21'!G307</f>
        <v>6849.8000000000011</v>
      </c>
      <c r="H516" s="10">
        <f>'Пр.4 ведом.21'!H307</f>
        <v>5059.4229999999998</v>
      </c>
      <c r="I516" s="451">
        <f t="shared" si="233"/>
        <v>73.862346345878692</v>
      </c>
    </row>
    <row r="517" spans="1:11" s="200" customFormat="1" ht="47.25" x14ac:dyDescent="0.25">
      <c r="A517" s="45" t="s">
        <v>261</v>
      </c>
      <c r="B517" s="454" t="s">
        <v>1486</v>
      </c>
      <c r="C517" s="461" t="s">
        <v>264</v>
      </c>
      <c r="D517" s="461" t="s">
        <v>215</v>
      </c>
      <c r="E517" s="454" t="s">
        <v>209</v>
      </c>
      <c r="F517" s="2">
        <v>903</v>
      </c>
      <c r="G517" s="10">
        <f>G514</f>
        <v>6849.8000000000011</v>
      </c>
      <c r="H517" s="10">
        <f t="shared" ref="H517" si="264">H514</f>
        <v>5059.4229999999998</v>
      </c>
      <c r="I517" s="451">
        <f t="shared" si="233"/>
        <v>73.862346345878692</v>
      </c>
    </row>
    <row r="518" spans="1:11" ht="15.75" x14ac:dyDescent="0.25">
      <c r="A518" s="73" t="s">
        <v>298</v>
      </c>
      <c r="B518" s="454" t="s">
        <v>1204</v>
      </c>
      <c r="C518" s="461" t="s">
        <v>299</v>
      </c>
      <c r="D518" s="73"/>
      <c r="E518" s="73"/>
      <c r="F518" s="2"/>
      <c r="G518" s="10">
        <f>G519</f>
        <v>57164.1</v>
      </c>
      <c r="H518" s="10">
        <f t="shared" ref="H518" si="265">H519</f>
        <v>34921.541300000004</v>
      </c>
      <c r="I518" s="451">
        <f t="shared" si="233"/>
        <v>61.089987072305888</v>
      </c>
      <c r="J518" s="22">
        <f>G518+G560+G576+G603+G614+G621+G635+G642</f>
        <v>61396.299999999996</v>
      </c>
      <c r="K518">
        <f>67542.4</f>
        <v>67542.399999999994</v>
      </c>
    </row>
    <row r="519" spans="1:11" ht="15.75" x14ac:dyDescent="0.25">
      <c r="A519" s="73" t="s">
        <v>300</v>
      </c>
      <c r="B519" s="454" t="s">
        <v>1204</v>
      </c>
      <c r="C519" s="461" t="s">
        <v>299</v>
      </c>
      <c r="D519" s="461" t="s">
        <v>118</v>
      </c>
      <c r="E519" s="73"/>
      <c r="F519" s="2"/>
      <c r="G519" s="10">
        <f>G520+G530</f>
        <v>57164.1</v>
      </c>
      <c r="H519" s="10">
        <f t="shared" ref="H519" si="266">H520+H530</f>
        <v>34921.541300000004</v>
      </c>
      <c r="I519" s="451">
        <f t="shared" si="233"/>
        <v>61.089987072305888</v>
      </c>
    </row>
    <row r="520" spans="1:11" ht="15.75" x14ac:dyDescent="0.25">
      <c r="A520" s="458" t="s">
        <v>800</v>
      </c>
      <c r="B520" s="454" t="s">
        <v>1205</v>
      </c>
      <c r="C520" s="461" t="s">
        <v>299</v>
      </c>
      <c r="D520" s="461" t="s">
        <v>118</v>
      </c>
      <c r="E520" s="461"/>
      <c r="F520" s="2"/>
      <c r="G520" s="10">
        <f>G521+G524+G527</f>
        <v>15392.799999999997</v>
      </c>
      <c r="H520" s="10">
        <f t="shared" ref="H520" si="267">H521+H524+H527</f>
        <v>8129.8498000000009</v>
      </c>
      <c r="I520" s="451">
        <f t="shared" si="233"/>
        <v>52.815925627566152</v>
      </c>
    </row>
    <row r="521" spans="1:11" ht="78.75" x14ac:dyDescent="0.25">
      <c r="A521" s="458" t="s">
        <v>127</v>
      </c>
      <c r="B521" s="454" t="s">
        <v>1205</v>
      </c>
      <c r="C521" s="461" t="s">
        <v>299</v>
      </c>
      <c r="D521" s="461" t="s">
        <v>118</v>
      </c>
      <c r="E521" s="461" t="s">
        <v>128</v>
      </c>
      <c r="F521" s="2"/>
      <c r="G521" s="10">
        <f>G522</f>
        <v>2286.1699999999996</v>
      </c>
      <c r="H521" s="10">
        <f t="shared" ref="H521" si="268">H522</f>
        <v>1950.6572000000001</v>
      </c>
      <c r="I521" s="451">
        <f t="shared" si="233"/>
        <v>85.324240979454729</v>
      </c>
    </row>
    <row r="522" spans="1:11" ht="15.75" x14ac:dyDescent="0.25">
      <c r="A522" s="458" t="s">
        <v>208</v>
      </c>
      <c r="B522" s="454" t="s">
        <v>1205</v>
      </c>
      <c r="C522" s="461" t="s">
        <v>299</v>
      </c>
      <c r="D522" s="461" t="s">
        <v>118</v>
      </c>
      <c r="E522" s="461" t="s">
        <v>209</v>
      </c>
      <c r="F522" s="2"/>
      <c r="G522" s="10">
        <f>'Пр.4 ведом.21'!G372</f>
        <v>2286.1699999999996</v>
      </c>
      <c r="H522" s="10">
        <f>'Пр.4 ведом.21'!H372</f>
        <v>1950.6572000000001</v>
      </c>
      <c r="I522" s="451">
        <f t="shared" si="233"/>
        <v>85.324240979454729</v>
      </c>
    </row>
    <row r="523" spans="1:11" s="200" customFormat="1" ht="47.25" x14ac:dyDescent="0.25">
      <c r="A523" s="45" t="s">
        <v>261</v>
      </c>
      <c r="B523" s="454" t="s">
        <v>1205</v>
      </c>
      <c r="C523" s="461" t="s">
        <v>299</v>
      </c>
      <c r="D523" s="461" t="s">
        <v>118</v>
      </c>
      <c r="E523" s="461" t="s">
        <v>209</v>
      </c>
      <c r="F523" s="2">
        <v>903</v>
      </c>
      <c r="G523" s="10">
        <f>G522</f>
        <v>2286.1699999999996</v>
      </c>
      <c r="H523" s="10">
        <f t="shared" ref="H523" si="269">H522</f>
        <v>1950.6572000000001</v>
      </c>
      <c r="I523" s="451">
        <f t="shared" ref="I523:I586" si="270">H523/G523*100</f>
        <v>85.324240979454729</v>
      </c>
    </row>
    <row r="524" spans="1:11" ht="31.5" x14ac:dyDescent="0.25">
      <c r="A524" s="458" t="s">
        <v>131</v>
      </c>
      <c r="B524" s="454" t="s">
        <v>1205</v>
      </c>
      <c r="C524" s="461" t="s">
        <v>299</v>
      </c>
      <c r="D524" s="461" t="s">
        <v>118</v>
      </c>
      <c r="E524" s="461" t="s">
        <v>132</v>
      </c>
      <c r="F524" s="2"/>
      <c r="G524" s="10">
        <f>G525</f>
        <v>12956.129999999997</v>
      </c>
      <c r="H524" s="10">
        <f t="shared" ref="H524" si="271">H525</f>
        <v>6067.6696000000002</v>
      </c>
      <c r="I524" s="451">
        <f t="shared" si="270"/>
        <v>46.832422953459108</v>
      </c>
    </row>
    <row r="525" spans="1:11" ht="31.5" x14ac:dyDescent="0.25">
      <c r="A525" s="458" t="s">
        <v>133</v>
      </c>
      <c r="B525" s="454" t="s">
        <v>1205</v>
      </c>
      <c r="C525" s="461" t="s">
        <v>299</v>
      </c>
      <c r="D525" s="461" t="s">
        <v>118</v>
      </c>
      <c r="E525" s="461" t="s">
        <v>134</v>
      </c>
      <c r="F525" s="2"/>
      <c r="G525" s="10">
        <f>'Пр.4 ведом.21'!G374</f>
        <v>12956.129999999997</v>
      </c>
      <c r="H525" s="10">
        <f>'Пр.4 ведом.21'!H374</f>
        <v>6067.6696000000002</v>
      </c>
      <c r="I525" s="451">
        <f t="shared" si="270"/>
        <v>46.832422953459108</v>
      </c>
    </row>
    <row r="526" spans="1:11" s="200" customFormat="1" ht="47.25" x14ac:dyDescent="0.25">
      <c r="A526" s="45" t="s">
        <v>261</v>
      </c>
      <c r="B526" s="454" t="s">
        <v>1205</v>
      </c>
      <c r="C526" s="461" t="s">
        <v>299</v>
      </c>
      <c r="D526" s="461" t="s">
        <v>118</v>
      </c>
      <c r="E526" s="461" t="s">
        <v>134</v>
      </c>
      <c r="F526" s="2">
        <v>903</v>
      </c>
      <c r="G526" s="10">
        <f>G525</f>
        <v>12956.129999999997</v>
      </c>
      <c r="H526" s="10">
        <f t="shared" ref="H526" si="272">H525</f>
        <v>6067.6696000000002</v>
      </c>
      <c r="I526" s="451">
        <f t="shared" si="270"/>
        <v>46.832422953459108</v>
      </c>
    </row>
    <row r="527" spans="1:11" ht="15.75" customHeight="1" x14ac:dyDescent="0.25">
      <c r="A527" s="458" t="s">
        <v>135</v>
      </c>
      <c r="B527" s="454" t="s">
        <v>1205</v>
      </c>
      <c r="C527" s="461" t="s">
        <v>299</v>
      </c>
      <c r="D527" s="461" t="s">
        <v>118</v>
      </c>
      <c r="E527" s="461" t="s">
        <v>145</v>
      </c>
      <c r="F527" s="2"/>
      <c r="G527" s="10">
        <f>G528</f>
        <v>150.5</v>
      </c>
      <c r="H527" s="10">
        <f t="shared" ref="H527" si="273">H528</f>
        <v>111.523</v>
      </c>
      <c r="I527" s="451">
        <f t="shared" si="270"/>
        <v>74.101661129568114</v>
      </c>
    </row>
    <row r="528" spans="1:11" ht="15.75" customHeight="1" x14ac:dyDescent="0.25">
      <c r="A528" s="458" t="s">
        <v>137</v>
      </c>
      <c r="B528" s="454" t="s">
        <v>1205</v>
      </c>
      <c r="C528" s="461" t="s">
        <v>299</v>
      </c>
      <c r="D528" s="461" t="s">
        <v>118</v>
      </c>
      <c r="E528" s="461" t="s">
        <v>138</v>
      </c>
      <c r="F528" s="2"/>
      <c r="G528" s="10">
        <f>'Пр.4 ведом.21'!G376</f>
        <v>150.5</v>
      </c>
      <c r="H528" s="10">
        <f>'Пр.4 ведом.21'!H376</f>
        <v>111.523</v>
      </c>
      <c r="I528" s="451">
        <f t="shared" si="270"/>
        <v>74.101661129568114</v>
      </c>
    </row>
    <row r="529" spans="1:9" s="200" customFormat="1" ht="50.25" customHeight="1" x14ac:dyDescent="0.25">
      <c r="A529" s="45" t="s">
        <v>261</v>
      </c>
      <c r="B529" s="454" t="s">
        <v>1205</v>
      </c>
      <c r="C529" s="461" t="s">
        <v>299</v>
      </c>
      <c r="D529" s="461" t="s">
        <v>118</v>
      </c>
      <c r="E529" s="461" t="s">
        <v>138</v>
      </c>
      <c r="F529" s="2">
        <v>903</v>
      </c>
      <c r="G529" s="10">
        <f>G528</f>
        <v>150.5</v>
      </c>
      <c r="H529" s="10">
        <f t="shared" ref="H529" si="274">H528</f>
        <v>111.523</v>
      </c>
      <c r="I529" s="451">
        <f t="shared" si="270"/>
        <v>74.101661129568114</v>
      </c>
    </row>
    <row r="530" spans="1:9" s="200" customFormat="1" ht="31.5" x14ac:dyDescent="0.25">
      <c r="A530" s="31" t="s">
        <v>1514</v>
      </c>
      <c r="B530" s="454" t="s">
        <v>1486</v>
      </c>
      <c r="C530" s="461" t="s">
        <v>299</v>
      </c>
      <c r="D530" s="461" t="s">
        <v>118</v>
      </c>
      <c r="E530" s="454"/>
      <c r="F530" s="2"/>
      <c r="G530" s="10">
        <f>G531</f>
        <v>41771.300000000003</v>
      </c>
      <c r="H530" s="10">
        <f t="shared" ref="H530:H531" si="275">H531</f>
        <v>26791.691500000001</v>
      </c>
      <c r="I530" s="451">
        <f t="shared" si="270"/>
        <v>64.138993758872715</v>
      </c>
    </row>
    <row r="531" spans="1:9" s="200" customFormat="1" ht="78.75" x14ac:dyDescent="0.25">
      <c r="A531" s="458" t="s">
        <v>127</v>
      </c>
      <c r="B531" s="454" t="s">
        <v>1486</v>
      </c>
      <c r="C531" s="461" t="s">
        <v>299</v>
      </c>
      <c r="D531" s="461" t="s">
        <v>118</v>
      </c>
      <c r="E531" s="454" t="s">
        <v>128</v>
      </c>
      <c r="F531" s="2"/>
      <c r="G531" s="10">
        <f>G532</f>
        <v>41771.300000000003</v>
      </c>
      <c r="H531" s="10">
        <f t="shared" si="275"/>
        <v>26791.691500000001</v>
      </c>
      <c r="I531" s="451">
        <f t="shared" si="270"/>
        <v>64.138993758872715</v>
      </c>
    </row>
    <row r="532" spans="1:9" s="200" customFormat="1" ht="15.75" x14ac:dyDescent="0.25">
      <c r="A532" s="458" t="s">
        <v>208</v>
      </c>
      <c r="B532" s="454" t="s">
        <v>1486</v>
      </c>
      <c r="C532" s="461" t="s">
        <v>299</v>
      </c>
      <c r="D532" s="461" t="s">
        <v>118</v>
      </c>
      <c r="E532" s="454" t="s">
        <v>209</v>
      </c>
      <c r="F532" s="2"/>
      <c r="G532" s="10">
        <f>'Пр.4 ведом.21'!G379</f>
        <v>41771.300000000003</v>
      </c>
      <c r="H532" s="10">
        <f>'Пр.4 ведом.21'!H379</f>
        <v>26791.691500000001</v>
      </c>
      <c r="I532" s="451">
        <f t="shared" si="270"/>
        <v>64.138993758872715</v>
      </c>
    </row>
    <row r="533" spans="1:9" s="200" customFormat="1" ht="47.25" x14ac:dyDescent="0.25">
      <c r="A533" s="45" t="s">
        <v>261</v>
      </c>
      <c r="B533" s="454" t="s">
        <v>1486</v>
      </c>
      <c r="C533" s="461" t="s">
        <v>299</v>
      </c>
      <c r="D533" s="461" t="s">
        <v>118</v>
      </c>
      <c r="E533" s="454" t="s">
        <v>209</v>
      </c>
      <c r="F533" s="2">
        <v>903</v>
      </c>
      <c r="G533" s="10">
        <f>G530</f>
        <v>41771.300000000003</v>
      </c>
      <c r="H533" s="10">
        <f t="shared" ref="H533" si="276">H530</f>
        <v>26791.691500000001</v>
      </c>
      <c r="I533" s="451">
        <f t="shared" si="270"/>
        <v>64.138993758872715</v>
      </c>
    </row>
    <row r="534" spans="1:9" s="200" customFormat="1" ht="19.5" customHeight="1" x14ac:dyDescent="0.25">
      <c r="A534" s="458" t="s">
        <v>582</v>
      </c>
      <c r="B534" s="454" t="s">
        <v>1204</v>
      </c>
      <c r="C534" s="461" t="s">
        <v>238</v>
      </c>
      <c r="D534" s="73"/>
      <c r="E534" s="73"/>
      <c r="F534" s="2"/>
      <c r="G534" s="10">
        <f>G535</f>
        <v>5452.4</v>
      </c>
      <c r="H534" s="10">
        <f t="shared" ref="H534:H535" si="277">H535</f>
        <v>3717.6170900000002</v>
      </c>
      <c r="I534" s="451">
        <f t="shared" si="270"/>
        <v>68.183132015259346</v>
      </c>
    </row>
    <row r="535" spans="1:9" s="200" customFormat="1" ht="23.25" customHeight="1" x14ac:dyDescent="0.25">
      <c r="A535" s="458" t="s">
        <v>583</v>
      </c>
      <c r="B535" s="454" t="s">
        <v>1204</v>
      </c>
      <c r="C535" s="461" t="s">
        <v>238</v>
      </c>
      <c r="D535" s="461" t="s">
        <v>213</v>
      </c>
      <c r="E535" s="73"/>
      <c r="F535" s="2"/>
      <c r="G535" s="10">
        <f>G536</f>
        <v>5452.4</v>
      </c>
      <c r="H535" s="10">
        <f t="shared" si="277"/>
        <v>3717.6170900000002</v>
      </c>
      <c r="I535" s="451">
        <f t="shared" si="270"/>
        <v>68.183132015259346</v>
      </c>
    </row>
    <row r="536" spans="1:9" s="200" customFormat="1" ht="20.25" customHeight="1" x14ac:dyDescent="0.25">
      <c r="A536" s="458" t="s">
        <v>800</v>
      </c>
      <c r="B536" s="454" t="s">
        <v>1205</v>
      </c>
      <c r="C536" s="461" t="s">
        <v>238</v>
      </c>
      <c r="D536" s="461" t="s">
        <v>213</v>
      </c>
      <c r="E536" s="461"/>
      <c r="F536" s="2"/>
      <c r="G536" s="10">
        <f>G537+G540+G543</f>
        <v>5452.4</v>
      </c>
      <c r="H536" s="10">
        <f t="shared" ref="H536" si="278">H537+H540+H543</f>
        <v>3717.6170900000002</v>
      </c>
      <c r="I536" s="451">
        <f t="shared" si="270"/>
        <v>68.183132015259346</v>
      </c>
    </row>
    <row r="537" spans="1:9" s="200" customFormat="1" ht="79.5" customHeight="1" x14ac:dyDescent="0.25">
      <c r="A537" s="458" t="s">
        <v>127</v>
      </c>
      <c r="B537" s="454" t="s">
        <v>1205</v>
      </c>
      <c r="C537" s="461" t="s">
        <v>238</v>
      </c>
      <c r="D537" s="461" t="s">
        <v>213</v>
      </c>
      <c r="E537" s="461" t="s">
        <v>128</v>
      </c>
      <c r="F537" s="2"/>
      <c r="G537" s="10">
        <f>G538</f>
        <v>4650.3999999999996</v>
      </c>
      <c r="H537" s="10">
        <f t="shared" ref="H537" si="279">H538</f>
        <v>3160.4586300000001</v>
      </c>
      <c r="I537" s="451">
        <f t="shared" si="270"/>
        <v>67.9610061500086</v>
      </c>
    </row>
    <row r="538" spans="1:9" s="200" customFormat="1" ht="20.25" customHeight="1" x14ac:dyDescent="0.25">
      <c r="A538" s="458" t="s">
        <v>208</v>
      </c>
      <c r="B538" s="454" t="s">
        <v>1205</v>
      </c>
      <c r="C538" s="461" t="s">
        <v>238</v>
      </c>
      <c r="D538" s="461" t="s">
        <v>213</v>
      </c>
      <c r="E538" s="461" t="s">
        <v>209</v>
      </c>
      <c r="F538" s="2"/>
      <c r="G538" s="10">
        <f>'Пр.4 ведом.21'!G496</f>
        <v>4650.3999999999996</v>
      </c>
      <c r="H538" s="10">
        <f>'Пр.4 ведом.21'!H496</f>
        <v>3160.4586300000001</v>
      </c>
      <c r="I538" s="451">
        <f t="shared" si="270"/>
        <v>67.9610061500086</v>
      </c>
    </row>
    <row r="539" spans="1:9" s="200" customFormat="1" ht="50.25" customHeight="1" x14ac:dyDescent="0.25">
      <c r="A539" s="45" t="s">
        <v>261</v>
      </c>
      <c r="B539" s="454" t="s">
        <v>1205</v>
      </c>
      <c r="C539" s="461" t="s">
        <v>238</v>
      </c>
      <c r="D539" s="461" t="s">
        <v>213</v>
      </c>
      <c r="E539" s="461" t="s">
        <v>209</v>
      </c>
      <c r="F539" s="2">
        <v>903</v>
      </c>
      <c r="G539" s="10">
        <f>G538</f>
        <v>4650.3999999999996</v>
      </c>
      <c r="H539" s="10">
        <f t="shared" ref="H539" si="280">H538</f>
        <v>3160.4586300000001</v>
      </c>
      <c r="I539" s="451">
        <f t="shared" si="270"/>
        <v>67.9610061500086</v>
      </c>
    </row>
    <row r="540" spans="1:9" s="200" customFormat="1" ht="42.75" customHeight="1" x14ac:dyDescent="0.25">
      <c r="A540" s="458" t="s">
        <v>131</v>
      </c>
      <c r="B540" s="454" t="s">
        <v>1205</v>
      </c>
      <c r="C540" s="461" t="s">
        <v>238</v>
      </c>
      <c r="D540" s="461" t="s">
        <v>213</v>
      </c>
      <c r="E540" s="461" t="s">
        <v>132</v>
      </c>
      <c r="F540" s="2"/>
      <c r="G540" s="10">
        <f>G541</f>
        <v>771.90000000000009</v>
      </c>
      <c r="H540" s="10">
        <f t="shared" ref="H540" si="281">H541</f>
        <v>544.72546</v>
      </c>
      <c r="I540" s="451">
        <f t="shared" si="270"/>
        <v>70.569433864490207</v>
      </c>
    </row>
    <row r="541" spans="1:9" s="200" customFormat="1" ht="36" customHeight="1" x14ac:dyDescent="0.25">
      <c r="A541" s="458" t="s">
        <v>133</v>
      </c>
      <c r="B541" s="454" t="s">
        <v>1205</v>
      </c>
      <c r="C541" s="461" t="s">
        <v>238</v>
      </c>
      <c r="D541" s="461" t="s">
        <v>213</v>
      </c>
      <c r="E541" s="461" t="s">
        <v>134</v>
      </c>
      <c r="F541" s="2"/>
      <c r="G541" s="10">
        <f>'Пр.4 ведом.21'!G498</f>
        <v>771.90000000000009</v>
      </c>
      <c r="H541" s="10">
        <f>'Пр.4 ведом.21'!H498</f>
        <v>544.72546</v>
      </c>
      <c r="I541" s="451">
        <f t="shared" si="270"/>
        <v>70.569433864490207</v>
      </c>
    </row>
    <row r="542" spans="1:9" s="200" customFormat="1" ht="50.25" customHeight="1" x14ac:dyDescent="0.25">
      <c r="A542" s="45" t="s">
        <v>261</v>
      </c>
      <c r="B542" s="454" t="s">
        <v>1205</v>
      </c>
      <c r="C542" s="461" t="s">
        <v>238</v>
      </c>
      <c r="D542" s="461" t="s">
        <v>213</v>
      </c>
      <c r="E542" s="461" t="s">
        <v>134</v>
      </c>
      <c r="F542" s="2">
        <v>903</v>
      </c>
      <c r="G542" s="10">
        <f>G541</f>
        <v>771.90000000000009</v>
      </c>
      <c r="H542" s="10">
        <f t="shared" ref="H542" si="282">H541</f>
        <v>544.72546</v>
      </c>
      <c r="I542" s="451">
        <f t="shared" si="270"/>
        <v>70.569433864490207</v>
      </c>
    </row>
    <row r="543" spans="1:9" s="200" customFormat="1" ht="19.5" customHeight="1" x14ac:dyDescent="0.25">
      <c r="A543" s="458" t="s">
        <v>135</v>
      </c>
      <c r="B543" s="454" t="s">
        <v>1205</v>
      </c>
      <c r="C543" s="461" t="s">
        <v>238</v>
      </c>
      <c r="D543" s="461" t="s">
        <v>213</v>
      </c>
      <c r="E543" s="461" t="s">
        <v>145</v>
      </c>
      <c r="F543" s="2"/>
      <c r="G543" s="10">
        <f>G544</f>
        <v>30.1</v>
      </c>
      <c r="H543" s="10">
        <f t="shared" ref="H543" si="283">H544</f>
        <v>12.433</v>
      </c>
      <c r="I543" s="451">
        <f t="shared" si="270"/>
        <v>41.305647840531556</v>
      </c>
    </row>
    <row r="544" spans="1:9" s="200" customFormat="1" ht="23.25" customHeight="1" x14ac:dyDescent="0.25">
      <c r="A544" s="458" t="s">
        <v>137</v>
      </c>
      <c r="B544" s="454" t="s">
        <v>1205</v>
      </c>
      <c r="C544" s="461" t="s">
        <v>238</v>
      </c>
      <c r="D544" s="461" t="s">
        <v>213</v>
      </c>
      <c r="E544" s="461" t="s">
        <v>138</v>
      </c>
      <c r="F544" s="2"/>
      <c r="G544" s="10">
        <f>'Пр.4 ведом.21'!G500</f>
        <v>30.1</v>
      </c>
      <c r="H544" s="10">
        <f>'Пр.4 ведом.21'!H500</f>
        <v>12.433</v>
      </c>
      <c r="I544" s="451">
        <f t="shared" si="270"/>
        <v>41.305647840531556</v>
      </c>
    </row>
    <row r="545" spans="1:9" s="200" customFormat="1" ht="50.25" customHeight="1" x14ac:dyDescent="0.25">
      <c r="A545" s="45" t="s">
        <v>261</v>
      </c>
      <c r="B545" s="454" t="s">
        <v>1205</v>
      </c>
      <c r="C545" s="461" t="s">
        <v>238</v>
      </c>
      <c r="D545" s="461" t="s">
        <v>213</v>
      </c>
      <c r="E545" s="461" t="s">
        <v>138</v>
      </c>
      <c r="F545" s="2">
        <v>903</v>
      </c>
      <c r="G545" s="10">
        <f>G544</f>
        <v>30.1</v>
      </c>
      <c r="H545" s="10">
        <f t="shared" ref="H545" si="284">H544</f>
        <v>12.433</v>
      </c>
      <c r="I545" s="451">
        <f t="shared" si="270"/>
        <v>41.305647840531556</v>
      </c>
    </row>
    <row r="546" spans="1:9" s="200" customFormat="1" ht="31.7" customHeight="1" x14ac:dyDescent="0.25">
      <c r="A546" s="212" t="s">
        <v>1302</v>
      </c>
      <c r="B546" s="457" t="s">
        <v>1206</v>
      </c>
      <c r="C546" s="7"/>
      <c r="D546" s="7"/>
      <c r="E546" s="7"/>
      <c r="F546" s="3"/>
      <c r="G546" s="59">
        <f>G547+G560</f>
        <v>967.6</v>
      </c>
      <c r="H546" s="59">
        <f t="shared" ref="H546" si="285">H547+H560</f>
        <v>875.7956999999999</v>
      </c>
      <c r="I546" s="450">
        <f t="shared" si="270"/>
        <v>90.51216411740387</v>
      </c>
    </row>
    <row r="547" spans="1:9" s="200" customFormat="1" ht="21.2" customHeight="1" x14ac:dyDescent="0.25">
      <c r="A547" s="458" t="s">
        <v>263</v>
      </c>
      <c r="B547" s="454" t="s">
        <v>1206</v>
      </c>
      <c r="C547" s="461" t="s">
        <v>264</v>
      </c>
      <c r="D547" s="461"/>
      <c r="E547" s="461"/>
      <c r="F547" s="2"/>
      <c r="G547" s="10">
        <f>G548</f>
        <v>335.5</v>
      </c>
      <c r="H547" s="10">
        <f t="shared" ref="H547:H548" si="286">H548</f>
        <v>321.67469999999997</v>
      </c>
      <c r="I547" s="451">
        <f t="shared" si="270"/>
        <v>95.879195230998505</v>
      </c>
    </row>
    <row r="548" spans="1:9" s="200" customFormat="1" ht="20.25" customHeight="1" x14ac:dyDescent="0.25">
      <c r="A548" s="458" t="s">
        <v>265</v>
      </c>
      <c r="B548" s="454" t="s">
        <v>1206</v>
      </c>
      <c r="C548" s="461" t="s">
        <v>264</v>
      </c>
      <c r="D548" s="461" t="s">
        <v>215</v>
      </c>
      <c r="E548" s="461"/>
      <c r="F548" s="2"/>
      <c r="G548" s="10">
        <f>G549</f>
        <v>335.5</v>
      </c>
      <c r="H548" s="10">
        <f t="shared" si="286"/>
        <v>321.67469999999997</v>
      </c>
      <c r="I548" s="451">
        <f t="shared" si="270"/>
        <v>95.879195230998505</v>
      </c>
    </row>
    <row r="549" spans="1:9" s="200" customFormat="1" ht="30.6" customHeight="1" x14ac:dyDescent="0.25">
      <c r="A549" s="194" t="s">
        <v>799</v>
      </c>
      <c r="B549" s="454" t="s">
        <v>1207</v>
      </c>
      <c r="C549" s="461" t="s">
        <v>264</v>
      </c>
      <c r="D549" s="461" t="s">
        <v>215</v>
      </c>
      <c r="E549" s="454"/>
      <c r="F549" s="2"/>
      <c r="G549" s="10">
        <f>G550+G553</f>
        <v>335.5</v>
      </c>
      <c r="H549" s="10">
        <f t="shared" ref="H549" si="287">H550+H553</f>
        <v>321.67469999999997</v>
      </c>
      <c r="I549" s="451">
        <f t="shared" si="270"/>
        <v>95.879195230998505</v>
      </c>
    </row>
    <row r="550" spans="1:9" s="200" customFormat="1" ht="21.2" customHeight="1" x14ac:dyDescent="0.25">
      <c r="A550" s="458" t="s">
        <v>248</v>
      </c>
      <c r="B550" s="454" t="s">
        <v>1207</v>
      </c>
      <c r="C550" s="461" t="s">
        <v>264</v>
      </c>
      <c r="D550" s="461" t="s">
        <v>215</v>
      </c>
      <c r="E550" s="454" t="s">
        <v>249</v>
      </c>
      <c r="F550" s="2"/>
      <c r="G550" s="10">
        <f>G551</f>
        <v>45</v>
      </c>
      <c r="H550" s="10">
        <f t="shared" ref="H550" si="288">H551</f>
        <v>31.2</v>
      </c>
      <c r="I550" s="451">
        <f t="shared" si="270"/>
        <v>69.333333333333343</v>
      </c>
    </row>
    <row r="551" spans="1:9" s="200" customFormat="1" ht="19.5" customHeight="1" x14ac:dyDescent="0.25">
      <c r="A551" s="458" t="s">
        <v>820</v>
      </c>
      <c r="B551" s="454" t="s">
        <v>1207</v>
      </c>
      <c r="C551" s="461" t="s">
        <v>264</v>
      </c>
      <c r="D551" s="461" t="s">
        <v>215</v>
      </c>
      <c r="E551" s="454" t="s">
        <v>819</v>
      </c>
      <c r="F551" s="2"/>
      <c r="G551" s="10">
        <f>'Пр.4 ведом.21'!G311</f>
        <v>45</v>
      </c>
      <c r="H551" s="10">
        <f>'Пр.4 ведом.21'!H311</f>
        <v>31.2</v>
      </c>
      <c r="I551" s="451">
        <f t="shared" si="270"/>
        <v>69.333333333333343</v>
      </c>
    </row>
    <row r="552" spans="1:9" s="200" customFormat="1" ht="54" customHeight="1" x14ac:dyDescent="0.25">
      <c r="A552" s="45" t="s">
        <v>261</v>
      </c>
      <c r="B552" s="454" t="s">
        <v>1207</v>
      </c>
      <c r="C552" s="461" t="s">
        <v>264</v>
      </c>
      <c r="D552" s="461" t="s">
        <v>215</v>
      </c>
      <c r="E552" s="454" t="s">
        <v>819</v>
      </c>
      <c r="F552" s="2">
        <v>903</v>
      </c>
      <c r="G552" s="10">
        <f>G551</f>
        <v>45</v>
      </c>
      <c r="H552" s="10">
        <f t="shared" ref="H552" si="289">H551</f>
        <v>31.2</v>
      </c>
      <c r="I552" s="451">
        <f t="shared" si="270"/>
        <v>69.333333333333343</v>
      </c>
    </row>
    <row r="553" spans="1:9" s="200" customFormat="1" ht="31.7" customHeight="1" x14ac:dyDescent="0.25">
      <c r="A553" s="31" t="s">
        <v>816</v>
      </c>
      <c r="B553" s="454" t="s">
        <v>1208</v>
      </c>
      <c r="C553" s="461" t="s">
        <v>264</v>
      </c>
      <c r="D553" s="461" t="s">
        <v>215</v>
      </c>
      <c r="E553" s="454"/>
      <c r="F553" s="2"/>
      <c r="G553" s="10">
        <f>G554+G557</f>
        <v>290.5</v>
      </c>
      <c r="H553" s="10">
        <f t="shared" ref="H553" si="290">H554+H557</f>
        <v>290.47469999999998</v>
      </c>
      <c r="I553" s="451">
        <f t="shared" si="270"/>
        <v>99.991290877796899</v>
      </c>
    </row>
    <row r="554" spans="1:9" s="200" customFormat="1" ht="31.7" customHeight="1" x14ac:dyDescent="0.25">
      <c r="A554" s="458" t="s">
        <v>127</v>
      </c>
      <c r="B554" s="454" t="s">
        <v>1208</v>
      </c>
      <c r="C554" s="461" t="s">
        <v>264</v>
      </c>
      <c r="D554" s="461" t="s">
        <v>215</v>
      </c>
      <c r="E554" s="454" t="s">
        <v>128</v>
      </c>
      <c r="F554" s="2"/>
      <c r="G554" s="10">
        <f>G555</f>
        <v>290.5</v>
      </c>
      <c r="H554" s="10">
        <f t="shared" ref="H554" si="291">H555</f>
        <v>290.47469999999998</v>
      </c>
      <c r="I554" s="451">
        <f t="shared" si="270"/>
        <v>99.991290877796899</v>
      </c>
    </row>
    <row r="555" spans="1:9" s="200" customFormat="1" ht="21.2" customHeight="1" x14ac:dyDescent="0.25">
      <c r="A555" s="46" t="s">
        <v>342</v>
      </c>
      <c r="B555" s="454" t="s">
        <v>1208</v>
      </c>
      <c r="C555" s="461" t="s">
        <v>264</v>
      </c>
      <c r="D555" s="461" t="s">
        <v>215</v>
      </c>
      <c r="E555" s="454" t="s">
        <v>209</v>
      </c>
      <c r="F555" s="2"/>
      <c r="G555" s="10">
        <f>'Пр.4 ведом.21'!G314</f>
        <v>290.5</v>
      </c>
      <c r="H555" s="10">
        <f>'Пр.4 ведом.21'!H314</f>
        <v>290.47469999999998</v>
      </c>
      <c r="I555" s="451">
        <f t="shared" si="270"/>
        <v>99.991290877796899</v>
      </c>
    </row>
    <row r="556" spans="1:9" s="200" customFormat="1" ht="52.5" customHeight="1" x14ac:dyDescent="0.25">
      <c r="A556" s="45" t="s">
        <v>261</v>
      </c>
      <c r="B556" s="454" t="s">
        <v>1208</v>
      </c>
      <c r="C556" s="461" t="s">
        <v>264</v>
      </c>
      <c r="D556" s="461" t="s">
        <v>215</v>
      </c>
      <c r="E556" s="454" t="s">
        <v>209</v>
      </c>
      <c r="F556" s="2">
        <v>903</v>
      </c>
      <c r="G556" s="10">
        <f>G555</f>
        <v>290.5</v>
      </c>
      <c r="H556" s="10">
        <f t="shared" ref="H556" si="292">H555</f>
        <v>290.47469999999998</v>
      </c>
      <c r="I556" s="451">
        <f t="shared" si="270"/>
        <v>99.991290877796899</v>
      </c>
    </row>
    <row r="557" spans="1:9" s="200" customFormat="1" ht="31.7" hidden="1" customHeight="1" x14ac:dyDescent="0.25">
      <c r="A557" s="458" t="s">
        <v>131</v>
      </c>
      <c r="B557" s="454" t="s">
        <v>1208</v>
      </c>
      <c r="C557" s="461" t="s">
        <v>264</v>
      </c>
      <c r="D557" s="461" t="s">
        <v>215</v>
      </c>
      <c r="E557" s="454" t="s">
        <v>132</v>
      </c>
      <c r="F557" s="2"/>
      <c r="G557" s="10">
        <f>G558</f>
        <v>0</v>
      </c>
      <c r="H557" s="10">
        <f t="shared" ref="H557" si="293">H558</f>
        <v>0</v>
      </c>
      <c r="I557" s="451" t="e">
        <f t="shared" si="270"/>
        <v>#DIV/0!</v>
      </c>
    </row>
    <row r="558" spans="1:9" s="200" customFormat="1" ht="31.7" hidden="1" customHeight="1" x14ac:dyDescent="0.25">
      <c r="A558" s="458" t="s">
        <v>133</v>
      </c>
      <c r="B558" s="454" t="s">
        <v>1208</v>
      </c>
      <c r="C558" s="461" t="s">
        <v>264</v>
      </c>
      <c r="D558" s="461" t="s">
        <v>215</v>
      </c>
      <c r="E558" s="454" t="s">
        <v>134</v>
      </c>
      <c r="F558" s="2"/>
      <c r="G558" s="10">
        <f>'Пр.4 ведом.21'!G316</f>
        <v>0</v>
      </c>
      <c r="H558" s="10">
        <f>'Пр.4 ведом.21'!H316</f>
        <v>0</v>
      </c>
      <c r="I558" s="451" t="e">
        <f t="shared" si="270"/>
        <v>#DIV/0!</v>
      </c>
    </row>
    <row r="559" spans="1:9" s="200" customFormat="1" ht="55.5" hidden="1" customHeight="1" x14ac:dyDescent="0.25">
      <c r="A559" s="45" t="s">
        <v>261</v>
      </c>
      <c r="B559" s="454" t="s">
        <v>1208</v>
      </c>
      <c r="C559" s="461" t="s">
        <v>264</v>
      </c>
      <c r="D559" s="461" t="s">
        <v>215</v>
      </c>
      <c r="E559" s="454" t="s">
        <v>134</v>
      </c>
      <c r="F559" s="2">
        <v>903</v>
      </c>
      <c r="G559" s="10">
        <f>G558</f>
        <v>0</v>
      </c>
      <c r="H559" s="10">
        <f t="shared" ref="H559" si="294">H558</f>
        <v>0</v>
      </c>
      <c r="I559" s="451" t="e">
        <f t="shared" si="270"/>
        <v>#DIV/0!</v>
      </c>
    </row>
    <row r="560" spans="1:9" s="200" customFormat="1" ht="16.5" customHeight="1" x14ac:dyDescent="0.25">
      <c r="A560" s="73" t="s">
        <v>298</v>
      </c>
      <c r="B560" s="454" t="s">
        <v>1206</v>
      </c>
      <c r="C560" s="461" t="s">
        <v>299</v>
      </c>
      <c r="D560" s="73"/>
      <c r="E560" s="73"/>
      <c r="F560" s="2"/>
      <c r="G560" s="10">
        <f>G561</f>
        <v>632.1</v>
      </c>
      <c r="H560" s="10">
        <f t="shared" ref="H560" si="295">H561</f>
        <v>554.12099999999998</v>
      </c>
      <c r="I560" s="451">
        <f t="shared" si="270"/>
        <v>87.663502610346455</v>
      </c>
    </row>
    <row r="561" spans="1:9" s="200" customFormat="1" ht="16.5" customHeight="1" x14ac:dyDescent="0.25">
      <c r="A561" s="73" t="s">
        <v>300</v>
      </c>
      <c r="B561" s="454" t="s">
        <v>1206</v>
      </c>
      <c r="C561" s="461" t="s">
        <v>299</v>
      </c>
      <c r="D561" s="461" t="s">
        <v>118</v>
      </c>
      <c r="E561" s="73"/>
      <c r="F561" s="2"/>
      <c r="G561" s="10">
        <f>G562+G566</f>
        <v>632.1</v>
      </c>
      <c r="H561" s="10">
        <f t="shared" ref="H561" si="296">H562+H566</f>
        <v>554.12099999999998</v>
      </c>
      <c r="I561" s="451">
        <f t="shared" si="270"/>
        <v>87.663502610346455</v>
      </c>
    </row>
    <row r="562" spans="1:9" s="200" customFormat="1" ht="41.25" customHeight="1" x14ac:dyDescent="0.25">
      <c r="A562" s="31" t="s">
        <v>816</v>
      </c>
      <c r="B562" s="454" t="s">
        <v>1208</v>
      </c>
      <c r="C562" s="461" t="s">
        <v>299</v>
      </c>
      <c r="D562" s="461" t="s">
        <v>118</v>
      </c>
      <c r="E562" s="461"/>
      <c r="F562" s="2"/>
      <c r="G562" s="10">
        <f>G563</f>
        <v>543.30000000000007</v>
      </c>
      <c r="H562" s="10">
        <f t="shared" ref="H562:H563" si="297">H563</f>
        <v>465.32100000000003</v>
      </c>
      <c r="I562" s="451">
        <f t="shared" si="270"/>
        <v>85.647156267255653</v>
      </c>
    </row>
    <row r="563" spans="1:9" s="200" customFormat="1" ht="83.25" customHeight="1" x14ac:dyDescent="0.25">
      <c r="A563" s="458" t="s">
        <v>127</v>
      </c>
      <c r="B563" s="454" t="s">
        <v>1208</v>
      </c>
      <c r="C563" s="461" t="s">
        <v>299</v>
      </c>
      <c r="D563" s="461" t="s">
        <v>118</v>
      </c>
      <c r="E563" s="461" t="s">
        <v>128</v>
      </c>
      <c r="F563" s="2"/>
      <c r="G563" s="10">
        <f>G564</f>
        <v>543.30000000000007</v>
      </c>
      <c r="H563" s="10">
        <f t="shared" si="297"/>
        <v>465.32100000000003</v>
      </c>
      <c r="I563" s="451">
        <f t="shared" si="270"/>
        <v>85.647156267255653</v>
      </c>
    </row>
    <row r="564" spans="1:9" s="200" customFormat="1" ht="15.75" customHeight="1" x14ac:dyDescent="0.25">
      <c r="A564" s="458" t="s">
        <v>208</v>
      </c>
      <c r="B564" s="454" t="s">
        <v>1208</v>
      </c>
      <c r="C564" s="461" t="s">
        <v>299</v>
      </c>
      <c r="D564" s="461" t="s">
        <v>118</v>
      </c>
      <c r="E564" s="461" t="s">
        <v>209</v>
      </c>
      <c r="F564" s="2"/>
      <c r="G564" s="10">
        <f>'Пр.3 Рд,пр, ЦС,ВР 21'!F809</f>
        <v>543.30000000000007</v>
      </c>
      <c r="H564" s="10">
        <f>'Пр.3 Рд,пр, ЦС,ВР 21'!G809</f>
        <v>465.32100000000003</v>
      </c>
      <c r="I564" s="451">
        <f t="shared" si="270"/>
        <v>85.647156267255653</v>
      </c>
    </row>
    <row r="565" spans="1:9" s="200" customFormat="1" ht="40.15" customHeight="1" x14ac:dyDescent="0.25">
      <c r="A565" s="45" t="s">
        <v>261</v>
      </c>
      <c r="B565" s="454" t="s">
        <v>1208</v>
      </c>
      <c r="C565" s="461" t="s">
        <v>299</v>
      </c>
      <c r="D565" s="461" t="s">
        <v>118</v>
      </c>
      <c r="E565" s="461" t="s">
        <v>209</v>
      </c>
      <c r="F565" s="2">
        <v>903</v>
      </c>
      <c r="G565" s="10">
        <f>G564</f>
        <v>543.30000000000007</v>
      </c>
      <c r="H565" s="10">
        <f t="shared" ref="H565" si="298">H564</f>
        <v>465.32100000000003</v>
      </c>
      <c r="I565" s="451">
        <f t="shared" si="270"/>
        <v>85.647156267255653</v>
      </c>
    </row>
    <row r="566" spans="1:9" s="200" customFormat="1" ht="40.700000000000003" customHeight="1" x14ac:dyDescent="0.25">
      <c r="A566" s="458" t="s">
        <v>131</v>
      </c>
      <c r="B566" s="454" t="s">
        <v>1208</v>
      </c>
      <c r="C566" s="461" t="s">
        <v>299</v>
      </c>
      <c r="D566" s="461" t="s">
        <v>118</v>
      </c>
      <c r="E566" s="461" t="s">
        <v>132</v>
      </c>
      <c r="F566" s="2"/>
      <c r="G566" s="10">
        <f>G567</f>
        <v>88.8</v>
      </c>
      <c r="H566" s="10">
        <f t="shared" ref="H566" si="299">H567</f>
        <v>88.8</v>
      </c>
      <c r="I566" s="451">
        <f t="shared" si="270"/>
        <v>100</v>
      </c>
    </row>
    <row r="567" spans="1:9" s="200" customFormat="1" ht="40.700000000000003" customHeight="1" x14ac:dyDescent="0.25">
      <c r="A567" s="458" t="s">
        <v>133</v>
      </c>
      <c r="B567" s="454" t="s">
        <v>1208</v>
      </c>
      <c r="C567" s="461" t="s">
        <v>299</v>
      </c>
      <c r="D567" s="461" t="s">
        <v>118</v>
      </c>
      <c r="E567" s="461" t="s">
        <v>134</v>
      </c>
      <c r="F567" s="2"/>
      <c r="G567" s="10">
        <f>'Пр.3 Рд,пр, ЦС,ВР 21'!F811</f>
        <v>88.8</v>
      </c>
      <c r="H567" s="10">
        <f>'Пр.3 Рд,пр, ЦС,ВР 21'!G811</f>
        <v>88.8</v>
      </c>
      <c r="I567" s="451">
        <f t="shared" si="270"/>
        <v>100</v>
      </c>
    </row>
    <row r="568" spans="1:9" s="200" customFormat="1" ht="46.5" customHeight="1" x14ac:dyDescent="0.25">
      <c r="A568" s="45" t="s">
        <v>261</v>
      </c>
      <c r="B568" s="454" t="s">
        <v>1208</v>
      </c>
      <c r="C568" s="461" t="s">
        <v>299</v>
      </c>
      <c r="D568" s="461" t="s">
        <v>118</v>
      </c>
      <c r="E568" s="461" t="s">
        <v>134</v>
      </c>
      <c r="F568" s="2">
        <v>903</v>
      </c>
      <c r="G568" s="10">
        <f>G567</f>
        <v>88.8</v>
      </c>
      <c r="H568" s="10">
        <f t="shared" ref="H568" si="300">H567</f>
        <v>88.8</v>
      </c>
      <c r="I568" s="451">
        <f t="shared" si="270"/>
        <v>100</v>
      </c>
    </row>
    <row r="569" spans="1:9" s="200" customFormat="1" ht="35.450000000000003" customHeight="1" x14ac:dyDescent="0.25">
      <c r="A569" s="456" t="s">
        <v>947</v>
      </c>
      <c r="B569" s="457" t="s">
        <v>1209</v>
      </c>
      <c r="C569" s="7"/>
      <c r="D569" s="7"/>
      <c r="E569" s="7"/>
      <c r="F569" s="3"/>
      <c r="G569" s="59">
        <f>G578+G571+G582</f>
        <v>1612.4</v>
      </c>
      <c r="H569" s="59">
        <f t="shared" ref="H569" si="301">H578+H571+H582</f>
        <v>1429.222</v>
      </c>
      <c r="I569" s="450">
        <f t="shared" si="270"/>
        <v>88.63941949888364</v>
      </c>
    </row>
    <row r="570" spans="1:9" s="200" customFormat="1" ht="18" customHeight="1" x14ac:dyDescent="0.25">
      <c r="A570" s="458" t="s">
        <v>263</v>
      </c>
      <c r="B570" s="454" t="s">
        <v>1209</v>
      </c>
      <c r="C570" s="461" t="s">
        <v>264</v>
      </c>
      <c r="D570" s="461"/>
      <c r="E570" s="461"/>
      <c r="F570" s="2"/>
      <c r="G570" s="10">
        <f>G571</f>
        <v>315</v>
      </c>
      <c r="H570" s="10">
        <f t="shared" ref="H570:H573" si="302">H571</f>
        <v>223.983</v>
      </c>
      <c r="I570" s="451">
        <f t="shared" si="270"/>
        <v>71.105714285714285</v>
      </c>
    </row>
    <row r="571" spans="1:9" s="200" customFormat="1" ht="22.7" customHeight="1" x14ac:dyDescent="0.25">
      <c r="A571" s="458" t="s">
        <v>265</v>
      </c>
      <c r="B571" s="454" t="s">
        <v>1209</v>
      </c>
      <c r="C571" s="461" t="s">
        <v>264</v>
      </c>
      <c r="D571" s="461" t="s">
        <v>215</v>
      </c>
      <c r="E571" s="461"/>
      <c r="F571" s="2"/>
      <c r="G571" s="10">
        <f>G572</f>
        <v>315</v>
      </c>
      <c r="H571" s="10">
        <f t="shared" si="302"/>
        <v>223.983</v>
      </c>
      <c r="I571" s="451">
        <f t="shared" si="270"/>
        <v>71.105714285714285</v>
      </c>
    </row>
    <row r="572" spans="1:9" s="200" customFormat="1" ht="49.7" customHeight="1" x14ac:dyDescent="0.25">
      <c r="A572" s="458" t="s">
        <v>839</v>
      </c>
      <c r="B572" s="454" t="s">
        <v>1210</v>
      </c>
      <c r="C572" s="461" t="s">
        <v>264</v>
      </c>
      <c r="D572" s="461" t="s">
        <v>215</v>
      </c>
      <c r="E572" s="454"/>
      <c r="F572" s="2"/>
      <c r="G572" s="10">
        <f>G573</f>
        <v>315</v>
      </c>
      <c r="H572" s="10">
        <f t="shared" si="302"/>
        <v>223.983</v>
      </c>
      <c r="I572" s="451">
        <f t="shared" si="270"/>
        <v>71.105714285714285</v>
      </c>
    </row>
    <row r="573" spans="1:9" s="200" customFormat="1" ht="88.5" customHeight="1" x14ac:dyDescent="0.25">
      <c r="A573" s="458" t="s">
        <v>127</v>
      </c>
      <c r="B573" s="454" t="s">
        <v>1210</v>
      </c>
      <c r="C573" s="461" t="s">
        <v>264</v>
      </c>
      <c r="D573" s="461" t="s">
        <v>215</v>
      </c>
      <c r="E573" s="454" t="s">
        <v>128</v>
      </c>
      <c r="F573" s="2"/>
      <c r="G573" s="10">
        <f>G574</f>
        <v>315</v>
      </c>
      <c r="H573" s="10">
        <f t="shared" si="302"/>
        <v>223.983</v>
      </c>
      <c r="I573" s="451">
        <f t="shared" si="270"/>
        <v>71.105714285714285</v>
      </c>
    </row>
    <row r="574" spans="1:9" s="200" customFormat="1" ht="36.75" customHeight="1" x14ac:dyDescent="0.25">
      <c r="A574" s="458" t="s">
        <v>129</v>
      </c>
      <c r="B574" s="454" t="s">
        <v>1210</v>
      </c>
      <c r="C574" s="461" t="s">
        <v>264</v>
      </c>
      <c r="D574" s="461" t="s">
        <v>215</v>
      </c>
      <c r="E574" s="454" t="s">
        <v>209</v>
      </c>
      <c r="F574" s="2"/>
      <c r="G574" s="10">
        <f>'Пр.4 ведом.21'!G320</f>
        <v>315</v>
      </c>
      <c r="H574" s="10">
        <f>'Пр.4 ведом.21'!H320</f>
        <v>223.983</v>
      </c>
      <c r="I574" s="451">
        <f t="shared" si="270"/>
        <v>71.105714285714285</v>
      </c>
    </row>
    <row r="575" spans="1:9" s="200" customFormat="1" ht="58.7" customHeight="1" x14ac:dyDescent="0.25">
      <c r="A575" s="45" t="s">
        <v>261</v>
      </c>
      <c r="B575" s="454" t="s">
        <v>1210</v>
      </c>
      <c r="C575" s="461" t="s">
        <v>264</v>
      </c>
      <c r="D575" s="461" t="s">
        <v>215</v>
      </c>
      <c r="E575" s="454" t="s">
        <v>209</v>
      </c>
      <c r="F575" s="2">
        <v>903</v>
      </c>
      <c r="G575" s="10">
        <f>G574</f>
        <v>315</v>
      </c>
      <c r="H575" s="10">
        <f t="shared" ref="H575" si="303">H574</f>
        <v>223.983</v>
      </c>
      <c r="I575" s="451">
        <f t="shared" si="270"/>
        <v>71.105714285714285</v>
      </c>
    </row>
    <row r="576" spans="1:9" s="200" customFormat="1" ht="16.5" customHeight="1" x14ac:dyDescent="0.25">
      <c r="A576" s="73" t="s">
        <v>298</v>
      </c>
      <c r="B576" s="454" t="s">
        <v>1209</v>
      </c>
      <c r="C576" s="461" t="s">
        <v>299</v>
      </c>
      <c r="D576" s="73"/>
      <c r="E576" s="73"/>
      <c r="F576" s="2"/>
      <c r="G576" s="10">
        <f>G577</f>
        <v>1039.4000000000001</v>
      </c>
      <c r="H576" s="10">
        <f t="shared" ref="H576:H579" si="304">H577</f>
        <v>947.23900000000003</v>
      </c>
      <c r="I576" s="451">
        <f t="shared" si="270"/>
        <v>91.133249951895323</v>
      </c>
    </row>
    <row r="577" spans="1:10" s="200" customFormat="1" ht="18.75" customHeight="1" x14ac:dyDescent="0.25">
      <c r="A577" s="73" t="s">
        <v>300</v>
      </c>
      <c r="B577" s="454" t="s">
        <v>1209</v>
      </c>
      <c r="C577" s="461" t="s">
        <v>299</v>
      </c>
      <c r="D577" s="461" t="s">
        <v>118</v>
      </c>
      <c r="E577" s="73"/>
      <c r="F577" s="2"/>
      <c r="G577" s="10">
        <f>G578</f>
        <v>1039.4000000000001</v>
      </c>
      <c r="H577" s="10">
        <f t="shared" si="304"/>
        <v>947.23900000000003</v>
      </c>
      <c r="I577" s="451">
        <f t="shared" si="270"/>
        <v>91.133249951895323</v>
      </c>
    </row>
    <row r="578" spans="1:10" s="200" customFormat="1" ht="43.5" customHeight="1" x14ac:dyDescent="0.25">
      <c r="A578" s="458" t="s">
        <v>839</v>
      </c>
      <c r="B578" s="454" t="s">
        <v>1210</v>
      </c>
      <c r="C578" s="461" t="s">
        <v>299</v>
      </c>
      <c r="D578" s="461" t="s">
        <v>118</v>
      </c>
      <c r="E578" s="461"/>
      <c r="F578" s="2"/>
      <c r="G578" s="10">
        <f>G579</f>
        <v>1039.4000000000001</v>
      </c>
      <c r="H578" s="10">
        <f t="shared" si="304"/>
        <v>947.23900000000003</v>
      </c>
      <c r="I578" s="451">
        <f t="shared" si="270"/>
        <v>91.133249951895323</v>
      </c>
    </row>
    <row r="579" spans="1:10" s="200" customFormat="1" ht="81" customHeight="1" x14ac:dyDescent="0.25">
      <c r="A579" s="458" t="s">
        <v>127</v>
      </c>
      <c r="B579" s="454" t="s">
        <v>1210</v>
      </c>
      <c r="C579" s="461" t="s">
        <v>299</v>
      </c>
      <c r="D579" s="461" t="s">
        <v>118</v>
      </c>
      <c r="E579" s="461" t="s">
        <v>128</v>
      </c>
      <c r="F579" s="2"/>
      <c r="G579" s="10">
        <f>G580</f>
        <v>1039.4000000000001</v>
      </c>
      <c r="H579" s="10">
        <f t="shared" si="304"/>
        <v>947.23900000000003</v>
      </c>
      <c r="I579" s="451">
        <f t="shared" si="270"/>
        <v>91.133249951895323</v>
      </c>
    </row>
    <row r="580" spans="1:10" s="200" customFormat="1" ht="38.25" customHeight="1" x14ac:dyDescent="0.25">
      <c r="A580" s="458" t="s">
        <v>129</v>
      </c>
      <c r="B580" s="454" t="s">
        <v>1210</v>
      </c>
      <c r="C580" s="461" t="s">
        <v>299</v>
      </c>
      <c r="D580" s="461" t="s">
        <v>118</v>
      </c>
      <c r="E580" s="461" t="s">
        <v>209</v>
      </c>
      <c r="F580" s="2"/>
      <c r="G580" s="10">
        <f>'Пр.3 Рд,пр, ЦС,ВР 21'!F815</f>
        <v>1039.4000000000001</v>
      </c>
      <c r="H580" s="10">
        <f>'Пр.3 Рд,пр, ЦС,ВР 21'!G815</f>
        <v>947.23900000000003</v>
      </c>
      <c r="I580" s="451">
        <f t="shared" si="270"/>
        <v>91.133249951895323</v>
      </c>
    </row>
    <row r="581" spans="1:10" s="200" customFormat="1" ht="47.25" customHeight="1" x14ac:dyDescent="0.25">
      <c r="A581" s="45" t="s">
        <v>261</v>
      </c>
      <c r="B581" s="454" t="s">
        <v>1210</v>
      </c>
      <c r="C581" s="461" t="s">
        <v>299</v>
      </c>
      <c r="D581" s="461" t="s">
        <v>118</v>
      </c>
      <c r="E581" s="461" t="s">
        <v>209</v>
      </c>
      <c r="F581" s="2">
        <v>903</v>
      </c>
      <c r="G581" s="10">
        <f>G580</f>
        <v>1039.4000000000001</v>
      </c>
      <c r="H581" s="10">
        <f t="shared" ref="H581" si="305">H580</f>
        <v>947.23900000000003</v>
      </c>
      <c r="I581" s="451">
        <f t="shared" si="270"/>
        <v>91.133249951895323</v>
      </c>
    </row>
    <row r="582" spans="1:10" s="200" customFormat="1" ht="16.5" customHeight="1" x14ac:dyDescent="0.25">
      <c r="A582" s="68" t="s">
        <v>582</v>
      </c>
      <c r="B582" s="454" t="s">
        <v>1209</v>
      </c>
      <c r="C582" s="461" t="s">
        <v>238</v>
      </c>
      <c r="D582" s="73"/>
      <c r="E582" s="73"/>
      <c r="F582" s="2"/>
      <c r="G582" s="10">
        <f>G583</f>
        <v>258</v>
      </c>
      <c r="H582" s="10">
        <f t="shared" ref="H582:H585" si="306">H583</f>
        <v>258</v>
      </c>
      <c r="I582" s="451">
        <f t="shared" si="270"/>
        <v>100</v>
      </c>
    </row>
    <row r="583" spans="1:10" s="200" customFormat="1" ht="18" customHeight="1" x14ac:dyDescent="0.25">
      <c r="A583" s="458" t="s">
        <v>583</v>
      </c>
      <c r="B583" s="454" t="s">
        <v>1209</v>
      </c>
      <c r="C583" s="461" t="s">
        <v>238</v>
      </c>
      <c r="D583" s="461" t="s">
        <v>213</v>
      </c>
      <c r="E583" s="73"/>
      <c r="F583" s="2"/>
      <c r="G583" s="10">
        <f>G584</f>
        <v>258</v>
      </c>
      <c r="H583" s="10">
        <f t="shared" si="306"/>
        <v>258</v>
      </c>
      <c r="I583" s="451">
        <f t="shared" si="270"/>
        <v>100</v>
      </c>
    </row>
    <row r="584" spans="1:10" s="200" customFormat="1" ht="47.25" customHeight="1" x14ac:dyDescent="0.25">
      <c r="A584" s="458" t="s">
        <v>839</v>
      </c>
      <c r="B584" s="454" t="s">
        <v>1210</v>
      </c>
      <c r="C584" s="461" t="s">
        <v>238</v>
      </c>
      <c r="D584" s="461" t="s">
        <v>213</v>
      </c>
      <c r="E584" s="461"/>
      <c r="F584" s="2"/>
      <c r="G584" s="10">
        <f>G585</f>
        <v>258</v>
      </c>
      <c r="H584" s="10">
        <f t="shared" si="306"/>
        <v>258</v>
      </c>
      <c r="I584" s="451">
        <f t="shared" si="270"/>
        <v>100</v>
      </c>
    </row>
    <row r="585" spans="1:10" s="200" customFormat="1" ht="47.25" customHeight="1" x14ac:dyDescent="0.25">
      <c r="A585" s="458" t="s">
        <v>127</v>
      </c>
      <c r="B585" s="454" t="s">
        <v>1210</v>
      </c>
      <c r="C585" s="461" t="s">
        <v>238</v>
      </c>
      <c r="D585" s="461" t="s">
        <v>213</v>
      </c>
      <c r="E585" s="461" t="s">
        <v>128</v>
      </c>
      <c r="F585" s="2"/>
      <c r="G585" s="10">
        <f>G586</f>
        <v>258</v>
      </c>
      <c r="H585" s="10">
        <f t="shared" si="306"/>
        <v>258</v>
      </c>
      <c r="I585" s="451">
        <f t="shared" si="270"/>
        <v>100</v>
      </c>
    </row>
    <row r="586" spans="1:10" s="200" customFormat="1" ht="47.25" customHeight="1" x14ac:dyDescent="0.25">
      <c r="A586" s="458" t="s">
        <v>129</v>
      </c>
      <c r="B586" s="454" t="s">
        <v>1210</v>
      </c>
      <c r="C586" s="461" t="s">
        <v>238</v>
      </c>
      <c r="D586" s="461" t="s">
        <v>213</v>
      </c>
      <c r="E586" s="461" t="s">
        <v>209</v>
      </c>
      <c r="F586" s="2"/>
      <c r="G586" s="10">
        <f>'Пр.4 ведом.21'!G504</f>
        <v>258</v>
      </c>
      <c r="H586" s="10">
        <f>'Пр.4 ведом.21'!H504</f>
        <v>258</v>
      </c>
      <c r="I586" s="451">
        <f t="shared" si="270"/>
        <v>100</v>
      </c>
    </row>
    <row r="587" spans="1:10" s="200" customFormat="1" ht="47.25" customHeight="1" x14ac:dyDescent="0.25">
      <c r="A587" s="45" t="s">
        <v>261</v>
      </c>
      <c r="B587" s="454" t="s">
        <v>1210</v>
      </c>
      <c r="C587" s="461" t="s">
        <v>238</v>
      </c>
      <c r="D587" s="461" t="s">
        <v>213</v>
      </c>
      <c r="E587" s="461" t="s">
        <v>209</v>
      </c>
      <c r="F587" s="2">
        <v>903</v>
      </c>
      <c r="G587" s="10">
        <f>G586</f>
        <v>258</v>
      </c>
      <c r="H587" s="10">
        <f t="shared" ref="H587" si="307">H586</f>
        <v>258</v>
      </c>
      <c r="I587" s="451">
        <f t="shared" ref="I587:I650" si="308">H587/G587*100</f>
        <v>100</v>
      </c>
    </row>
    <row r="588" spans="1:10" s="200" customFormat="1" ht="48.2" customHeight="1" x14ac:dyDescent="0.25">
      <c r="A588" s="213" t="s">
        <v>900</v>
      </c>
      <c r="B588" s="457" t="s">
        <v>1211</v>
      </c>
      <c r="C588" s="7"/>
      <c r="D588" s="7"/>
      <c r="E588" s="7"/>
      <c r="F588" s="3"/>
      <c r="G588" s="59">
        <f>G589+G604</f>
        <v>3517.4</v>
      </c>
      <c r="H588" s="59">
        <f t="shared" ref="H588" si="309">H589+H604</f>
        <v>1766.5163</v>
      </c>
      <c r="I588" s="450">
        <f t="shared" si="308"/>
        <v>50.222218115653604</v>
      </c>
    </row>
    <row r="589" spans="1:10" s="200" customFormat="1" ht="21.75" customHeight="1" x14ac:dyDescent="0.25">
      <c r="A589" s="458" t="s">
        <v>263</v>
      </c>
      <c r="B589" s="454" t="s">
        <v>1211</v>
      </c>
      <c r="C589" s="461" t="s">
        <v>264</v>
      </c>
      <c r="D589" s="461"/>
      <c r="E589" s="461"/>
      <c r="F589" s="2"/>
      <c r="G589" s="10">
        <f>G590</f>
        <v>1075.4000000000001</v>
      </c>
      <c r="H589" s="10">
        <f t="shared" ref="H589" si="310">H590</f>
        <v>435.22829999999999</v>
      </c>
      <c r="I589" s="451">
        <f t="shared" si="308"/>
        <v>40.47129440208294</v>
      </c>
    </row>
    <row r="590" spans="1:10" s="200" customFormat="1" ht="18" customHeight="1" x14ac:dyDescent="0.25">
      <c r="A590" s="458" t="s">
        <v>265</v>
      </c>
      <c r="B590" s="454" t="s">
        <v>1211</v>
      </c>
      <c r="C590" s="461" t="s">
        <v>264</v>
      </c>
      <c r="D590" s="461" t="s">
        <v>215</v>
      </c>
      <c r="E590" s="461"/>
      <c r="F590" s="2"/>
      <c r="G590" s="10">
        <f>G595+G599+G591</f>
        <v>1075.4000000000001</v>
      </c>
      <c r="H590" s="10">
        <f t="shared" ref="H590" si="311">H595+H599+H591</f>
        <v>435.22829999999999</v>
      </c>
      <c r="I590" s="451">
        <f t="shared" si="308"/>
        <v>40.47129440208294</v>
      </c>
    </row>
    <row r="591" spans="1:10" s="200" customFormat="1" ht="97.15" customHeight="1" x14ac:dyDescent="0.25">
      <c r="A591" s="31" t="s">
        <v>293</v>
      </c>
      <c r="B591" s="454" t="s">
        <v>1406</v>
      </c>
      <c r="C591" s="461" t="s">
        <v>264</v>
      </c>
      <c r="D591" s="461" t="s">
        <v>215</v>
      </c>
      <c r="E591" s="454"/>
      <c r="F591" s="2"/>
      <c r="G591" s="10">
        <f>G592</f>
        <v>671</v>
      </c>
      <c r="H591" s="10">
        <f t="shared" ref="H591:H592" si="312">H592</f>
        <v>248.4246</v>
      </c>
      <c r="I591" s="451">
        <f t="shared" si="308"/>
        <v>37.023040238450072</v>
      </c>
      <c r="J591" s="227">
        <f>G591+G605</f>
        <v>2771.6</v>
      </c>
    </row>
    <row r="592" spans="1:10" s="200" customFormat="1" ht="84.2" customHeight="1" x14ac:dyDescent="0.25">
      <c r="A592" s="458" t="s">
        <v>127</v>
      </c>
      <c r="B592" s="454" t="s">
        <v>1406</v>
      </c>
      <c r="C592" s="461" t="s">
        <v>264</v>
      </c>
      <c r="D592" s="461" t="s">
        <v>215</v>
      </c>
      <c r="E592" s="454" t="s">
        <v>128</v>
      </c>
      <c r="F592" s="2"/>
      <c r="G592" s="10">
        <f>G593</f>
        <v>671</v>
      </c>
      <c r="H592" s="10">
        <f t="shared" si="312"/>
        <v>248.4246</v>
      </c>
      <c r="I592" s="451">
        <f t="shared" si="308"/>
        <v>37.023040238450072</v>
      </c>
    </row>
    <row r="593" spans="1:9" s="200" customFormat="1" ht="15" customHeight="1" x14ac:dyDescent="0.25">
      <c r="A593" s="46" t="s">
        <v>342</v>
      </c>
      <c r="B593" s="454" t="s">
        <v>1406</v>
      </c>
      <c r="C593" s="461" t="s">
        <v>264</v>
      </c>
      <c r="D593" s="461" t="s">
        <v>215</v>
      </c>
      <c r="E593" s="454" t="s">
        <v>209</v>
      </c>
      <c r="F593" s="2"/>
      <c r="G593" s="10">
        <f>'Пр.4 ведом.21'!G324</f>
        <v>671</v>
      </c>
      <c r="H593" s="10">
        <f>'Пр.4 ведом.21'!H324</f>
        <v>248.4246</v>
      </c>
      <c r="I593" s="451">
        <f t="shared" si="308"/>
        <v>37.023040238450072</v>
      </c>
    </row>
    <row r="594" spans="1:9" s="200" customFormat="1" ht="57.75" customHeight="1" x14ac:dyDescent="0.25">
      <c r="A594" s="45" t="s">
        <v>261</v>
      </c>
      <c r="B594" s="454" t="s">
        <v>1406</v>
      </c>
      <c r="C594" s="461" t="s">
        <v>264</v>
      </c>
      <c r="D594" s="461" t="s">
        <v>215</v>
      </c>
      <c r="E594" s="454" t="s">
        <v>209</v>
      </c>
      <c r="F594" s="2">
        <v>903</v>
      </c>
      <c r="G594" s="10">
        <f>G593</f>
        <v>671</v>
      </c>
      <c r="H594" s="10">
        <f t="shared" ref="H594" si="313">H593</f>
        <v>248.4246</v>
      </c>
      <c r="I594" s="451">
        <f t="shared" si="308"/>
        <v>37.023040238450072</v>
      </c>
    </row>
    <row r="595" spans="1:9" s="200" customFormat="1" ht="74.25" customHeight="1" x14ac:dyDescent="0.25">
      <c r="A595" s="31" t="s">
        <v>289</v>
      </c>
      <c r="B595" s="454" t="s">
        <v>1212</v>
      </c>
      <c r="C595" s="461" t="s">
        <v>264</v>
      </c>
      <c r="D595" s="461" t="s">
        <v>215</v>
      </c>
      <c r="E595" s="454"/>
      <c r="F595" s="2"/>
      <c r="G595" s="10">
        <f>G596</f>
        <v>106</v>
      </c>
      <c r="H595" s="10">
        <f t="shared" ref="H595:H596" si="314">H596</f>
        <v>52.453699999999998</v>
      </c>
      <c r="I595" s="451">
        <f t="shared" si="308"/>
        <v>49.484622641509432</v>
      </c>
    </row>
    <row r="596" spans="1:9" s="200" customFormat="1" ht="79.5" customHeight="1" x14ac:dyDescent="0.25">
      <c r="A596" s="458" t="s">
        <v>127</v>
      </c>
      <c r="B596" s="454" t="s">
        <v>1212</v>
      </c>
      <c r="C596" s="461" t="s">
        <v>264</v>
      </c>
      <c r="D596" s="461" t="s">
        <v>215</v>
      </c>
      <c r="E596" s="454" t="s">
        <v>128</v>
      </c>
      <c r="F596" s="2"/>
      <c r="G596" s="10">
        <f>G597</f>
        <v>106</v>
      </c>
      <c r="H596" s="10">
        <f t="shared" si="314"/>
        <v>52.453699999999998</v>
      </c>
      <c r="I596" s="451">
        <f t="shared" si="308"/>
        <v>49.484622641509432</v>
      </c>
    </row>
    <row r="597" spans="1:9" s="200" customFormat="1" ht="20.25" customHeight="1" x14ac:dyDescent="0.25">
      <c r="A597" s="46" t="s">
        <v>342</v>
      </c>
      <c r="B597" s="454" t="s">
        <v>1212</v>
      </c>
      <c r="C597" s="461" t="s">
        <v>264</v>
      </c>
      <c r="D597" s="461" t="s">
        <v>215</v>
      </c>
      <c r="E597" s="454" t="s">
        <v>209</v>
      </c>
      <c r="F597" s="2"/>
      <c r="G597" s="10">
        <f>'Пр.4 ведом.21'!G327</f>
        <v>106</v>
      </c>
      <c r="H597" s="10">
        <f>'Пр.4 ведом.21'!H327</f>
        <v>52.453699999999998</v>
      </c>
      <c r="I597" s="451">
        <f t="shared" si="308"/>
        <v>49.484622641509432</v>
      </c>
    </row>
    <row r="598" spans="1:9" s="200" customFormat="1" ht="58.7" customHeight="1" x14ac:dyDescent="0.25">
      <c r="A598" s="45" t="s">
        <v>261</v>
      </c>
      <c r="B598" s="454" t="s">
        <v>1212</v>
      </c>
      <c r="C598" s="461" t="s">
        <v>264</v>
      </c>
      <c r="D598" s="461" t="s">
        <v>215</v>
      </c>
      <c r="E598" s="454" t="s">
        <v>209</v>
      </c>
      <c r="F598" s="2">
        <v>903</v>
      </c>
      <c r="G598" s="10">
        <f>G597</f>
        <v>106</v>
      </c>
      <c r="H598" s="10">
        <f t="shared" ref="H598" si="315">H597</f>
        <v>52.453699999999998</v>
      </c>
      <c r="I598" s="451">
        <f t="shared" si="308"/>
        <v>49.484622641509432</v>
      </c>
    </row>
    <row r="599" spans="1:9" s="200" customFormat="1" ht="69.75" customHeight="1" x14ac:dyDescent="0.25">
      <c r="A599" s="31" t="s">
        <v>291</v>
      </c>
      <c r="B599" s="454" t="s">
        <v>1213</v>
      </c>
      <c r="C599" s="461" t="s">
        <v>264</v>
      </c>
      <c r="D599" s="461" t="s">
        <v>215</v>
      </c>
      <c r="E599" s="454"/>
      <c r="F599" s="2"/>
      <c r="G599" s="10">
        <f>G600</f>
        <v>298.40000000000003</v>
      </c>
      <c r="H599" s="10">
        <f t="shared" ref="H599:H600" si="316">H600</f>
        <v>134.35</v>
      </c>
      <c r="I599" s="451">
        <f t="shared" si="308"/>
        <v>45.023458445040212</v>
      </c>
    </row>
    <row r="600" spans="1:9" s="200" customFormat="1" ht="86.25" customHeight="1" x14ac:dyDescent="0.25">
      <c r="A600" s="458" t="s">
        <v>127</v>
      </c>
      <c r="B600" s="454" t="s">
        <v>1213</v>
      </c>
      <c r="C600" s="461" t="s">
        <v>264</v>
      </c>
      <c r="D600" s="461" t="s">
        <v>215</v>
      </c>
      <c r="E600" s="454" t="s">
        <v>128</v>
      </c>
      <c r="F600" s="2"/>
      <c r="G600" s="10">
        <f>G601</f>
        <v>298.40000000000003</v>
      </c>
      <c r="H600" s="10">
        <f t="shared" si="316"/>
        <v>134.35</v>
      </c>
      <c r="I600" s="451">
        <f t="shared" si="308"/>
        <v>45.023458445040212</v>
      </c>
    </row>
    <row r="601" spans="1:9" s="200" customFormat="1" ht="23.25" customHeight="1" x14ac:dyDescent="0.25">
      <c r="A601" s="46" t="s">
        <v>342</v>
      </c>
      <c r="B601" s="454" t="s">
        <v>1213</v>
      </c>
      <c r="C601" s="461" t="s">
        <v>264</v>
      </c>
      <c r="D601" s="461" t="s">
        <v>215</v>
      </c>
      <c r="E601" s="454" t="s">
        <v>209</v>
      </c>
      <c r="F601" s="2"/>
      <c r="G601" s="10">
        <f>'Пр.4 ведом.21'!G330</f>
        <v>298.40000000000003</v>
      </c>
      <c r="H601" s="10">
        <f>'Пр.4 ведом.21'!H330</f>
        <v>134.35</v>
      </c>
      <c r="I601" s="451">
        <f t="shared" si="308"/>
        <v>45.023458445040212</v>
      </c>
    </row>
    <row r="602" spans="1:9" s="200" customFormat="1" ht="55.5" customHeight="1" x14ac:dyDescent="0.25">
      <c r="A602" s="45" t="s">
        <v>261</v>
      </c>
      <c r="B602" s="454" t="s">
        <v>1213</v>
      </c>
      <c r="C602" s="461" t="s">
        <v>264</v>
      </c>
      <c r="D602" s="461" t="s">
        <v>215</v>
      </c>
      <c r="E602" s="454" t="s">
        <v>209</v>
      </c>
      <c r="F602" s="2">
        <v>903</v>
      </c>
      <c r="G602" s="10">
        <f>G601</f>
        <v>298.40000000000003</v>
      </c>
      <c r="H602" s="10">
        <f t="shared" ref="H602" si="317">H601</f>
        <v>134.35</v>
      </c>
      <c r="I602" s="451">
        <f t="shared" si="308"/>
        <v>45.023458445040212</v>
      </c>
    </row>
    <row r="603" spans="1:9" s="200" customFormat="1" ht="17.45" customHeight="1" x14ac:dyDescent="0.25">
      <c r="A603" s="73" t="s">
        <v>298</v>
      </c>
      <c r="B603" s="454" t="s">
        <v>1211</v>
      </c>
      <c r="C603" s="461" t="s">
        <v>299</v>
      </c>
      <c r="D603" s="73"/>
      <c r="E603" s="73"/>
      <c r="F603" s="2"/>
      <c r="G603" s="10">
        <f>G604</f>
        <v>2442</v>
      </c>
      <c r="H603" s="10">
        <f t="shared" ref="H603" si="318">H604</f>
        <v>1331.288</v>
      </c>
      <c r="I603" s="451">
        <f t="shared" si="308"/>
        <v>54.51629811629811</v>
      </c>
    </row>
    <row r="604" spans="1:9" s="200" customFormat="1" ht="18" customHeight="1" x14ac:dyDescent="0.25">
      <c r="A604" s="73" t="s">
        <v>300</v>
      </c>
      <c r="B604" s="454" t="s">
        <v>1211</v>
      </c>
      <c r="C604" s="461" t="s">
        <v>299</v>
      </c>
      <c r="D604" s="461" t="s">
        <v>118</v>
      </c>
      <c r="E604" s="73"/>
      <c r="F604" s="2"/>
      <c r="G604" s="10">
        <f>G605+G609</f>
        <v>2442</v>
      </c>
      <c r="H604" s="10">
        <f t="shared" ref="H604" si="319">H605+H609</f>
        <v>1331.288</v>
      </c>
      <c r="I604" s="451">
        <f t="shared" si="308"/>
        <v>54.51629811629811</v>
      </c>
    </row>
    <row r="605" spans="1:9" s="200" customFormat="1" ht="103.9" customHeight="1" x14ac:dyDescent="0.25">
      <c r="A605" s="31" t="s">
        <v>293</v>
      </c>
      <c r="B605" s="454" t="s">
        <v>1406</v>
      </c>
      <c r="C605" s="461" t="s">
        <v>299</v>
      </c>
      <c r="D605" s="461" t="s">
        <v>118</v>
      </c>
      <c r="E605" s="461"/>
      <c r="F605" s="2"/>
      <c r="G605" s="10">
        <f>G606</f>
        <v>2100.6</v>
      </c>
      <c r="H605" s="10">
        <f t="shared" ref="H605:H606" si="320">H606</f>
        <v>1178.548</v>
      </c>
      <c r="I605" s="451">
        <f t="shared" si="308"/>
        <v>56.105303246691427</v>
      </c>
    </row>
    <row r="606" spans="1:9" s="200" customFormat="1" ht="79.5" customHeight="1" x14ac:dyDescent="0.25">
      <c r="A606" s="458" t="s">
        <v>127</v>
      </c>
      <c r="B606" s="454" t="s">
        <v>1406</v>
      </c>
      <c r="C606" s="461" t="s">
        <v>299</v>
      </c>
      <c r="D606" s="461" t="s">
        <v>118</v>
      </c>
      <c r="E606" s="461" t="s">
        <v>128</v>
      </c>
      <c r="F606" s="2"/>
      <c r="G606" s="10">
        <f>G607</f>
        <v>2100.6</v>
      </c>
      <c r="H606" s="10">
        <f t="shared" si="320"/>
        <v>1178.548</v>
      </c>
      <c r="I606" s="451">
        <f t="shared" si="308"/>
        <v>56.105303246691427</v>
      </c>
    </row>
    <row r="607" spans="1:9" s="200" customFormat="1" ht="19.149999999999999" customHeight="1" x14ac:dyDescent="0.25">
      <c r="A607" s="458" t="s">
        <v>208</v>
      </c>
      <c r="B607" s="454" t="s">
        <v>1406</v>
      </c>
      <c r="C607" s="461" t="s">
        <v>299</v>
      </c>
      <c r="D607" s="461" t="s">
        <v>118</v>
      </c>
      <c r="E607" s="461" t="s">
        <v>209</v>
      </c>
      <c r="F607" s="2"/>
      <c r="G607" s="10">
        <f>'Пр.3 Рд,пр, ЦС,ВР 21'!F819</f>
        <v>2100.6</v>
      </c>
      <c r="H607" s="10">
        <f>'Пр.3 Рд,пр, ЦС,ВР 21'!G819</f>
        <v>1178.548</v>
      </c>
      <c r="I607" s="451">
        <f t="shared" si="308"/>
        <v>56.105303246691427</v>
      </c>
    </row>
    <row r="608" spans="1:9" s="200" customFormat="1" ht="44.1" customHeight="1" x14ac:dyDescent="0.25">
      <c r="A608" s="45" t="s">
        <v>261</v>
      </c>
      <c r="B608" s="454" t="s">
        <v>1406</v>
      </c>
      <c r="C608" s="461" t="s">
        <v>299</v>
      </c>
      <c r="D608" s="461" t="s">
        <v>118</v>
      </c>
      <c r="E608" s="461" t="s">
        <v>209</v>
      </c>
      <c r="F608" s="2">
        <v>903</v>
      </c>
      <c r="G608" s="10">
        <f>G607</f>
        <v>2100.6</v>
      </c>
      <c r="H608" s="10">
        <f t="shared" ref="H608" si="321">H607</f>
        <v>1178.548</v>
      </c>
      <c r="I608" s="451">
        <f t="shared" si="308"/>
        <v>56.105303246691427</v>
      </c>
    </row>
    <row r="609" spans="1:9" s="200" customFormat="1" ht="70.5" customHeight="1" x14ac:dyDescent="0.25">
      <c r="A609" s="458" t="s">
        <v>331</v>
      </c>
      <c r="B609" s="454" t="s">
        <v>1292</v>
      </c>
      <c r="C609" s="454" t="s">
        <v>299</v>
      </c>
      <c r="D609" s="454" t="s">
        <v>118</v>
      </c>
      <c r="E609" s="454"/>
      <c r="F609" s="454"/>
      <c r="G609" s="10">
        <f>G610</f>
        <v>341.4</v>
      </c>
      <c r="H609" s="10">
        <f t="shared" ref="H609:H610" si="322">H610</f>
        <v>152.74</v>
      </c>
      <c r="I609" s="451">
        <f t="shared" si="308"/>
        <v>44.739308728763923</v>
      </c>
    </row>
    <row r="610" spans="1:9" s="200" customFormat="1" ht="82.5" customHeight="1" x14ac:dyDescent="0.25">
      <c r="A610" s="458" t="s">
        <v>127</v>
      </c>
      <c r="B610" s="454" t="s">
        <v>1292</v>
      </c>
      <c r="C610" s="454" t="s">
        <v>299</v>
      </c>
      <c r="D610" s="454" t="s">
        <v>118</v>
      </c>
      <c r="E610" s="454" t="s">
        <v>128</v>
      </c>
      <c r="F610" s="454"/>
      <c r="G610" s="10">
        <f>G611</f>
        <v>341.4</v>
      </c>
      <c r="H610" s="10">
        <f t="shared" si="322"/>
        <v>152.74</v>
      </c>
      <c r="I610" s="451">
        <f t="shared" si="308"/>
        <v>44.739308728763923</v>
      </c>
    </row>
    <row r="611" spans="1:9" s="200" customFormat="1" ht="21.75" customHeight="1" x14ac:dyDescent="0.25">
      <c r="A611" s="458" t="s">
        <v>208</v>
      </c>
      <c r="B611" s="454" t="s">
        <v>1292</v>
      </c>
      <c r="C611" s="454" t="s">
        <v>299</v>
      </c>
      <c r="D611" s="454" t="s">
        <v>118</v>
      </c>
      <c r="E611" s="454" t="s">
        <v>209</v>
      </c>
      <c r="F611" s="454"/>
      <c r="G611" s="10">
        <f>'Пр.4 ведом.21'!G396</f>
        <v>341.4</v>
      </c>
      <c r="H611" s="10">
        <f>'Пр.4 ведом.21'!H396</f>
        <v>152.74</v>
      </c>
      <c r="I611" s="451">
        <f t="shared" si="308"/>
        <v>44.739308728763923</v>
      </c>
    </row>
    <row r="612" spans="1:9" s="200" customFormat="1" ht="51" customHeight="1" x14ac:dyDescent="0.25">
      <c r="A612" s="45" t="s">
        <v>261</v>
      </c>
      <c r="B612" s="454" t="s">
        <v>1292</v>
      </c>
      <c r="C612" s="454" t="s">
        <v>299</v>
      </c>
      <c r="D612" s="454" t="s">
        <v>118</v>
      </c>
      <c r="E612" s="454" t="s">
        <v>209</v>
      </c>
      <c r="F612" s="454" t="s">
        <v>627</v>
      </c>
      <c r="G612" s="10">
        <f>G611</f>
        <v>341.4</v>
      </c>
      <c r="H612" s="10">
        <f t="shared" ref="H612" si="323">H611</f>
        <v>152.74</v>
      </c>
      <c r="I612" s="451">
        <f t="shared" si="308"/>
        <v>44.739308728763923</v>
      </c>
    </row>
    <row r="613" spans="1:9" s="200" customFormat="1" ht="36" customHeight="1" x14ac:dyDescent="0.25">
      <c r="A613" s="456" t="s">
        <v>902</v>
      </c>
      <c r="B613" s="457" t="s">
        <v>1216</v>
      </c>
      <c r="C613" s="461"/>
      <c r="D613" s="461"/>
      <c r="E613" s="461"/>
      <c r="F613" s="2"/>
      <c r="G613" s="59">
        <f>G614</f>
        <v>50</v>
      </c>
      <c r="H613" s="59">
        <f t="shared" ref="H613:H617" si="324">H614</f>
        <v>50</v>
      </c>
      <c r="I613" s="450">
        <f t="shared" si="308"/>
        <v>100</v>
      </c>
    </row>
    <row r="614" spans="1:9" s="200" customFormat="1" ht="20.100000000000001" customHeight="1" x14ac:dyDescent="0.25">
      <c r="A614" s="73" t="s">
        <v>298</v>
      </c>
      <c r="B614" s="454" t="s">
        <v>1216</v>
      </c>
      <c r="C614" s="461" t="s">
        <v>299</v>
      </c>
      <c r="D614" s="461"/>
      <c r="E614" s="461"/>
      <c r="F614" s="2"/>
      <c r="G614" s="10">
        <f>G615</f>
        <v>50</v>
      </c>
      <c r="H614" s="10">
        <f t="shared" si="324"/>
        <v>50</v>
      </c>
      <c r="I614" s="451">
        <f t="shared" si="308"/>
        <v>100</v>
      </c>
    </row>
    <row r="615" spans="1:9" s="200" customFormat="1" ht="20.100000000000001" customHeight="1" x14ac:dyDescent="0.25">
      <c r="A615" s="73" t="s">
        <v>300</v>
      </c>
      <c r="B615" s="454" t="s">
        <v>1216</v>
      </c>
      <c r="C615" s="461" t="s">
        <v>299</v>
      </c>
      <c r="D615" s="461" t="s">
        <v>118</v>
      </c>
      <c r="E615" s="461"/>
      <c r="F615" s="2"/>
      <c r="G615" s="10">
        <f>G616</f>
        <v>50</v>
      </c>
      <c r="H615" s="10">
        <f t="shared" si="324"/>
        <v>50</v>
      </c>
      <c r="I615" s="451">
        <f t="shared" si="308"/>
        <v>100</v>
      </c>
    </row>
    <row r="616" spans="1:9" s="200" customFormat="1" ht="35.450000000000003" customHeight="1" x14ac:dyDescent="0.25">
      <c r="A616" s="458" t="s">
        <v>821</v>
      </c>
      <c r="B616" s="454" t="s">
        <v>1217</v>
      </c>
      <c r="C616" s="461" t="s">
        <v>299</v>
      </c>
      <c r="D616" s="461" t="s">
        <v>118</v>
      </c>
      <c r="E616" s="461"/>
      <c r="F616" s="2"/>
      <c r="G616" s="10">
        <f>G617</f>
        <v>50</v>
      </c>
      <c r="H616" s="10">
        <f t="shared" si="324"/>
        <v>50</v>
      </c>
      <c r="I616" s="451">
        <f t="shared" si="308"/>
        <v>100</v>
      </c>
    </row>
    <row r="617" spans="1:9" s="200" customFormat="1" ht="36.75" customHeight="1" x14ac:dyDescent="0.25">
      <c r="A617" s="458" t="s">
        <v>131</v>
      </c>
      <c r="B617" s="454" t="s">
        <v>1217</v>
      </c>
      <c r="C617" s="461" t="s">
        <v>299</v>
      </c>
      <c r="D617" s="461" t="s">
        <v>118</v>
      </c>
      <c r="E617" s="461" t="s">
        <v>132</v>
      </c>
      <c r="F617" s="2"/>
      <c r="G617" s="10">
        <f>G618</f>
        <v>50</v>
      </c>
      <c r="H617" s="10">
        <f t="shared" si="324"/>
        <v>50</v>
      </c>
      <c r="I617" s="451">
        <f t="shared" si="308"/>
        <v>100</v>
      </c>
    </row>
    <row r="618" spans="1:9" s="200" customFormat="1" ht="33" customHeight="1" x14ac:dyDescent="0.25">
      <c r="A618" s="458" t="s">
        <v>133</v>
      </c>
      <c r="B618" s="454" t="s">
        <v>1217</v>
      </c>
      <c r="C618" s="461" t="s">
        <v>299</v>
      </c>
      <c r="D618" s="461" t="s">
        <v>118</v>
      </c>
      <c r="E618" s="461" t="s">
        <v>134</v>
      </c>
      <c r="F618" s="2"/>
      <c r="G618" s="10">
        <f>'Пр.4 ведом.21'!G400</f>
        <v>50</v>
      </c>
      <c r="H618" s="10">
        <f>'Пр.4 ведом.21'!H400</f>
        <v>50</v>
      </c>
      <c r="I618" s="451">
        <f t="shared" si="308"/>
        <v>100</v>
      </c>
    </row>
    <row r="619" spans="1:9" s="200" customFormat="1" ht="51" customHeight="1" x14ac:dyDescent="0.25">
      <c r="A619" s="45" t="s">
        <v>261</v>
      </c>
      <c r="B619" s="454" t="s">
        <v>1217</v>
      </c>
      <c r="C619" s="461" t="s">
        <v>299</v>
      </c>
      <c r="D619" s="461" t="s">
        <v>118</v>
      </c>
      <c r="E619" s="461" t="s">
        <v>134</v>
      </c>
      <c r="F619" s="2">
        <v>903</v>
      </c>
      <c r="G619" s="10">
        <f>G618</f>
        <v>50</v>
      </c>
      <c r="H619" s="10">
        <f t="shared" ref="H619" si="325">H618</f>
        <v>50</v>
      </c>
      <c r="I619" s="451">
        <f t="shared" si="308"/>
        <v>100</v>
      </c>
    </row>
    <row r="620" spans="1:9" s="200" customFormat="1" ht="39.200000000000003" customHeight="1" x14ac:dyDescent="0.25">
      <c r="A620" s="456" t="s">
        <v>1010</v>
      </c>
      <c r="B620" s="457" t="s">
        <v>1218</v>
      </c>
      <c r="C620" s="7"/>
      <c r="D620" s="7"/>
      <c r="E620" s="7"/>
      <c r="F620" s="3"/>
      <c r="G620" s="59">
        <f>G621</f>
        <v>68.7</v>
      </c>
      <c r="H620" s="59">
        <f t="shared" ref="H620" si="326">H621</f>
        <v>3.5</v>
      </c>
      <c r="I620" s="451">
        <f t="shared" si="308"/>
        <v>5.094614264919942</v>
      </c>
    </row>
    <row r="621" spans="1:9" s="200" customFormat="1" ht="20.100000000000001" customHeight="1" x14ac:dyDescent="0.25">
      <c r="A621" s="68" t="s">
        <v>298</v>
      </c>
      <c r="B621" s="454" t="s">
        <v>1218</v>
      </c>
      <c r="C621" s="461" t="s">
        <v>299</v>
      </c>
      <c r="D621" s="461"/>
      <c r="E621" s="461"/>
      <c r="F621" s="74"/>
      <c r="G621" s="10">
        <f t="shared" ref="G621:H624" si="327">G622</f>
        <v>68.7</v>
      </c>
      <c r="H621" s="10">
        <f t="shared" si="327"/>
        <v>3.5</v>
      </c>
      <c r="I621" s="451">
        <f t="shared" si="308"/>
        <v>5.094614264919942</v>
      </c>
    </row>
    <row r="622" spans="1:9" s="200" customFormat="1" ht="20.100000000000001" customHeight="1" x14ac:dyDescent="0.25">
      <c r="A622" s="68" t="s">
        <v>300</v>
      </c>
      <c r="B622" s="454" t="s">
        <v>1218</v>
      </c>
      <c r="C622" s="461" t="s">
        <v>299</v>
      </c>
      <c r="D622" s="461" t="s">
        <v>118</v>
      </c>
      <c r="E622" s="461"/>
      <c r="F622" s="74"/>
      <c r="G622" s="10">
        <f>G623</f>
        <v>68.7</v>
      </c>
      <c r="H622" s="10">
        <f t="shared" si="327"/>
        <v>3.5</v>
      </c>
      <c r="I622" s="451">
        <f t="shared" si="308"/>
        <v>5.094614264919942</v>
      </c>
    </row>
    <row r="623" spans="1:9" s="200" customFormat="1" ht="31.5" x14ac:dyDescent="0.25">
      <c r="A623" s="458" t="s">
        <v>1489</v>
      </c>
      <c r="B623" s="454" t="s">
        <v>1219</v>
      </c>
      <c r="C623" s="461" t="s">
        <v>299</v>
      </c>
      <c r="D623" s="461" t="s">
        <v>118</v>
      </c>
      <c r="E623" s="461"/>
      <c r="F623" s="2"/>
      <c r="G623" s="10">
        <f>G624</f>
        <v>68.7</v>
      </c>
      <c r="H623" s="10">
        <f t="shared" si="327"/>
        <v>3.5</v>
      </c>
      <c r="I623" s="451">
        <f t="shared" si="308"/>
        <v>5.094614264919942</v>
      </c>
    </row>
    <row r="624" spans="1:9" s="200" customFormat="1" ht="39.200000000000003" customHeight="1" x14ac:dyDescent="0.25">
      <c r="A624" s="458" t="s">
        <v>131</v>
      </c>
      <c r="B624" s="454" t="s">
        <v>1219</v>
      </c>
      <c r="C624" s="461" t="s">
        <v>299</v>
      </c>
      <c r="D624" s="461" t="s">
        <v>118</v>
      </c>
      <c r="E624" s="461" t="s">
        <v>132</v>
      </c>
      <c r="F624" s="2"/>
      <c r="G624" s="10">
        <f>G625</f>
        <v>68.7</v>
      </c>
      <c r="H624" s="10">
        <f t="shared" si="327"/>
        <v>3.5</v>
      </c>
      <c r="I624" s="451">
        <f t="shared" si="308"/>
        <v>5.094614264919942</v>
      </c>
    </row>
    <row r="625" spans="1:9" s="200" customFormat="1" ht="36.75" customHeight="1" x14ac:dyDescent="0.25">
      <c r="A625" s="458" t="s">
        <v>133</v>
      </c>
      <c r="B625" s="454" t="s">
        <v>1219</v>
      </c>
      <c r="C625" s="461" t="s">
        <v>299</v>
      </c>
      <c r="D625" s="461" t="s">
        <v>118</v>
      </c>
      <c r="E625" s="461" t="s">
        <v>134</v>
      </c>
      <c r="F625" s="2"/>
      <c r="G625" s="10">
        <f>'Пр.4 ведом.21'!G404</f>
        <v>68.7</v>
      </c>
      <c r="H625" s="10">
        <f>'Пр.4 ведом.21'!H404</f>
        <v>3.5</v>
      </c>
      <c r="I625" s="451">
        <f t="shared" si="308"/>
        <v>5.094614264919942</v>
      </c>
    </row>
    <row r="626" spans="1:9" s="200" customFormat="1" ht="54.75" customHeight="1" x14ac:dyDescent="0.25">
      <c r="A626" s="45" t="s">
        <v>261</v>
      </c>
      <c r="B626" s="454" t="s">
        <v>1219</v>
      </c>
      <c r="C626" s="461" t="s">
        <v>299</v>
      </c>
      <c r="D626" s="461" t="s">
        <v>118</v>
      </c>
      <c r="E626" s="461" t="s">
        <v>134</v>
      </c>
      <c r="F626" s="2">
        <v>903</v>
      </c>
      <c r="G626" s="10">
        <f>G625</f>
        <v>68.7</v>
      </c>
      <c r="H626" s="10">
        <f t="shared" ref="H626" si="328">H625</f>
        <v>3.5</v>
      </c>
      <c r="I626" s="451">
        <f t="shared" si="308"/>
        <v>5.094614264919942</v>
      </c>
    </row>
    <row r="627" spans="1:9" s="449" customFormat="1" ht="31.5" hidden="1" x14ac:dyDescent="0.25">
      <c r="A627" s="34" t="s">
        <v>1683</v>
      </c>
      <c r="B627" s="457" t="s">
        <v>1685</v>
      </c>
      <c r="C627" s="461"/>
      <c r="D627" s="461"/>
      <c r="E627" s="461"/>
      <c r="F627" s="2"/>
      <c r="G627" s="59">
        <f>G628</f>
        <v>0</v>
      </c>
      <c r="H627" s="59">
        <f t="shared" ref="H627:H631" si="329">H628</f>
        <v>0</v>
      </c>
      <c r="I627" s="451" t="e">
        <f t="shared" si="308"/>
        <v>#DIV/0!</v>
      </c>
    </row>
    <row r="628" spans="1:9" s="449" customFormat="1" ht="15.75" hidden="1" x14ac:dyDescent="0.25">
      <c r="A628" s="68" t="s">
        <v>298</v>
      </c>
      <c r="B628" s="454" t="s">
        <v>1685</v>
      </c>
      <c r="C628" s="461" t="s">
        <v>299</v>
      </c>
      <c r="D628" s="461"/>
      <c r="E628" s="461"/>
      <c r="F628" s="2"/>
      <c r="G628" s="10">
        <f>G629</f>
        <v>0</v>
      </c>
      <c r="H628" s="10">
        <f t="shared" si="329"/>
        <v>0</v>
      </c>
      <c r="I628" s="451" t="e">
        <f t="shared" si="308"/>
        <v>#DIV/0!</v>
      </c>
    </row>
    <row r="629" spans="1:9" s="449" customFormat="1" ht="15.75" hidden="1" x14ac:dyDescent="0.25">
      <c r="A629" s="68" t="s">
        <v>300</v>
      </c>
      <c r="B629" s="454" t="s">
        <v>1685</v>
      </c>
      <c r="C629" s="461" t="s">
        <v>299</v>
      </c>
      <c r="D629" s="461" t="s">
        <v>118</v>
      </c>
      <c r="E629" s="461"/>
      <c r="F629" s="2"/>
      <c r="G629" s="10">
        <f>G630</f>
        <v>0</v>
      </c>
      <c r="H629" s="10">
        <f t="shared" si="329"/>
        <v>0</v>
      </c>
      <c r="I629" s="451" t="e">
        <f t="shared" si="308"/>
        <v>#DIV/0!</v>
      </c>
    </row>
    <row r="630" spans="1:9" s="449" customFormat="1" ht="63" hidden="1" x14ac:dyDescent="0.25">
      <c r="A630" s="31" t="s">
        <v>1684</v>
      </c>
      <c r="B630" s="454" t="s">
        <v>1686</v>
      </c>
      <c r="C630" s="461" t="s">
        <v>299</v>
      </c>
      <c r="D630" s="461" t="s">
        <v>118</v>
      </c>
      <c r="E630" s="461"/>
      <c r="F630" s="2"/>
      <c r="G630" s="10">
        <f>G631</f>
        <v>0</v>
      </c>
      <c r="H630" s="10">
        <f t="shared" si="329"/>
        <v>0</v>
      </c>
      <c r="I630" s="451" t="e">
        <f t="shared" si="308"/>
        <v>#DIV/0!</v>
      </c>
    </row>
    <row r="631" spans="1:9" s="449" customFormat="1" ht="31.5" hidden="1" x14ac:dyDescent="0.25">
      <c r="A631" s="458" t="s">
        <v>131</v>
      </c>
      <c r="B631" s="454" t="s">
        <v>1686</v>
      </c>
      <c r="C631" s="461" t="s">
        <v>299</v>
      </c>
      <c r="D631" s="461" t="s">
        <v>118</v>
      </c>
      <c r="E631" s="461" t="s">
        <v>132</v>
      </c>
      <c r="F631" s="2"/>
      <c r="G631" s="10">
        <f>G632</f>
        <v>0</v>
      </c>
      <c r="H631" s="10">
        <f t="shared" si="329"/>
        <v>0</v>
      </c>
      <c r="I631" s="451" t="e">
        <f t="shared" si="308"/>
        <v>#DIV/0!</v>
      </c>
    </row>
    <row r="632" spans="1:9" s="449" customFormat="1" ht="31.5" hidden="1" x14ac:dyDescent="0.25">
      <c r="A632" s="458" t="s">
        <v>133</v>
      </c>
      <c r="B632" s="454" t="s">
        <v>1686</v>
      </c>
      <c r="C632" s="461" t="s">
        <v>299</v>
      </c>
      <c r="D632" s="461" t="s">
        <v>118</v>
      </c>
      <c r="E632" s="461" t="s">
        <v>134</v>
      </c>
      <c r="F632" s="2"/>
      <c r="G632" s="10">
        <f>'Пр.4 ведом.21'!G408</f>
        <v>0</v>
      </c>
      <c r="H632" s="10">
        <f>'Пр.4 ведом.21'!H408</f>
        <v>0</v>
      </c>
      <c r="I632" s="451" t="e">
        <f t="shared" si="308"/>
        <v>#DIV/0!</v>
      </c>
    </row>
    <row r="633" spans="1:9" s="449" customFormat="1" ht="31.5" hidden="1" x14ac:dyDescent="0.25">
      <c r="A633" s="458" t="s">
        <v>133</v>
      </c>
      <c r="B633" s="454" t="s">
        <v>1686</v>
      </c>
      <c r="C633" s="461" t="s">
        <v>299</v>
      </c>
      <c r="D633" s="461" t="s">
        <v>118</v>
      </c>
      <c r="E633" s="461" t="s">
        <v>134</v>
      </c>
      <c r="F633" s="2">
        <v>903</v>
      </c>
      <c r="G633" s="10">
        <f>G632</f>
        <v>0</v>
      </c>
      <c r="H633" s="10">
        <f t="shared" ref="H633" si="330">H632</f>
        <v>0</v>
      </c>
      <c r="I633" s="451" t="e">
        <f t="shared" si="308"/>
        <v>#DIV/0!</v>
      </c>
    </row>
    <row r="634" spans="1:9" s="200" customFormat="1" ht="33.75" hidden="1" customHeight="1" x14ac:dyDescent="0.25">
      <c r="A634" s="206" t="s">
        <v>1180</v>
      </c>
      <c r="B634" s="457" t="s">
        <v>1214</v>
      </c>
      <c r="C634" s="457"/>
      <c r="D634" s="457"/>
      <c r="E634" s="461"/>
      <c r="F634" s="2"/>
      <c r="G634" s="59">
        <f>G637</f>
        <v>0</v>
      </c>
      <c r="H634" s="59">
        <f t="shared" ref="H634" si="331">H637</f>
        <v>0</v>
      </c>
      <c r="I634" s="451" t="e">
        <f t="shared" si="308"/>
        <v>#DIV/0!</v>
      </c>
    </row>
    <row r="635" spans="1:9" s="200" customFormat="1" ht="19.5" hidden="1" customHeight="1" x14ac:dyDescent="0.25">
      <c r="A635" s="68" t="s">
        <v>298</v>
      </c>
      <c r="B635" s="454" t="s">
        <v>1214</v>
      </c>
      <c r="C635" s="454" t="s">
        <v>299</v>
      </c>
      <c r="D635" s="454"/>
      <c r="E635" s="461"/>
      <c r="F635" s="2"/>
      <c r="G635" s="10">
        <f>G636</f>
        <v>0</v>
      </c>
      <c r="H635" s="10">
        <f t="shared" ref="H635:H638" si="332">H636</f>
        <v>0</v>
      </c>
      <c r="I635" s="451" t="e">
        <f t="shared" si="308"/>
        <v>#DIV/0!</v>
      </c>
    </row>
    <row r="636" spans="1:9" s="200" customFormat="1" ht="18" hidden="1" customHeight="1" x14ac:dyDescent="0.25">
      <c r="A636" s="68" t="s">
        <v>300</v>
      </c>
      <c r="B636" s="454" t="s">
        <v>1214</v>
      </c>
      <c r="C636" s="454" t="s">
        <v>299</v>
      </c>
      <c r="D636" s="454" t="s">
        <v>118</v>
      </c>
      <c r="E636" s="461"/>
      <c r="F636" s="2"/>
      <c r="G636" s="10">
        <f>G637</f>
        <v>0</v>
      </c>
      <c r="H636" s="10">
        <f t="shared" si="332"/>
        <v>0</v>
      </c>
      <c r="I636" s="451" t="e">
        <f t="shared" si="308"/>
        <v>#DIV/0!</v>
      </c>
    </row>
    <row r="637" spans="1:9" s="200" customFormat="1" ht="18" hidden="1" customHeight="1" x14ac:dyDescent="0.25">
      <c r="A637" s="98" t="s">
        <v>1187</v>
      </c>
      <c r="B637" s="454" t="s">
        <v>1215</v>
      </c>
      <c r="C637" s="454" t="s">
        <v>299</v>
      </c>
      <c r="D637" s="454" t="s">
        <v>118</v>
      </c>
      <c r="E637" s="461"/>
      <c r="F637" s="2"/>
      <c r="G637" s="10">
        <f>G638</f>
        <v>0</v>
      </c>
      <c r="H637" s="10">
        <f t="shared" si="332"/>
        <v>0</v>
      </c>
      <c r="I637" s="451" t="e">
        <f t="shared" si="308"/>
        <v>#DIV/0!</v>
      </c>
    </row>
    <row r="638" spans="1:9" s="200" customFormat="1" ht="35.450000000000003" hidden="1" customHeight="1" x14ac:dyDescent="0.25">
      <c r="A638" s="458" t="s">
        <v>131</v>
      </c>
      <c r="B638" s="454" t="s">
        <v>1215</v>
      </c>
      <c r="C638" s="454" t="s">
        <v>299</v>
      </c>
      <c r="D638" s="454" t="s">
        <v>118</v>
      </c>
      <c r="E638" s="461" t="s">
        <v>132</v>
      </c>
      <c r="F638" s="2"/>
      <c r="G638" s="10">
        <f>G639</f>
        <v>0</v>
      </c>
      <c r="H638" s="10">
        <f t="shared" si="332"/>
        <v>0</v>
      </c>
      <c r="I638" s="451" t="e">
        <f t="shared" si="308"/>
        <v>#DIV/0!</v>
      </c>
    </row>
    <row r="639" spans="1:9" s="200" customFormat="1" ht="36" hidden="1" customHeight="1" x14ac:dyDescent="0.25">
      <c r="A639" s="458" t="s">
        <v>133</v>
      </c>
      <c r="B639" s="454" t="s">
        <v>1215</v>
      </c>
      <c r="C639" s="454" t="s">
        <v>299</v>
      </c>
      <c r="D639" s="454" t="s">
        <v>118</v>
      </c>
      <c r="E639" s="461" t="s">
        <v>134</v>
      </c>
      <c r="F639" s="2"/>
      <c r="G639" s="10">
        <f>'Пр.4 ведом.21'!G412</f>
        <v>0</v>
      </c>
      <c r="H639" s="10">
        <f>'Пр.4 ведом.21'!H412</f>
        <v>0</v>
      </c>
      <c r="I639" s="451" t="e">
        <f t="shared" si="308"/>
        <v>#DIV/0!</v>
      </c>
    </row>
    <row r="640" spans="1:9" s="200" customFormat="1" ht="50.25" hidden="1" customHeight="1" x14ac:dyDescent="0.25">
      <c r="A640" s="45" t="s">
        <v>261</v>
      </c>
      <c r="B640" s="454" t="s">
        <v>1215</v>
      </c>
      <c r="C640" s="454" t="s">
        <v>299</v>
      </c>
      <c r="D640" s="454" t="s">
        <v>118</v>
      </c>
      <c r="E640" s="461" t="s">
        <v>134</v>
      </c>
      <c r="F640" s="2">
        <v>903</v>
      </c>
      <c r="G640" s="10">
        <f>G634</f>
        <v>0</v>
      </c>
      <c r="H640" s="10">
        <f t="shared" ref="H640" si="333">H634</f>
        <v>0</v>
      </c>
      <c r="I640" s="451" t="e">
        <f t="shared" si="308"/>
        <v>#DIV/0!</v>
      </c>
    </row>
    <row r="641" spans="1:9" s="200" customFormat="1" ht="50.25" hidden="1" customHeight="1" x14ac:dyDescent="0.25">
      <c r="A641" s="328" t="s">
        <v>1220</v>
      </c>
      <c r="B641" s="454"/>
      <c r="C641" s="454"/>
      <c r="D641" s="454"/>
      <c r="E641" s="461"/>
      <c r="F641" s="2"/>
      <c r="G641" s="59">
        <f>G642</f>
        <v>0</v>
      </c>
      <c r="H641" s="59">
        <f t="shared" ref="H641:H645" si="334">H642</f>
        <v>0</v>
      </c>
      <c r="I641" s="451" t="e">
        <f t="shared" si="308"/>
        <v>#DIV/0!</v>
      </c>
    </row>
    <row r="642" spans="1:9" s="200" customFormat="1" ht="18.75" hidden="1" customHeight="1" x14ac:dyDescent="0.25">
      <c r="A642" s="68" t="s">
        <v>298</v>
      </c>
      <c r="B642" s="454"/>
      <c r="C642" s="454" t="s">
        <v>299</v>
      </c>
      <c r="D642" s="454"/>
      <c r="E642" s="461"/>
      <c r="F642" s="2"/>
      <c r="G642" s="10">
        <f>G643</f>
        <v>0</v>
      </c>
      <c r="H642" s="10">
        <f t="shared" si="334"/>
        <v>0</v>
      </c>
      <c r="I642" s="451" t="e">
        <f t="shared" si="308"/>
        <v>#DIV/0!</v>
      </c>
    </row>
    <row r="643" spans="1:9" s="200" customFormat="1" ht="14.25" hidden="1" customHeight="1" x14ac:dyDescent="0.25">
      <c r="A643" s="68" t="s">
        <v>300</v>
      </c>
      <c r="B643" s="454"/>
      <c r="C643" s="454" t="s">
        <v>299</v>
      </c>
      <c r="D643" s="454" t="s">
        <v>118</v>
      </c>
      <c r="E643" s="461"/>
      <c r="F643" s="2"/>
      <c r="G643" s="10">
        <f>G644</f>
        <v>0</v>
      </c>
      <c r="H643" s="10">
        <f t="shared" si="334"/>
        <v>0</v>
      </c>
      <c r="I643" s="451" t="e">
        <f t="shared" si="308"/>
        <v>#DIV/0!</v>
      </c>
    </row>
    <row r="644" spans="1:9" s="200" customFormat="1" ht="19.5" hidden="1" customHeight="1" x14ac:dyDescent="0.25">
      <c r="A644" s="45"/>
      <c r="B644" s="454"/>
      <c r="C644" s="454" t="s">
        <v>299</v>
      </c>
      <c r="D644" s="454" t="s">
        <v>118</v>
      </c>
      <c r="E644" s="461"/>
      <c r="F644" s="2"/>
      <c r="G644" s="10">
        <f>G645</f>
        <v>0</v>
      </c>
      <c r="H644" s="10">
        <f t="shared" si="334"/>
        <v>0</v>
      </c>
      <c r="I644" s="451" t="e">
        <f t="shared" si="308"/>
        <v>#DIV/0!</v>
      </c>
    </row>
    <row r="645" spans="1:9" s="200" customFormat="1" ht="36.75" hidden="1" customHeight="1" x14ac:dyDescent="0.25">
      <c r="A645" s="458" t="s">
        <v>131</v>
      </c>
      <c r="B645" s="454"/>
      <c r="C645" s="454" t="s">
        <v>299</v>
      </c>
      <c r="D645" s="454" t="s">
        <v>118</v>
      </c>
      <c r="E645" s="461" t="s">
        <v>132</v>
      </c>
      <c r="F645" s="2"/>
      <c r="G645" s="10">
        <f>G646</f>
        <v>0</v>
      </c>
      <c r="H645" s="10">
        <f t="shared" si="334"/>
        <v>0</v>
      </c>
      <c r="I645" s="451" t="e">
        <f t="shared" si="308"/>
        <v>#DIV/0!</v>
      </c>
    </row>
    <row r="646" spans="1:9" s="200" customFormat="1" ht="33.75" hidden="1" customHeight="1" x14ac:dyDescent="0.25">
      <c r="A646" s="458" t="s">
        <v>133</v>
      </c>
      <c r="B646" s="454"/>
      <c r="C646" s="454" t="s">
        <v>299</v>
      </c>
      <c r="D646" s="454" t="s">
        <v>118</v>
      </c>
      <c r="E646" s="461" t="s">
        <v>134</v>
      </c>
      <c r="F646" s="2"/>
      <c r="G646" s="10">
        <f>'Пр.4 ведом.21'!G416</f>
        <v>0</v>
      </c>
      <c r="H646" s="10">
        <f>'Пр.4 ведом.21'!H416</f>
        <v>0</v>
      </c>
      <c r="I646" s="451" t="e">
        <f t="shared" si="308"/>
        <v>#DIV/0!</v>
      </c>
    </row>
    <row r="647" spans="1:9" s="200" customFormat="1" ht="43.5" hidden="1" customHeight="1" x14ac:dyDescent="0.25">
      <c r="A647" s="45" t="s">
        <v>261</v>
      </c>
      <c r="B647" s="454"/>
      <c r="C647" s="454" t="s">
        <v>299</v>
      </c>
      <c r="D647" s="454" t="s">
        <v>118</v>
      </c>
      <c r="E647" s="461" t="s">
        <v>134</v>
      </c>
      <c r="F647" s="2">
        <v>903</v>
      </c>
      <c r="G647" s="10">
        <f>G646</f>
        <v>0</v>
      </c>
      <c r="H647" s="10">
        <f t="shared" ref="H647" si="335">H646</f>
        <v>0</v>
      </c>
      <c r="I647" s="451" t="e">
        <f t="shared" si="308"/>
        <v>#DIV/0!</v>
      </c>
    </row>
    <row r="648" spans="1:9" s="1" customFormat="1" ht="51" customHeight="1" x14ac:dyDescent="0.25">
      <c r="A648" s="462" t="s">
        <v>1360</v>
      </c>
      <c r="B648" s="7" t="s">
        <v>324</v>
      </c>
      <c r="C648" s="72"/>
      <c r="D648" s="72"/>
      <c r="E648" s="72"/>
      <c r="F648" s="72"/>
      <c r="G648" s="59">
        <f>G649</f>
        <v>108.5</v>
      </c>
      <c r="H648" s="59">
        <f t="shared" ref="H648" si="336">H649</f>
        <v>104.23</v>
      </c>
      <c r="I648" s="450">
        <f t="shared" si="308"/>
        <v>96.064516129032256</v>
      </c>
    </row>
    <row r="649" spans="1:9" s="201" customFormat="1" ht="64.5" customHeight="1" x14ac:dyDescent="0.25">
      <c r="A649" s="34" t="s">
        <v>1025</v>
      </c>
      <c r="B649" s="7" t="s">
        <v>934</v>
      </c>
      <c r="C649" s="7"/>
      <c r="D649" s="7"/>
      <c r="E649" s="72"/>
      <c r="F649" s="72"/>
      <c r="G649" s="59">
        <f>G650+G656+G667+G673</f>
        <v>108.5</v>
      </c>
      <c r="H649" s="59">
        <f t="shared" ref="H649" si="337">H650+H656+H667+H673</f>
        <v>104.23</v>
      </c>
      <c r="I649" s="450">
        <f t="shared" si="308"/>
        <v>96.064516129032256</v>
      </c>
    </row>
    <row r="650" spans="1:9" s="201" customFormat="1" ht="18.75" hidden="1" customHeight="1" x14ac:dyDescent="0.25">
      <c r="A650" s="31" t="s">
        <v>390</v>
      </c>
      <c r="B650" s="461" t="s">
        <v>934</v>
      </c>
      <c r="C650" s="461" t="s">
        <v>234</v>
      </c>
      <c r="D650" s="461"/>
      <c r="E650" s="72"/>
      <c r="F650" s="72"/>
      <c r="G650" s="10">
        <f>G651</f>
        <v>0</v>
      </c>
      <c r="H650" s="10">
        <f t="shared" ref="H650:H654" si="338">H651</f>
        <v>0</v>
      </c>
      <c r="I650" s="451" t="e">
        <f t="shared" si="308"/>
        <v>#DIV/0!</v>
      </c>
    </row>
    <row r="651" spans="1:9" s="201" customFormat="1" ht="37.5" hidden="1" customHeight="1" x14ac:dyDescent="0.25">
      <c r="A651" s="31" t="s">
        <v>569</v>
      </c>
      <c r="B651" s="461" t="s">
        <v>934</v>
      </c>
      <c r="C651" s="461" t="s">
        <v>234</v>
      </c>
      <c r="D651" s="461" t="s">
        <v>234</v>
      </c>
      <c r="E651" s="72"/>
      <c r="F651" s="72"/>
      <c r="G651" s="10">
        <f>G652</f>
        <v>0</v>
      </c>
      <c r="H651" s="10">
        <f t="shared" si="338"/>
        <v>0</v>
      </c>
      <c r="I651" s="451" t="e">
        <f t="shared" ref="I651:I714" si="339">H651/G651*100</f>
        <v>#DIV/0!</v>
      </c>
    </row>
    <row r="652" spans="1:9" s="201" customFormat="1" ht="51.75" hidden="1" customHeight="1" x14ac:dyDescent="0.25">
      <c r="A652" s="31" t="s">
        <v>1081</v>
      </c>
      <c r="B652" s="454" t="s">
        <v>1026</v>
      </c>
      <c r="C652" s="461" t="s">
        <v>234</v>
      </c>
      <c r="D652" s="461" t="s">
        <v>234</v>
      </c>
      <c r="E652" s="72"/>
      <c r="F652" s="72"/>
      <c r="G652" s="10">
        <f>G653</f>
        <v>0</v>
      </c>
      <c r="H652" s="10">
        <f t="shared" si="338"/>
        <v>0</v>
      </c>
      <c r="I652" s="451" t="e">
        <f t="shared" si="339"/>
        <v>#DIV/0!</v>
      </c>
    </row>
    <row r="653" spans="1:9" s="201" customFormat="1" ht="35.450000000000003" hidden="1" customHeight="1" x14ac:dyDescent="0.25">
      <c r="A653" s="458" t="s">
        <v>131</v>
      </c>
      <c r="B653" s="454" t="s">
        <v>1026</v>
      </c>
      <c r="C653" s="461" t="s">
        <v>234</v>
      </c>
      <c r="D653" s="461" t="s">
        <v>234</v>
      </c>
      <c r="E653" s="2">
        <v>200</v>
      </c>
      <c r="F653" s="72"/>
      <c r="G653" s="10">
        <f>G654</f>
        <v>0</v>
      </c>
      <c r="H653" s="10">
        <f t="shared" si="338"/>
        <v>0</v>
      </c>
      <c r="I653" s="451" t="e">
        <f t="shared" si="339"/>
        <v>#DIV/0!</v>
      </c>
    </row>
    <row r="654" spans="1:9" s="201" customFormat="1" ht="34.5" hidden="1" customHeight="1" x14ac:dyDescent="0.25">
      <c r="A654" s="458" t="s">
        <v>133</v>
      </c>
      <c r="B654" s="454" t="s">
        <v>1026</v>
      </c>
      <c r="C654" s="461" t="s">
        <v>234</v>
      </c>
      <c r="D654" s="461" t="s">
        <v>234</v>
      </c>
      <c r="E654" s="2">
        <v>240</v>
      </c>
      <c r="F654" s="72"/>
      <c r="G654" s="10">
        <f>G655</f>
        <v>0</v>
      </c>
      <c r="H654" s="10">
        <f t="shared" si="338"/>
        <v>0</v>
      </c>
      <c r="I654" s="451" t="e">
        <f t="shared" si="339"/>
        <v>#DIV/0!</v>
      </c>
    </row>
    <row r="655" spans="1:9" s="201" customFormat="1" ht="37.35" hidden="1" customHeight="1" x14ac:dyDescent="0.25">
      <c r="A655" s="45" t="s">
        <v>623</v>
      </c>
      <c r="B655" s="454" t="s">
        <v>1026</v>
      </c>
      <c r="C655" s="461" t="s">
        <v>234</v>
      </c>
      <c r="D655" s="461" t="s">
        <v>234</v>
      </c>
      <c r="E655" s="2">
        <v>240</v>
      </c>
      <c r="F655" s="2">
        <v>908</v>
      </c>
      <c r="G655" s="10">
        <f>'Пр.4 ведом.21'!G1106</f>
        <v>0</v>
      </c>
      <c r="H655" s="10">
        <f>'Пр.4 ведом.21'!H1106</f>
        <v>0</v>
      </c>
      <c r="I655" s="451" t="e">
        <f t="shared" si="339"/>
        <v>#DIV/0!</v>
      </c>
    </row>
    <row r="656" spans="1:9" s="1" customFormat="1" ht="15.75" x14ac:dyDescent="0.25">
      <c r="A656" s="458" t="s">
        <v>263</v>
      </c>
      <c r="B656" s="461" t="s">
        <v>934</v>
      </c>
      <c r="C656" s="461" t="s">
        <v>264</v>
      </c>
      <c r="D656" s="73"/>
      <c r="E656" s="73"/>
      <c r="F656" s="73"/>
      <c r="G656" s="10">
        <f>G657+G662</f>
        <v>104.5</v>
      </c>
      <c r="H656" s="10">
        <f t="shared" ref="H656" si="340">H657+H662</f>
        <v>104.23</v>
      </c>
      <c r="I656" s="451">
        <f t="shared" si="339"/>
        <v>99.74162679425838</v>
      </c>
    </row>
    <row r="657" spans="1:9" s="1" customFormat="1" ht="15.75" x14ac:dyDescent="0.25">
      <c r="A657" s="458" t="s">
        <v>404</v>
      </c>
      <c r="B657" s="461" t="s">
        <v>934</v>
      </c>
      <c r="C657" s="461" t="s">
        <v>264</v>
      </c>
      <c r="D657" s="461" t="s">
        <v>118</v>
      </c>
      <c r="E657" s="73"/>
      <c r="F657" s="73"/>
      <c r="G657" s="10">
        <f>G658</f>
        <v>95</v>
      </c>
      <c r="H657" s="10">
        <f t="shared" ref="H657:H659" si="341">H658</f>
        <v>94.78</v>
      </c>
      <c r="I657" s="451">
        <f t="shared" si="339"/>
        <v>99.768421052631581</v>
      </c>
    </row>
    <row r="658" spans="1:9" s="1" customFormat="1" ht="47.25" x14ac:dyDescent="0.25">
      <c r="A658" s="31" t="s">
        <v>1082</v>
      </c>
      <c r="B658" s="454" t="s">
        <v>935</v>
      </c>
      <c r="C658" s="461" t="s">
        <v>264</v>
      </c>
      <c r="D658" s="461" t="s">
        <v>118</v>
      </c>
      <c r="E658" s="72"/>
      <c r="F658" s="72"/>
      <c r="G658" s="10">
        <f>G659</f>
        <v>95</v>
      </c>
      <c r="H658" s="10">
        <f t="shared" si="341"/>
        <v>94.78</v>
      </c>
      <c r="I658" s="451">
        <f t="shared" si="339"/>
        <v>99.768421052631581</v>
      </c>
    </row>
    <row r="659" spans="1:9" s="1" customFormat="1" ht="31.5" x14ac:dyDescent="0.25">
      <c r="A659" s="31" t="s">
        <v>272</v>
      </c>
      <c r="B659" s="454" t="s">
        <v>935</v>
      </c>
      <c r="C659" s="461" t="s">
        <v>264</v>
      </c>
      <c r="D659" s="461" t="s">
        <v>118</v>
      </c>
      <c r="E659" s="461" t="s">
        <v>273</v>
      </c>
      <c r="F659" s="72"/>
      <c r="G659" s="10">
        <f>G660</f>
        <v>95</v>
      </c>
      <c r="H659" s="10">
        <f t="shared" si="341"/>
        <v>94.78</v>
      </c>
      <c r="I659" s="451">
        <f t="shared" si="339"/>
        <v>99.768421052631581</v>
      </c>
    </row>
    <row r="660" spans="1:9" s="1" customFormat="1" ht="15.75" x14ac:dyDescent="0.25">
      <c r="A660" s="31" t="s">
        <v>274</v>
      </c>
      <c r="B660" s="454" t="s">
        <v>935</v>
      </c>
      <c r="C660" s="461" t="s">
        <v>264</v>
      </c>
      <c r="D660" s="461" t="s">
        <v>118</v>
      </c>
      <c r="E660" s="461" t="s">
        <v>275</v>
      </c>
      <c r="F660" s="72"/>
      <c r="G660" s="10">
        <f>'Пр.4 ведом.21'!G632</f>
        <v>95</v>
      </c>
      <c r="H660" s="10">
        <f>'Пр.4 ведом.21'!H632</f>
        <v>94.78</v>
      </c>
      <c r="I660" s="451">
        <f t="shared" si="339"/>
        <v>99.768421052631581</v>
      </c>
    </row>
    <row r="661" spans="1:9" s="201" customFormat="1" ht="31.5" x14ac:dyDescent="0.25">
      <c r="A661" s="31" t="s">
        <v>403</v>
      </c>
      <c r="B661" s="454" t="s">
        <v>935</v>
      </c>
      <c r="C661" s="461" t="s">
        <v>264</v>
      </c>
      <c r="D661" s="461" t="s">
        <v>118</v>
      </c>
      <c r="E661" s="461" t="s">
        <v>275</v>
      </c>
      <c r="F661" s="2">
        <v>906</v>
      </c>
      <c r="G661" s="10">
        <f>G660</f>
        <v>95</v>
      </c>
      <c r="H661" s="10">
        <f t="shared" ref="H661" si="342">H660</f>
        <v>94.78</v>
      </c>
      <c r="I661" s="451">
        <f t="shared" si="339"/>
        <v>99.768421052631581</v>
      </c>
    </row>
    <row r="662" spans="1:9" s="1" customFormat="1" ht="15.75" x14ac:dyDescent="0.25">
      <c r="A662" s="29" t="s">
        <v>265</v>
      </c>
      <c r="B662" s="461" t="s">
        <v>934</v>
      </c>
      <c r="C662" s="461" t="s">
        <v>264</v>
      </c>
      <c r="D662" s="461" t="s">
        <v>215</v>
      </c>
      <c r="E662" s="461"/>
      <c r="F662" s="73"/>
      <c r="G662" s="10">
        <f>G663</f>
        <v>9.5</v>
      </c>
      <c r="H662" s="10">
        <f t="shared" ref="H662:H664" si="343">H663</f>
        <v>9.4499999999999993</v>
      </c>
      <c r="I662" s="451">
        <f t="shared" si="339"/>
        <v>99.473684210526301</v>
      </c>
    </row>
    <row r="663" spans="1:9" s="1" customFormat="1" ht="47.25" x14ac:dyDescent="0.25">
      <c r="A663" s="31" t="s">
        <v>1081</v>
      </c>
      <c r="B663" s="454" t="s">
        <v>1026</v>
      </c>
      <c r="C663" s="461" t="s">
        <v>264</v>
      </c>
      <c r="D663" s="461" t="s">
        <v>215</v>
      </c>
      <c r="E663" s="461"/>
      <c r="F663" s="72"/>
      <c r="G663" s="10">
        <f>G664</f>
        <v>9.5</v>
      </c>
      <c r="H663" s="10">
        <f t="shared" si="343"/>
        <v>9.4499999999999993</v>
      </c>
      <c r="I663" s="451">
        <f t="shared" si="339"/>
        <v>99.473684210526301</v>
      </c>
    </row>
    <row r="664" spans="1:9" s="1" customFormat="1" ht="31.5" x14ac:dyDescent="0.25">
      <c r="A664" s="31" t="s">
        <v>272</v>
      </c>
      <c r="B664" s="454" t="s">
        <v>1026</v>
      </c>
      <c r="C664" s="461" t="s">
        <v>264</v>
      </c>
      <c r="D664" s="461" t="s">
        <v>215</v>
      </c>
      <c r="E664" s="461" t="s">
        <v>132</v>
      </c>
      <c r="F664" s="72"/>
      <c r="G664" s="10">
        <f>G665</f>
        <v>9.5</v>
      </c>
      <c r="H664" s="10">
        <f t="shared" si="343"/>
        <v>9.4499999999999993</v>
      </c>
      <c r="I664" s="451">
        <f t="shared" si="339"/>
        <v>99.473684210526301</v>
      </c>
    </row>
    <row r="665" spans="1:9" s="1" customFormat="1" ht="15.75" x14ac:dyDescent="0.25">
      <c r="A665" s="31" t="s">
        <v>274</v>
      </c>
      <c r="B665" s="454" t="s">
        <v>1026</v>
      </c>
      <c r="C665" s="461" t="s">
        <v>264</v>
      </c>
      <c r="D665" s="461" t="s">
        <v>215</v>
      </c>
      <c r="E665" s="461" t="s">
        <v>134</v>
      </c>
      <c r="F665" s="72"/>
      <c r="G665" s="10">
        <f>'Пр.4 ведом.21'!G335</f>
        <v>9.5</v>
      </c>
      <c r="H665" s="10">
        <f>'Пр.4 ведом.21'!H335</f>
        <v>9.4499999999999993</v>
      </c>
      <c r="I665" s="451">
        <f t="shared" si="339"/>
        <v>99.473684210526301</v>
      </c>
    </row>
    <row r="666" spans="1:9" s="1" customFormat="1" ht="47.25" x14ac:dyDescent="0.25">
      <c r="A666" s="45" t="s">
        <v>261</v>
      </c>
      <c r="B666" s="454" t="s">
        <v>1026</v>
      </c>
      <c r="C666" s="461" t="s">
        <v>264</v>
      </c>
      <c r="D666" s="461" t="s">
        <v>215</v>
      </c>
      <c r="E666" s="461" t="s">
        <v>134</v>
      </c>
      <c r="F666" s="2">
        <v>903</v>
      </c>
      <c r="G666" s="10">
        <f>G665</f>
        <v>9.5</v>
      </c>
      <c r="H666" s="10">
        <f t="shared" ref="H666" si="344">H665</f>
        <v>9.4499999999999993</v>
      </c>
      <c r="I666" s="451">
        <f t="shared" si="339"/>
        <v>99.473684210526301</v>
      </c>
    </row>
    <row r="667" spans="1:9" s="201" customFormat="1" ht="15.75" x14ac:dyDescent="0.25">
      <c r="A667" s="31" t="s">
        <v>298</v>
      </c>
      <c r="B667" s="454" t="s">
        <v>934</v>
      </c>
      <c r="C667" s="461" t="s">
        <v>299</v>
      </c>
      <c r="D667" s="461"/>
      <c r="E667" s="461"/>
      <c r="F667" s="2"/>
      <c r="G667" s="10">
        <f>G668</f>
        <v>4</v>
      </c>
      <c r="H667" s="10">
        <f t="shared" ref="H667:H670" si="345">H668</f>
        <v>0</v>
      </c>
      <c r="I667" s="451">
        <f t="shared" si="339"/>
        <v>0</v>
      </c>
    </row>
    <row r="668" spans="1:9" s="201" customFormat="1" ht="15.75" x14ac:dyDescent="0.25">
      <c r="A668" s="31" t="s">
        <v>300</v>
      </c>
      <c r="B668" s="454" t="s">
        <v>934</v>
      </c>
      <c r="C668" s="461" t="s">
        <v>299</v>
      </c>
      <c r="D668" s="461" t="s">
        <v>150</v>
      </c>
      <c r="E668" s="461"/>
      <c r="F668" s="2"/>
      <c r="G668" s="10">
        <f>G669</f>
        <v>4</v>
      </c>
      <c r="H668" s="10">
        <f t="shared" si="345"/>
        <v>0</v>
      </c>
      <c r="I668" s="451">
        <f t="shared" si="339"/>
        <v>0</v>
      </c>
    </row>
    <row r="669" spans="1:9" s="201" customFormat="1" ht="47.25" x14ac:dyDescent="0.25">
      <c r="A669" s="31" t="s">
        <v>1081</v>
      </c>
      <c r="B669" s="454" t="s">
        <v>1026</v>
      </c>
      <c r="C669" s="461" t="s">
        <v>299</v>
      </c>
      <c r="D669" s="461" t="s">
        <v>150</v>
      </c>
      <c r="E669" s="461"/>
      <c r="F669" s="2"/>
      <c r="G669" s="10">
        <f>G670</f>
        <v>4</v>
      </c>
      <c r="H669" s="10">
        <f t="shared" si="345"/>
        <v>0</v>
      </c>
      <c r="I669" s="451">
        <f t="shared" si="339"/>
        <v>0</v>
      </c>
    </row>
    <row r="670" spans="1:9" s="201" customFormat="1" ht="31.5" x14ac:dyDescent="0.25">
      <c r="A670" s="458" t="s">
        <v>131</v>
      </c>
      <c r="B670" s="454" t="s">
        <v>1026</v>
      </c>
      <c r="C670" s="461" t="s">
        <v>299</v>
      </c>
      <c r="D670" s="461" t="s">
        <v>150</v>
      </c>
      <c r="E670" s="461" t="s">
        <v>132</v>
      </c>
      <c r="F670" s="2"/>
      <c r="G670" s="10">
        <f>G671</f>
        <v>4</v>
      </c>
      <c r="H670" s="10">
        <f t="shared" si="345"/>
        <v>0</v>
      </c>
      <c r="I670" s="451">
        <f t="shared" si="339"/>
        <v>0</v>
      </c>
    </row>
    <row r="671" spans="1:9" s="201" customFormat="1" ht="31.5" x14ac:dyDescent="0.25">
      <c r="A671" s="458" t="s">
        <v>133</v>
      </c>
      <c r="B671" s="454" t="s">
        <v>1026</v>
      </c>
      <c r="C671" s="461" t="s">
        <v>299</v>
      </c>
      <c r="D671" s="461" t="s">
        <v>150</v>
      </c>
      <c r="E671" s="461" t="s">
        <v>134</v>
      </c>
      <c r="F671" s="2"/>
      <c r="G671" s="10">
        <f>'Пр.4 ведом.21'!G464</f>
        <v>4</v>
      </c>
      <c r="H671" s="10">
        <f>'Пр.4 ведом.21'!H464</f>
        <v>0</v>
      </c>
      <c r="I671" s="451">
        <f t="shared" si="339"/>
        <v>0</v>
      </c>
    </row>
    <row r="672" spans="1:9" s="201" customFormat="1" ht="47.25" x14ac:dyDescent="0.25">
      <c r="A672" s="45" t="s">
        <v>261</v>
      </c>
      <c r="B672" s="454" t="s">
        <v>1026</v>
      </c>
      <c r="C672" s="461" t="s">
        <v>299</v>
      </c>
      <c r="D672" s="461" t="s">
        <v>150</v>
      </c>
      <c r="E672" s="461" t="s">
        <v>134</v>
      </c>
      <c r="F672" s="2">
        <v>903</v>
      </c>
      <c r="G672" s="375">
        <f>G669</f>
        <v>4</v>
      </c>
      <c r="H672" s="375">
        <f t="shared" ref="H672" si="346">H669</f>
        <v>0</v>
      </c>
      <c r="I672" s="451">
        <f t="shared" si="339"/>
        <v>0</v>
      </c>
    </row>
    <row r="673" spans="1:9" s="1" customFormat="1" ht="15.75" hidden="1" customHeight="1" x14ac:dyDescent="0.25">
      <c r="A673" s="73" t="s">
        <v>490</v>
      </c>
      <c r="B673" s="461" t="s">
        <v>934</v>
      </c>
      <c r="C673" s="461" t="s">
        <v>491</v>
      </c>
      <c r="D673" s="73"/>
      <c r="E673" s="73"/>
      <c r="F673" s="73"/>
      <c r="G673" s="10">
        <f t="shared" ref="G673:H673" si="347">G674</f>
        <v>0</v>
      </c>
      <c r="H673" s="10">
        <f t="shared" si="347"/>
        <v>0</v>
      </c>
      <c r="I673" s="451" t="e">
        <f t="shared" si="339"/>
        <v>#DIV/0!</v>
      </c>
    </row>
    <row r="674" spans="1:9" s="1" customFormat="1" ht="15.75" hidden="1" customHeight="1" x14ac:dyDescent="0.25">
      <c r="A674" s="73" t="s">
        <v>492</v>
      </c>
      <c r="B674" s="461" t="s">
        <v>934</v>
      </c>
      <c r="C674" s="461" t="s">
        <v>491</v>
      </c>
      <c r="D674" s="461" t="s">
        <v>118</v>
      </c>
      <c r="E674" s="73"/>
      <c r="F674" s="73"/>
      <c r="G674" s="10">
        <f t="shared" ref="G674:H676" si="348">G675</f>
        <v>0</v>
      </c>
      <c r="H674" s="10">
        <f t="shared" si="348"/>
        <v>0</v>
      </c>
      <c r="I674" s="451" t="e">
        <f t="shared" si="339"/>
        <v>#DIV/0!</v>
      </c>
    </row>
    <row r="675" spans="1:9" s="1" customFormat="1" ht="47.25" hidden="1" customHeight="1" x14ac:dyDescent="0.25">
      <c r="A675" s="31" t="s">
        <v>1082</v>
      </c>
      <c r="B675" s="461" t="s">
        <v>935</v>
      </c>
      <c r="C675" s="461" t="s">
        <v>491</v>
      </c>
      <c r="D675" s="461" t="s">
        <v>118</v>
      </c>
      <c r="E675" s="73"/>
      <c r="F675" s="73"/>
      <c r="G675" s="10">
        <f>G676</f>
        <v>0</v>
      </c>
      <c r="H675" s="10">
        <f t="shared" si="348"/>
        <v>0</v>
      </c>
      <c r="I675" s="451" t="e">
        <f t="shared" si="339"/>
        <v>#DIV/0!</v>
      </c>
    </row>
    <row r="676" spans="1:9" s="1" customFormat="1" ht="31.7" hidden="1" customHeight="1" x14ac:dyDescent="0.25">
      <c r="A676" s="458" t="s">
        <v>272</v>
      </c>
      <c r="B676" s="461" t="s">
        <v>935</v>
      </c>
      <c r="C676" s="461" t="s">
        <v>491</v>
      </c>
      <c r="D676" s="461" t="s">
        <v>118</v>
      </c>
      <c r="E676" s="461" t="s">
        <v>273</v>
      </c>
      <c r="F676" s="73"/>
      <c r="G676" s="10">
        <f>G677</f>
        <v>0</v>
      </c>
      <c r="H676" s="10">
        <f t="shared" si="348"/>
        <v>0</v>
      </c>
      <c r="I676" s="451" t="e">
        <f t="shared" si="339"/>
        <v>#DIV/0!</v>
      </c>
    </row>
    <row r="677" spans="1:9" s="1" customFormat="1" ht="15.75" hidden="1" customHeight="1" x14ac:dyDescent="0.25">
      <c r="A677" s="458" t="s">
        <v>274</v>
      </c>
      <c r="B677" s="461" t="s">
        <v>935</v>
      </c>
      <c r="C677" s="461" t="s">
        <v>491</v>
      </c>
      <c r="D677" s="461" t="s">
        <v>118</v>
      </c>
      <c r="E677" s="461" t="s">
        <v>275</v>
      </c>
      <c r="F677" s="73"/>
      <c r="G677" s="10"/>
      <c r="H677" s="10"/>
      <c r="I677" s="451" t="e">
        <f t="shared" si="339"/>
        <v>#DIV/0!</v>
      </c>
    </row>
    <row r="678" spans="1:9" s="1" customFormat="1" ht="31.7" hidden="1" customHeight="1" x14ac:dyDescent="0.25">
      <c r="A678" s="45" t="s">
        <v>480</v>
      </c>
      <c r="B678" s="461" t="s">
        <v>935</v>
      </c>
      <c r="C678" s="461" t="s">
        <v>491</v>
      </c>
      <c r="D678" s="461" t="s">
        <v>118</v>
      </c>
      <c r="E678" s="461" t="s">
        <v>275</v>
      </c>
      <c r="F678" s="2">
        <v>907</v>
      </c>
      <c r="G678" s="10">
        <f>G677</f>
        <v>0</v>
      </c>
      <c r="H678" s="10">
        <f t="shared" ref="H678" si="349">H677</f>
        <v>0</v>
      </c>
      <c r="I678" s="451" t="e">
        <f t="shared" si="339"/>
        <v>#DIV/0!</v>
      </c>
    </row>
    <row r="679" spans="1:9" ht="37.5" customHeight="1" x14ac:dyDescent="0.25">
      <c r="A679" s="462" t="s">
        <v>1365</v>
      </c>
      <c r="B679" s="7" t="s">
        <v>543</v>
      </c>
      <c r="C679" s="2"/>
      <c r="D679" s="2"/>
      <c r="E679" s="2"/>
      <c r="F679" s="2"/>
      <c r="G679" s="59">
        <f>G680+G687+G727+G738+G745</f>
        <v>11436.9</v>
      </c>
      <c r="H679" s="59">
        <f t="shared" ref="H679" si="350">H680+H687+H727+H738+H745</f>
        <v>1636.4529999999997</v>
      </c>
      <c r="I679" s="450">
        <f t="shared" si="339"/>
        <v>14.308536404095515</v>
      </c>
    </row>
    <row r="680" spans="1:9" s="200" customFormat="1" ht="47.25" hidden="1" x14ac:dyDescent="0.25">
      <c r="A680" s="456" t="s">
        <v>1435</v>
      </c>
      <c r="B680" s="7" t="s">
        <v>1274</v>
      </c>
      <c r="C680" s="7"/>
      <c r="D680" s="7"/>
      <c r="E680" s="3"/>
      <c r="F680" s="3"/>
      <c r="G680" s="59">
        <f>G681</f>
        <v>0</v>
      </c>
      <c r="H680" s="59">
        <f t="shared" ref="H680:H684" si="351">H681</f>
        <v>0</v>
      </c>
      <c r="I680" s="450" t="e">
        <f t="shared" si="339"/>
        <v>#DIV/0!</v>
      </c>
    </row>
    <row r="681" spans="1:9" ht="15.75" hidden="1" x14ac:dyDescent="0.25">
      <c r="A681" s="73" t="s">
        <v>390</v>
      </c>
      <c r="B681" s="461" t="s">
        <v>1274</v>
      </c>
      <c r="C681" s="461" t="s">
        <v>234</v>
      </c>
      <c r="D681" s="461"/>
      <c r="E681" s="2"/>
      <c r="F681" s="2"/>
      <c r="G681" s="10">
        <f>G682</f>
        <v>0</v>
      </c>
      <c r="H681" s="10">
        <f t="shared" si="351"/>
        <v>0</v>
      </c>
      <c r="I681" s="450" t="e">
        <f t="shared" si="339"/>
        <v>#DIV/0!</v>
      </c>
    </row>
    <row r="682" spans="1:9" ht="15.75" hidden="1" x14ac:dyDescent="0.25">
      <c r="A682" s="73" t="s">
        <v>541</v>
      </c>
      <c r="B682" s="461" t="s">
        <v>1274</v>
      </c>
      <c r="C682" s="461" t="s">
        <v>234</v>
      </c>
      <c r="D682" s="461" t="s">
        <v>215</v>
      </c>
      <c r="E682" s="2"/>
      <c r="F682" s="2"/>
      <c r="G682" s="10">
        <f>G683</f>
        <v>0</v>
      </c>
      <c r="H682" s="10">
        <f t="shared" si="351"/>
        <v>0</v>
      </c>
      <c r="I682" s="450" t="e">
        <f t="shared" si="339"/>
        <v>#DIV/0!</v>
      </c>
    </row>
    <row r="683" spans="1:9" s="200" customFormat="1" ht="31.5" hidden="1" x14ac:dyDescent="0.25">
      <c r="A683" s="309" t="s">
        <v>1436</v>
      </c>
      <c r="B683" s="454" t="s">
        <v>1423</v>
      </c>
      <c r="C683" s="461" t="s">
        <v>234</v>
      </c>
      <c r="D683" s="461" t="s">
        <v>215</v>
      </c>
      <c r="E683" s="2"/>
      <c r="F683" s="2"/>
      <c r="G683" s="10">
        <f>G684</f>
        <v>0</v>
      </c>
      <c r="H683" s="10">
        <f t="shared" si="351"/>
        <v>0</v>
      </c>
      <c r="I683" s="450" t="e">
        <f t="shared" si="339"/>
        <v>#DIV/0!</v>
      </c>
    </row>
    <row r="684" spans="1:9" s="200" customFormat="1" ht="31.5" hidden="1" x14ac:dyDescent="0.25">
      <c r="A684" s="458" t="s">
        <v>131</v>
      </c>
      <c r="B684" s="454" t="s">
        <v>1423</v>
      </c>
      <c r="C684" s="461" t="s">
        <v>234</v>
      </c>
      <c r="D684" s="461" t="s">
        <v>215</v>
      </c>
      <c r="E684" s="2">
        <v>200</v>
      </c>
      <c r="F684" s="2"/>
      <c r="G684" s="10">
        <f>G685</f>
        <v>0</v>
      </c>
      <c r="H684" s="10">
        <f t="shared" si="351"/>
        <v>0</v>
      </c>
      <c r="I684" s="450" t="e">
        <f t="shared" si="339"/>
        <v>#DIV/0!</v>
      </c>
    </row>
    <row r="685" spans="1:9" s="200" customFormat="1" ht="31.5" hidden="1" x14ac:dyDescent="0.25">
      <c r="A685" s="458" t="s">
        <v>133</v>
      </c>
      <c r="B685" s="454" t="s">
        <v>1423</v>
      </c>
      <c r="C685" s="461" t="s">
        <v>234</v>
      </c>
      <c r="D685" s="461" t="s">
        <v>215</v>
      </c>
      <c r="E685" s="2">
        <v>240</v>
      </c>
      <c r="F685" s="2"/>
      <c r="G685" s="10">
        <f>'Пр.4 ведом.21'!G1012</f>
        <v>0</v>
      </c>
      <c r="H685" s="10">
        <f>'Пр.4 ведом.21'!H1012</f>
        <v>0</v>
      </c>
      <c r="I685" s="450" t="e">
        <f t="shared" si="339"/>
        <v>#DIV/0!</v>
      </c>
    </row>
    <row r="686" spans="1:9" s="200" customFormat="1" ht="31.5" hidden="1" x14ac:dyDescent="0.25">
      <c r="A686" s="45" t="s">
        <v>623</v>
      </c>
      <c r="B686" s="454" t="s">
        <v>1423</v>
      </c>
      <c r="C686" s="461" t="s">
        <v>234</v>
      </c>
      <c r="D686" s="461" t="s">
        <v>215</v>
      </c>
      <c r="E686" s="2">
        <v>240</v>
      </c>
      <c r="F686" s="2">
        <v>908</v>
      </c>
      <c r="G686" s="10">
        <f>G683</f>
        <v>0</v>
      </c>
      <c r="H686" s="10">
        <f t="shared" ref="H686" si="352">H683</f>
        <v>0</v>
      </c>
      <c r="I686" s="450" t="e">
        <f t="shared" si="339"/>
        <v>#DIV/0!</v>
      </c>
    </row>
    <row r="687" spans="1:9" s="200" customFormat="1" ht="31.5" x14ac:dyDescent="0.25">
      <c r="A687" s="456" t="s">
        <v>1438</v>
      </c>
      <c r="B687" s="7" t="s">
        <v>1275</v>
      </c>
      <c r="C687" s="461"/>
      <c r="D687" s="461"/>
      <c r="E687" s="2"/>
      <c r="F687" s="2"/>
      <c r="G687" s="59">
        <f>G688</f>
        <v>4419.3</v>
      </c>
      <c r="H687" s="59">
        <f t="shared" ref="H687:H688" si="353">H688</f>
        <v>1464.8719999999998</v>
      </c>
      <c r="I687" s="450">
        <f t="shared" si="339"/>
        <v>33.147150001131401</v>
      </c>
    </row>
    <row r="688" spans="1:9" s="200" customFormat="1" ht="15.75" x14ac:dyDescent="0.25">
      <c r="A688" s="73" t="s">
        <v>390</v>
      </c>
      <c r="B688" s="461" t="s">
        <v>1275</v>
      </c>
      <c r="C688" s="461"/>
      <c r="D688" s="461"/>
      <c r="E688" s="2"/>
      <c r="F688" s="2"/>
      <c r="G688" s="10">
        <f>G689</f>
        <v>4419.3</v>
      </c>
      <c r="H688" s="10">
        <f t="shared" si="353"/>
        <v>1464.8719999999998</v>
      </c>
      <c r="I688" s="451">
        <f t="shared" si="339"/>
        <v>33.147150001131401</v>
      </c>
    </row>
    <row r="689" spans="1:9" s="200" customFormat="1" ht="15.75" x14ac:dyDescent="0.25">
      <c r="A689" s="73" t="s">
        <v>541</v>
      </c>
      <c r="B689" s="461" t="s">
        <v>1275</v>
      </c>
      <c r="C689" s="461"/>
      <c r="D689" s="461"/>
      <c r="E689" s="2"/>
      <c r="F689" s="2"/>
      <c r="G689" s="10">
        <f>G690+G694+G704+G708+G712+G719+G723</f>
        <v>4419.3</v>
      </c>
      <c r="H689" s="10">
        <f t="shared" ref="H689" si="354">H690+H694+H704+H708+H712+H719+H723</f>
        <v>1464.8719999999998</v>
      </c>
      <c r="I689" s="451">
        <f t="shared" si="339"/>
        <v>33.147150001131401</v>
      </c>
    </row>
    <row r="690" spans="1:9" ht="15.75" customHeight="1" x14ac:dyDescent="0.25">
      <c r="A690" s="458" t="s">
        <v>546</v>
      </c>
      <c r="B690" s="454" t="s">
        <v>1434</v>
      </c>
      <c r="C690" s="461" t="s">
        <v>234</v>
      </c>
      <c r="D690" s="461" t="s">
        <v>215</v>
      </c>
      <c r="E690" s="2"/>
      <c r="F690" s="2"/>
      <c r="G690" s="10">
        <f t="shared" ref="G690:H691" si="355">G691</f>
        <v>410.29999999999995</v>
      </c>
      <c r="H690" s="10">
        <f t="shared" si="355"/>
        <v>407.76</v>
      </c>
      <c r="I690" s="451">
        <f t="shared" si="339"/>
        <v>99.38094077504266</v>
      </c>
    </row>
    <row r="691" spans="1:9" ht="41.25" customHeight="1" x14ac:dyDescent="0.25">
      <c r="A691" s="458" t="s">
        <v>131</v>
      </c>
      <c r="B691" s="454" t="s">
        <v>1434</v>
      </c>
      <c r="C691" s="461" t="s">
        <v>234</v>
      </c>
      <c r="D691" s="461" t="s">
        <v>215</v>
      </c>
      <c r="E691" s="2">
        <v>200</v>
      </c>
      <c r="F691" s="2"/>
      <c r="G691" s="10">
        <f t="shared" si="355"/>
        <v>410.29999999999995</v>
      </c>
      <c r="H691" s="10">
        <f t="shared" si="355"/>
        <v>407.76</v>
      </c>
      <c r="I691" s="451">
        <f t="shared" si="339"/>
        <v>99.38094077504266</v>
      </c>
    </row>
    <row r="692" spans="1:9" ht="31.7" customHeight="1" x14ac:dyDescent="0.25">
      <c r="A692" s="458" t="s">
        <v>133</v>
      </c>
      <c r="B692" s="454" t="s">
        <v>1434</v>
      </c>
      <c r="C692" s="461" t="s">
        <v>234</v>
      </c>
      <c r="D692" s="461" t="s">
        <v>215</v>
      </c>
      <c r="E692" s="2">
        <v>240</v>
      </c>
      <c r="F692" s="2"/>
      <c r="G692" s="10">
        <f>'Пр.4 ведом.21'!G1016</f>
        <v>410.29999999999995</v>
      </c>
      <c r="H692" s="10">
        <f>'Пр.4 ведом.21'!H1016</f>
        <v>407.76</v>
      </c>
      <c r="I692" s="451">
        <f t="shared" si="339"/>
        <v>99.38094077504266</v>
      </c>
    </row>
    <row r="693" spans="1:9" s="200" customFormat="1" ht="31.7" customHeight="1" x14ac:dyDescent="0.25">
      <c r="A693" s="45" t="s">
        <v>623</v>
      </c>
      <c r="B693" s="454" t="s">
        <v>1434</v>
      </c>
      <c r="C693" s="461" t="s">
        <v>234</v>
      </c>
      <c r="D693" s="461" t="s">
        <v>215</v>
      </c>
      <c r="E693" s="2">
        <v>240</v>
      </c>
      <c r="F693" s="2">
        <v>908</v>
      </c>
      <c r="G693" s="10">
        <f>G692</f>
        <v>410.29999999999995</v>
      </c>
      <c r="H693" s="10">
        <f t="shared" ref="H693" si="356">H692</f>
        <v>407.76</v>
      </c>
      <c r="I693" s="451">
        <f t="shared" si="339"/>
        <v>99.38094077504266</v>
      </c>
    </row>
    <row r="694" spans="1:9" ht="17.45" customHeight="1" x14ac:dyDescent="0.25">
      <c r="A694" s="458" t="s">
        <v>548</v>
      </c>
      <c r="B694" s="454" t="s">
        <v>1422</v>
      </c>
      <c r="C694" s="461" t="s">
        <v>234</v>
      </c>
      <c r="D694" s="461" t="s">
        <v>215</v>
      </c>
      <c r="E694" s="2"/>
      <c r="F694" s="2"/>
      <c r="G694" s="10">
        <f>G695+G698+G701</f>
        <v>3514</v>
      </c>
      <c r="H694" s="10">
        <f t="shared" ref="H694" si="357">H695+H698+H701</f>
        <v>742.63699999999994</v>
      </c>
      <c r="I694" s="451">
        <f t="shared" si="339"/>
        <v>21.133665338645415</v>
      </c>
    </row>
    <row r="695" spans="1:9" ht="31.5" x14ac:dyDescent="0.25">
      <c r="A695" s="458" t="s">
        <v>131</v>
      </c>
      <c r="B695" s="454" t="s">
        <v>1422</v>
      </c>
      <c r="C695" s="461" t="s">
        <v>234</v>
      </c>
      <c r="D695" s="461" t="s">
        <v>215</v>
      </c>
      <c r="E695" s="2">
        <v>200</v>
      </c>
      <c r="F695" s="2"/>
      <c r="G695" s="10">
        <f t="shared" ref="G695:H695" si="358">G696</f>
        <v>3514</v>
      </c>
      <c r="H695" s="10">
        <f t="shared" si="358"/>
        <v>742.63699999999994</v>
      </c>
      <c r="I695" s="451">
        <f t="shared" si="339"/>
        <v>21.133665338645415</v>
      </c>
    </row>
    <row r="696" spans="1:9" ht="31.5" x14ac:dyDescent="0.25">
      <c r="A696" s="458" t="s">
        <v>133</v>
      </c>
      <c r="B696" s="454" t="s">
        <v>1422</v>
      </c>
      <c r="C696" s="461" t="s">
        <v>234</v>
      </c>
      <c r="D696" s="461" t="s">
        <v>215</v>
      </c>
      <c r="E696" s="2">
        <v>240</v>
      </c>
      <c r="F696" s="2"/>
      <c r="G696" s="10">
        <f>'Пр.4 ведом.21'!G1019</f>
        <v>3514</v>
      </c>
      <c r="H696" s="10">
        <f>'Пр.4 ведом.21'!H1019</f>
        <v>742.63699999999994</v>
      </c>
      <c r="I696" s="451">
        <f t="shared" si="339"/>
        <v>21.133665338645415</v>
      </c>
    </row>
    <row r="697" spans="1:9" s="200" customFormat="1" ht="37.5" customHeight="1" x14ac:dyDescent="0.25">
      <c r="A697" s="45" t="s">
        <v>623</v>
      </c>
      <c r="B697" s="454" t="s">
        <v>1422</v>
      </c>
      <c r="C697" s="461" t="s">
        <v>234</v>
      </c>
      <c r="D697" s="461" t="s">
        <v>215</v>
      </c>
      <c r="E697" s="2">
        <v>240</v>
      </c>
      <c r="F697" s="2">
        <v>908</v>
      </c>
      <c r="G697" s="10">
        <f>G696</f>
        <v>3514</v>
      </c>
      <c r="H697" s="10">
        <f t="shared" ref="H697" si="359">H696</f>
        <v>742.63699999999994</v>
      </c>
      <c r="I697" s="451">
        <f t="shared" si="339"/>
        <v>21.133665338645415</v>
      </c>
    </row>
    <row r="698" spans="1:9" ht="15.75" hidden="1" x14ac:dyDescent="0.25">
      <c r="A698" s="458" t="s">
        <v>135</v>
      </c>
      <c r="B698" s="454" t="s">
        <v>1422</v>
      </c>
      <c r="C698" s="461" t="s">
        <v>234</v>
      </c>
      <c r="D698" s="461" t="s">
        <v>215</v>
      </c>
      <c r="E698" s="2">
        <v>800</v>
      </c>
      <c r="F698" s="2"/>
      <c r="G698" s="10">
        <f>G699</f>
        <v>0</v>
      </c>
      <c r="H698" s="10">
        <f t="shared" ref="H698" si="360">H699</f>
        <v>0</v>
      </c>
      <c r="I698" s="451" t="e">
        <f t="shared" si="339"/>
        <v>#DIV/0!</v>
      </c>
    </row>
    <row r="699" spans="1:9" s="200" customFormat="1" ht="47.25" hidden="1" x14ac:dyDescent="0.25">
      <c r="A699" s="458" t="s">
        <v>836</v>
      </c>
      <c r="B699" s="454" t="s">
        <v>1422</v>
      </c>
      <c r="C699" s="461" t="s">
        <v>234</v>
      </c>
      <c r="D699" s="461" t="s">
        <v>215</v>
      </c>
      <c r="E699" s="2">
        <v>830</v>
      </c>
      <c r="F699" s="2"/>
      <c r="G699" s="10">
        <f>'Пр.3 Рд,пр, ЦС,ВР 21'!F419</f>
        <v>0</v>
      </c>
      <c r="H699" s="10">
        <f>'Пр.3 Рд,пр, ЦС,ВР 21'!G419</f>
        <v>0</v>
      </c>
      <c r="I699" s="451" t="e">
        <f t="shared" si="339"/>
        <v>#DIV/0!</v>
      </c>
    </row>
    <row r="700" spans="1:9" s="200" customFormat="1" ht="31.5" hidden="1" x14ac:dyDescent="0.25">
      <c r="A700" s="45" t="s">
        <v>623</v>
      </c>
      <c r="B700" s="454" t="s">
        <v>1422</v>
      </c>
      <c r="C700" s="461" t="s">
        <v>234</v>
      </c>
      <c r="D700" s="461" t="s">
        <v>215</v>
      </c>
      <c r="E700" s="2">
        <v>830</v>
      </c>
      <c r="F700" s="2">
        <v>908</v>
      </c>
      <c r="G700" s="10">
        <f>G699</f>
        <v>0</v>
      </c>
      <c r="H700" s="10">
        <f t="shared" ref="H700" si="361">H699</f>
        <v>0</v>
      </c>
      <c r="I700" s="451" t="e">
        <f t="shared" si="339"/>
        <v>#DIV/0!</v>
      </c>
    </row>
    <row r="701" spans="1:9" s="200" customFormat="1" ht="15.75" hidden="1" x14ac:dyDescent="0.25">
      <c r="A701" s="458" t="s">
        <v>135</v>
      </c>
      <c r="B701" s="454" t="s">
        <v>1422</v>
      </c>
      <c r="C701" s="461" t="s">
        <v>234</v>
      </c>
      <c r="D701" s="461" t="s">
        <v>215</v>
      </c>
      <c r="E701" s="2">
        <v>800</v>
      </c>
      <c r="F701" s="2"/>
      <c r="G701" s="10">
        <f>G702</f>
        <v>0</v>
      </c>
      <c r="H701" s="10">
        <f t="shared" ref="H701" si="362">H702</f>
        <v>0</v>
      </c>
      <c r="I701" s="451" t="e">
        <f t="shared" si="339"/>
        <v>#DIV/0!</v>
      </c>
    </row>
    <row r="702" spans="1:9" ht="15.75" hidden="1" x14ac:dyDescent="0.25">
      <c r="A702" s="458" t="s">
        <v>1078</v>
      </c>
      <c r="B702" s="454" t="s">
        <v>1422</v>
      </c>
      <c r="C702" s="461" t="s">
        <v>234</v>
      </c>
      <c r="D702" s="461" t="s">
        <v>215</v>
      </c>
      <c r="E702" s="2">
        <v>850</v>
      </c>
      <c r="F702" s="2"/>
      <c r="G702" s="10">
        <f>'Пр.3 Рд,пр, ЦС,ВР 21'!F420</f>
        <v>0</v>
      </c>
      <c r="H702" s="10">
        <f>'Пр.3 Рд,пр, ЦС,ВР 21'!G420</f>
        <v>0</v>
      </c>
      <c r="I702" s="451" t="e">
        <f t="shared" si="339"/>
        <v>#DIV/0!</v>
      </c>
    </row>
    <row r="703" spans="1:9" s="200" customFormat="1" ht="31.5" hidden="1" x14ac:dyDescent="0.25">
      <c r="A703" s="45" t="s">
        <v>623</v>
      </c>
      <c r="B703" s="454" t="s">
        <v>1422</v>
      </c>
      <c r="C703" s="461" t="s">
        <v>234</v>
      </c>
      <c r="D703" s="461" t="s">
        <v>215</v>
      </c>
      <c r="E703" s="2">
        <v>850</v>
      </c>
      <c r="F703" s="2">
        <v>908</v>
      </c>
      <c r="G703" s="10">
        <f>G702</f>
        <v>0</v>
      </c>
      <c r="H703" s="10">
        <f t="shared" ref="H703" si="363">H702</f>
        <v>0</v>
      </c>
      <c r="I703" s="451" t="e">
        <f t="shared" si="339"/>
        <v>#DIV/0!</v>
      </c>
    </row>
    <row r="704" spans="1:9" ht="15.75" hidden="1" x14ac:dyDescent="0.25">
      <c r="A704" s="458" t="s">
        <v>550</v>
      </c>
      <c r="B704" s="454" t="s">
        <v>1299</v>
      </c>
      <c r="C704" s="461" t="s">
        <v>234</v>
      </c>
      <c r="D704" s="461" t="s">
        <v>215</v>
      </c>
      <c r="E704" s="2"/>
      <c r="F704" s="2"/>
      <c r="G704" s="10">
        <f t="shared" ref="G704:H705" si="364">G705</f>
        <v>0</v>
      </c>
      <c r="H704" s="10">
        <f t="shared" si="364"/>
        <v>0</v>
      </c>
      <c r="I704" s="451" t="e">
        <f t="shared" si="339"/>
        <v>#DIV/0!</v>
      </c>
    </row>
    <row r="705" spans="1:9" ht="31.5" hidden="1" x14ac:dyDescent="0.25">
      <c r="A705" s="458" t="s">
        <v>131</v>
      </c>
      <c r="B705" s="454" t="s">
        <v>1299</v>
      </c>
      <c r="C705" s="461" t="s">
        <v>234</v>
      </c>
      <c r="D705" s="461" t="s">
        <v>215</v>
      </c>
      <c r="E705" s="2">
        <v>200</v>
      </c>
      <c r="F705" s="2"/>
      <c r="G705" s="10">
        <f>G706</f>
        <v>0</v>
      </c>
      <c r="H705" s="10">
        <f t="shared" si="364"/>
        <v>0</v>
      </c>
      <c r="I705" s="451" t="e">
        <f t="shared" si="339"/>
        <v>#DIV/0!</v>
      </c>
    </row>
    <row r="706" spans="1:9" ht="31.5" hidden="1" x14ac:dyDescent="0.25">
      <c r="A706" s="458" t="s">
        <v>133</v>
      </c>
      <c r="B706" s="454" t="s">
        <v>1299</v>
      </c>
      <c r="C706" s="461" t="s">
        <v>234</v>
      </c>
      <c r="D706" s="461" t="s">
        <v>215</v>
      </c>
      <c r="E706" s="2">
        <v>240</v>
      </c>
      <c r="F706" s="2"/>
      <c r="G706" s="10">
        <f>'Пр.4 ведом.21'!G1025</f>
        <v>0</v>
      </c>
      <c r="H706" s="10">
        <f>'Пр.4 ведом.21'!H1025</f>
        <v>0</v>
      </c>
      <c r="I706" s="451" t="e">
        <f t="shared" si="339"/>
        <v>#DIV/0!</v>
      </c>
    </row>
    <row r="707" spans="1:9" ht="37.5" hidden="1" customHeight="1" x14ac:dyDescent="0.25">
      <c r="A707" s="45" t="s">
        <v>623</v>
      </c>
      <c r="B707" s="454" t="s">
        <v>1299</v>
      </c>
      <c r="C707" s="461" t="s">
        <v>234</v>
      </c>
      <c r="D707" s="461" t="s">
        <v>215</v>
      </c>
      <c r="E707" s="2">
        <v>240</v>
      </c>
      <c r="F707" s="2">
        <v>908</v>
      </c>
      <c r="G707" s="10">
        <f>G706</f>
        <v>0</v>
      </c>
      <c r="H707" s="10">
        <f t="shared" ref="H707" si="365">H706</f>
        <v>0</v>
      </c>
      <c r="I707" s="451" t="e">
        <f t="shared" si="339"/>
        <v>#DIV/0!</v>
      </c>
    </row>
    <row r="708" spans="1:9" ht="15.75" x14ac:dyDescent="0.25">
      <c r="A708" s="458" t="s">
        <v>555</v>
      </c>
      <c r="B708" s="454" t="s">
        <v>1276</v>
      </c>
      <c r="C708" s="461" t="s">
        <v>234</v>
      </c>
      <c r="D708" s="461" t="s">
        <v>215</v>
      </c>
      <c r="E708" s="2"/>
      <c r="F708" s="2"/>
      <c r="G708" s="10">
        <f t="shared" ref="G708:H709" si="366">G709</f>
        <v>50</v>
      </c>
      <c r="H708" s="10">
        <f t="shared" si="366"/>
        <v>12.6</v>
      </c>
      <c r="I708" s="451">
        <f t="shared" si="339"/>
        <v>25.2</v>
      </c>
    </row>
    <row r="709" spans="1:9" ht="31.5" x14ac:dyDescent="0.25">
      <c r="A709" s="458" t="s">
        <v>131</v>
      </c>
      <c r="B709" s="454" t="s">
        <v>1276</v>
      </c>
      <c r="C709" s="461" t="s">
        <v>234</v>
      </c>
      <c r="D709" s="461" t="s">
        <v>215</v>
      </c>
      <c r="E709" s="2">
        <v>200</v>
      </c>
      <c r="F709" s="2"/>
      <c r="G709" s="10">
        <f t="shared" si="366"/>
        <v>50</v>
      </c>
      <c r="H709" s="10">
        <f t="shared" si="366"/>
        <v>12.6</v>
      </c>
      <c r="I709" s="451">
        <f t="shared" si="339"/>
        <v>25.2</v>
      </c>
    </row>
    <row r="710" spans="1:9" ht="31.5" x14ac:dyDescent="0.25">
      <c r="A710" s="458" t="s">
        <v>133</v>
      </c>
      <c r="B710" s="454" t="s">
        <v>1276</v>
      </c>
      <c r="C710" s="461" t="s">
        <v>234</v>
      </c>
      <c r="D710" s="461" t="s">
        <v>215</v>
      </c>
      <c r="E710" s="2">
        <v>240</v>
      </c>
      <c r="F710" s="2"/>
      <c r="G710" s="10">
        <f>'Пр.4 ведом.21'!G1028</f>
        <v>50</v>
      </c>
      <c r="H710" s="10">
        <f>'Пр.4 ведом.21'!H1028</f>
        <v>12.6</v>
      </c>
      <c r="I710" s="451">
        <f t="shared" si="339"/>
        <v>25.2</v>
      </c>
    </row>
    <row r="711" spans="1:9" s="200" customFormat="1" ht="39.200000000000003" customHeight="1" x14ac:dyDescent="0.25">
      <c r="A711" s="45" t="s">
        <v>623</v>
      </c>
      <c r="B711" s="454" t="s">
        <v>1276</v>
      </c>
      <c r="C711" s="461" t="s">
        <v>234</v>
      </c>
      <c r="D711" s="461" t="s">
        <v>215</v>
      </c>
      <c r="E711" s="2">
        <v>240</v>
      </c>
      <c r="F711" s="2">
        <v>908</v>
      </c>
      <c r="G711" s="10">
        <f>G710</f>
        <v>50</v>
      </c>
      <c r="H711" s="10">
        <f t="shared" ref="H711" si="367">H710</f>
        <v>12.6</v>
      </c>
      <c r="I711" s="451">
        <f t="shared" si="339"/>
        <v>25.2</v>
      </c>
    </row>
    <row r="712" spans="1:9" ht="31.5" x14ac:dyDescent="0.25">
      <c r="A712" s="307" t="s">
        <v>1437</v>
      </c>
      <c r="B712" s="454" t="s">
        <v>1277</v>
      </c>
      <c r="C712" s="461" t="s">
        <v>234</v>
      </c>
      <c r="D712" s="461" t="s">
        <v>215</v>
      </c>
      <c r="E712" s="2"/>
      <c r="F712" s="2"/>
      <c r="G712" s="10">
        <f>G713+G716</f>
        <v>21</v>
      </c>
      <c r="H712" s="10">
        <f t="shared" ref="H712" si="368">H713+H716</f>
        <v>20.420000000000002</v>
      </c>
      <c r="I712" s="451">
        <f t="shared" si="339"/>
        <v>97.238095238095241</v>
      </c>
    </row>
    <row r="713" spans="1:9" ht="31.5" x14ac:dyDescent="0.25">
      <c r="A713" s="458" t="s">
        <v>131</v>
      </c>
      <c r="B713" s="454" t="s">
        <v>1277</v>
      </c>
      <c r="C713" s="461" t="s">
        <v>234</v>
      </c>
      <c r="D713" s="461" t="s">
        <v>215</v>
      </c>
      <c r="E713" s="2">
        <v>200</v>
      </c>
      <c r="F713" s="2"/>
      <c r="G713" s="10">
        <f t="shared" ref="G713:H713" si="369">G714</f>
        <v>21</v>
      </c>
      <c r="H713" s="10">
        <f t="shared" si="369"/>
        <v>20.420000000000002</v>
      </c>
      <c r="I713" s="451">
        <f t="shared" si="339"/>
        <v>97.238095238095241</v>
      </c>
    </row>
    <row r="714" spans="1:9" ht="31.5" x14ac:dyDescent="0.25">
      <c r="A714" s="458" t="s">
        <v>133</v>
      </c>
      <c r="B714" s="454" t="s">
        <v>1277</v>
      </c>
      <c r="C714" s="461" t="s">
        <v>234</v>
      </c>
      <c r="D714" s="461" t="s">
        <v>215</v>
      </c>
      <c r="E714" s="2">
        <v>240</v>
      </c>
      <c r="F714" s="2"/>
      <c r="G714" s="10">
        <f>'Пр.4 ведом.21'!G1031</f>
        <v>21</v>
      </c>
      <c r="H714" s="10">
        <f>'Пр.4 ведом.21'!H1031</f>
        <v>20.420000000000002</v>
      </c>
      <c r="I714" s="451">
        <f t="shared" si="339"/>
        <v>97.238095238095241</v>
      </c>
    </row>
    <row r="715" spans="1:9" s="200" customFormat="1" ht="42" customHeight="1" x14ac:dyDescent="0.25">
      <c r="A715" s="45" t="s">
        <v>623</v>
      </c>
      <c r="B715" s="454" t="s">
        <v>1277</v>
      </c>
      <c r="C715" s="461" t="s">
        <v>234</v>
      </c>
      <c r="D715" s="461" t="s">
        <v>215</v>
      </c>
      <c r="E715" s="2">
        <v>240</v>
      </c>
      <c r="F715" s="2">
        <v>908</v>
      </c>
      <c r="G715" s="10">
        <f>G714</f>
        <v>21</v>
      </c>
      <c r="H715" s="10">
        <f t="shared" ref="H715" si="370">H714</f>
        <v>20.420000000000002</v>
      </c>
      <c r="I715" s="451">
        <f t="shared" ref="I715:I778" si="371">H715/G715*100</f>
        <v>97.238095238095241</v>
      </c>
    </row>
    <row r="716" spans="1:9" s="200" customFormat="1" ht="15.75" hidden="1" x14ac:dyDescent="0.25">
      <c r="A716" s="29" t="s">
        <v>135</v>
      </c>
      <c r="B716" s="454" t="s">
        <v>1277</v>
      </c>
      <c r="C716" s="461" t="s">
        <v>234</v>
      </c>
      <c r="D716" s="461" t="s">
        <v>215</v>
      </c>
      <c r="E716" s="2">
        <v>800</v>
      </c>
      <c r="F716" s="2"/>
      <c r="G716" s="10">
        <f>G717</f>
        <v>0</v>
      </c>
      <c r="H716" s="10">
        <f t="shared" ref="H716" si="372">H717</f>
        <v>0</v>
      </c>
      <c r="I716" s="451" t="e">
        <f t="shared" si="371"/>
        <v>#DIV/0!</v>
      </c>
    </row>
    <row r="717" spans="1:9" s="200" customFormat="1" ht="15.75" hidden="1" x14ac:dyDescent="0.25">
      <c r="A717" s="458" t="s">
        <v>704</v>
      </c>
      <c r="B717" s="454" t="s">
        <v>1277</v>
      </c>
      <c r="C717" s="461" t="s">
        <v>234</v>
      </c>
      <c r="D717" s="461" t="s">
        <v>215</v>
      </c>
      <c r="E717" s="2">
        <v>850</v>
      </c>
      <c r="F717" s="2"/>
      <c r="G717" s="10">
        <f>'Пр.4 ведом.21'!G1033</f>
        <v>0</v>
      </c>
      <c r="H717" s="10">
        <f>'Пр.4 ведом.21'!H1033</f>
        <v>0</v>
      </c>
      <c r="I717" s="451" t="e">
        <f t="shared" si="371"/>
        <v>#DIV/0!</v>
      </c>
    </row>
    <row r="718" spans="1:9" s="200" customFormat="1" ht="31.5" hidden="1" x14ac:dyDescent="0.25">
      <c r="A718" s="45" t="s">
        <v>623</v>
      </c>
      <c r="B718" s="454" t="s">
        <v>1277</v>
      </c>
      <c r="C718" s="461" t="s">
        <v>234</v>
      </c>
      <c r="D718" s="461" t="s">
        <v>215</v>
      </c>
      <c r="E718" s="2">
        <v>850</v>
      </c>
      <c r="F718" s="2">
        <v>908</v>
      </c>
      <c r="G718" s="10">
        <f>G717</f>
        <v>0</v>
      </c>
      <c r="H718" s="10">
        <f t="shared" ref="H718" si="373">H717</f>
        <v>0</v>
      </c>
      <c r="I718" s="451" t="e">
        <f t="shared" si="371"/>
        <v>#DIV/0!</v>
      </c>
    </row>
    <row r="719" spans="1:9" ht="15.75" hidden="1" customHeight="1" x14ac:dyDescent="0.25">
      <c r="A719" s="45" t="s">
        <v>559</v>
      </c>
      <c r="B719" s="454" t="s">
        <v>1278</v>
      </c>
      <c r="C719" s="461" t="s">
        <v>234</v>
      </c>
      <c r="D719" s="461" t="s">
        <v>215</v>
      </c>
      <c r="E719" s="2"/>
      <c r="F719" s="2"/>
      <c r="G719" s="10">
        <f t="shared" ref="G719:H720" si="374">G720</f>
        <v>0</v>
      </c>
      <c r="H719" s="10">
        <f t="shared" si="374"/>
        <v>0</v>
      </c>
      <c r="I719" s="451" t="e">
        <f t="shared" si="371"/>
        <v>#DIV/0!</v>
      </c>
    </row>
    <row r="720" spans="1:9" ht="31.7" hidden="1" customHeight="1" x14ac:dyDescent="0.25">
      <c r="A720" s="458" t="s">
        <v>131</v>
      </c>
      <c r="B720" s="454" t="s">
        <v>1278</v>
      </c>
      <c r="C720" s="461" t="s">
        <v>234</v>
      </c>
      <c r="D720" s="461" t="s">
        <v>215</v>
      </c>
      <c r="E720" s="2">
        <v>200</v>
      </c>
      <c r="F720" s="2"/>
      <c r="G720" s="10">
        <f t="shared" si="374"/>
        <v>0</v>
      </c>
      <c r="H720" s="10">
        <f t="shared" si="374"/>
        <v>0</v>
      </c>
      <c r="I720" s="451" t="e">
        <f t="shared" si="371"/>
        <v>#DIV/0!</v>
      </c>
    </row>
    <row r="721" spans="1:9" ht="31.7" hidden="1" customHeight="1" x14ac:dyDescent="0.25">
      <c r="A721" s="458" t="s">
        <v>133</v>
      </c>
      <c r="B721" s="454" t="s">
        <v>1278</v>
      </c>
      <c r="C721" s="461" t="s">
        <v>234</v>
      </c>
      <c r="D721" s="461" t="s">
        <v>215</v>
      </c>
      <c r="E721" s="2">
        <v>240</v>
      </c>
      <c r="F721" s="2"/>
      <c r="G721" s="10">
        <f>'Пр.3 Рд,пр, ЦС,ВР 21'!F434</f>
        <v>0</v>
      </c>
      <c r="H721" s="10">
        <f>'Пр.3 Рд,пр, ЦС,ВР 21'!G434</f>
        <v>0</v>
      </c>
      <c r="I721" s="451" t="e">
        <f t="shared" si="371"/>
        <v>#DIV/0!</v>
      </c>
    </row>
    <row r="722" spans="1:9" ht="31.5" hidden="1" x14ac:dyDescent="0.25">
      <c r="A722" s="45" t="s">
        <v>623</v>
      </c>
      <c r="B722" s="454" t="s">
        <v>1278</v>
      </c>
      <c r="C722" s="461" t="s">
        <v>234</v>
      </c>
      <c r="D722" s="461" t="s">
        <v>215</v>
      </c>
      <c r="E722" s="2">
        <v>850</v>
      </c>
      <c r="F722" s="2">
        <v>908</v>
      </c>
      <c r="G722" s="10">
        <f>G721</f>
        <v>0</v>
      </c>
      <c r="H722" s="10">
        <f t="shared" ref="H722" si="375">H721</f>
        <v>0</v>
      </c>
      <c r="I722" s="451" t="e">
        <f t="shared" si="371"/>
        <v>#DIV/0!</v>
      </c>
    </row>
    <row r="723" spans="1:9" s="200" customFormat="1" ht="31.5" x14ac:dyDescent="0.25">
      <c r="A723" s="224" t="s">
        <v>1089</v>
      </c>
      <c r="B723" s="454" t="s">
        <v>1279</v>
      </c>
      <c r="C723" s="461" t="s">
        <v>234</v>
      </c>
      <c r="D723" s="461" t="s">
        <v>215</v>
      </c>
      <c r="E723" s="2"/>
      <c r="F723" s="2"/>
      <c r="G723" s="10">
        <f>G724</f>
        <v>424</v>
      </c>
      <c r="H723" s="10">
        <f t="shared" ref="H723:H724" si="376">H724</f>
        <v>281.45499999999998</v>
      </c>
      <c r="I723" s="451">
        <f t="shared" si="371"/>
        <v>66.380896226415089</v>
      </c>
    </row>
    <row r="724" spans="1:9" s="200" customFormat="1" ht="31.5" x14ac:dyDescent="0.25">
      <c r="A724" s="458" t="s">
        <v>131</v>
      </c>
      <c r="B724" s="454" t="s">
        <v>1279</v>
      </c>
      <c r="C724" s="461" t="s">
        <v>234</v>
      </c>
      <c r="D724" s="461" t="s">
        <v>215</v>
      </c>
      <c r="E724" s="2">
        <v>200</v>
      </c>
      <c r="F724" s="2"/>
      <c r="G724" s="10">
        <f>G725</f>
        <v>424</v>
      </c>
      <c r="H724" s="10">
        <f t="shared" si="376"/>
        <v>281.45499999999998</v>
      </c>
      <c r="I724" s="451">
        <f t="shared" si="371"/>
        <v>66.380896226415089</v>
      </c>
    </row>
    <row r="725" spans="1:9" s="200" customFormat="1" ht="31.5" x14ac:dyDescent="0.25">
      <c r="A725" s="458" t="s">
        <v>133</v>
      </c>
      <c r="B725" s="454" t="s">
        <v>1279</v>
      </c>
      <c r="C725" s="461" t="s">
        <v>234</v>
      </c>
      <c r="D725" s="461" t="s">
        <v>215</v>
      </c>
      <c r="E725" s="2">
        <v>240</v>
      </c>
      <c r="F725" s="2"/>
      <c r="G725" s="10">
        <f>'Пр.4 ведом.21'!G1039</f>
        <v>424</v>
      </c>
      <c r="H725" s="10">
        <f>'Пр.4 ведом.21'!H1039</f>
        <v>281.45499999999998</v>
      </c>
      <c r="I725" s="451">
        <f t="shared" si="371"/>
        <v>66.380896226415089</v>
      </c>
    </row>
    <row r="726" spans="1:9" s="200" customFormat="1" ht="36.75" customHeight="1" x14ac:dyDescent="0.25">
      <c r="A726" s="45" t="s">
        <v>623</v>
      </c>
      <c r="B726" s="454" t="s">
        <v>1279</v>
      </c>
      <c r="C726" s="461" t="s">
        <v>234</v>
      </c>
      <c r="D726" s="461" t="s">
        <v>215</v>
      </c>
      <c r="E726" s="2">
        <v>240</v>
      </c>
      <c r="F726" s="2">
        <v>908</v>
      </c>
      <c r="G726" s="10">
        <f>G725</f>
        <v>424</v>
      </c>
      <c r="H726" s="10">
        <f t="shared" ref="H726" si="377">H725</f>
        <v>281.45499999999998</v>
      </c>
      <c r="I726" s="451">
        <f t="shared" si="371"/>
        <v>66.380896226415089</v>
      </c>
    </row>
    <row r="727" spans="1:9" s="200" customFormat="1" ht="31.5" x14ac:dyDescent="0.25">
      <c r="A727" s="456" t="s">
        <v>891</v>
      </c>
      <c r="B727" s="457" t="s">
        <v>1297</v>
      </c>
      <c r="C727" s="7"/>
      <c r="D727" s="7"/>
      <c r="E727" s="3"/>
      <c r="F727" s="3"/>
      <c r="G727" s="59">
        <f>G728</f>
        <v>1857.2</v>
      </c>
      <c r="H727" s="59">
        <f t="shared" ref="H727" si="378">H728</f>
        <v>171.58099999999999</v>
      </c>
      <c r="I727" s="450">
        <f t="shared" si="371"/>
        <v>9.2386926556105955</v>
      </c>
    </row>
    <row r="728" spans="1:9" s="200" customFormat="1" ht="15.75" x14ac:dyDescent="0.25">
      <c r="A728" s="73" t="s">
        <v>390</v>
      </c>
      <c r="B728" s="454" t="s">
        <v>1297</v>
      </c>
      <c r="C728" s="461" t="s">
        <v>234</v>
      </c>
      <c r="D728" s="461"/>
      <c r="E728" s="2"/>
      <c r="F728" s="2"/>
      <c r="G728" s="10">
        <f t="shared" ref="G728:H728" si="379">G729</f>
        <v>1857.2</v>
      </c>
      <c r="H728" s="10">
        <f t="shared" si="379"/>
        <v>171.58099999999999</v>
      </c>
      <c r="I728" s="451">
        <f t="shared" si="371"/>
        <v>9.2386926556105955</v>
      </c>
    </row>
    <row r="729" spans="1:9" s="200" customFormat="1" ht="15.75" x14ac:dyDescent="0.25">
      <c r="A729" s="73" t="s">
        <v>541</v>
      </c>
      <c r="B729" s="454" t="s">
        <v>1297</v>
      </c>
      <c r="C729" s="461" t="s">
        <v>234</v>
      </c>
      <c r="D729" s="461" t="s">
        <v>215</v>
      </c>
      <c r="E729" s="2"/>
      <c r="F729" s="2"/>
      <c r="G729" s="10">
        <f>G730+G734</f>
        <v>1857.2</v>
      </c>
      <c r="H729" s="10">
        <f t="shared" ref="H729" si="380">H730+H734</f>
        <v>171.58099999999999</v>
      </c>
      <c r="I729" s="451">
        <f t="shared" si="371"/>
        <v>9.2386926556105955</v>
      </c>
    </row>
    <row r="730" spans="1:9" s="200" customFormat="1" ht="31.5" hidden="1" x14ac:dyDescent="0.25">
      <c r="A730" s="458" t="s">
        <v>690</v>
      </c>
      <c r="B730" s="454" t="s">
        <v>1328</v>
      </c>
      <c r="C730" s="461" t="s">
        <v>234</v>
      </c>
      <c r="D730" s="461" t="s">
        <v>215</v>
      </c>
      <c r="E730" s="2"/>
      <c r="F730" s="2"/>
      <c r="G730" s="10">
        <f>G731</f>
        <v>0</v>
      </c>
      <c r="H730" s="10">
        <f t="shared" ref="H730:H731" si="381">H731</f>
        <v>0</v>
      </c>
      <c r="I730" s="451" t="e">
        <f t="shared" si="371"/>
        <v>#DIV/0!</v>
      </c>
    </row>
    <row r="731" spans="1:9" s="200" customFormat="1" ht="31.5" hidden="1" x14ac:dyDescent="0.25">
      <c r="A731" s="458" t="s">
        <v>131</v>
      </c>
      <c r="B731" s="454" t="s">
        <v>1328</v>
      </c>
      <c r="C731" s="461" t="s">
        <v>234</v>
      </c>
      <c r="D731" s="461" t="s">
        <v>215</v>
      </c>
      <c r="E731" s="454" t="s">
        <v>132</v>
      </c>
      <c r="F731" s="2"/>
      <c r="G731" s="10">
        <f>G732</f>
        <v>0</v>
      </c>
      <c r="H731" s="10">
        <f t="shared" si="381"/>
        <v>0</v>
      </c>
      <c r="I731" s="451" t="e">
        <f t="shared" si="371"/>
        <v>#DIV/0!</v>
      </c>
    </row>
    <row r="732" spans="1:9" s="200" customFormat="1" ht="31.5" hidden="1" x14ac:dyDescent="0.25">
      <c r="A732" s="458" t="s">
        <v>133</v>
      </c>
      <c r="B732" s="454" t="s">
        <v>1328</v>
      </c>
      <c r="C732" s="461" t="s">
        <v>234</v>
      </c>
      <c r="D732" s="461" t="s">
        <v>215</v>
      </c>
      <c r="E732" s="454" t="s">
        <v>134</v>
      </c>
      <c r="F732" s="2"/>
      <c r="G732" s="10">
        <f>'Пр.3 Рд,пр, ЦС,ВР 21'!F441</f>
        <v>0</v>
      </c>
      <c r="H732" s="10">
        <f>'Пр.3 Рд,пр, ЦС,ВР 21'!G441</f>
        <v>0</v>
      </c>
      <c r="I732" s="451" t="e">
        <f t="shared" si="371"/>
        <v>#DIV/0!</v>
      </c>
    </row>
    <row r="733" spans="1:9" s="200" customFormat="1" ht="31.5" hidden="1" x14ac:dyDescent="0.25">
      <c r="A733" s="45" t="s">
        <v>623</v>
      </c>
      <c r="B733" s="454" t="s">
        <v>1328</v>
      </c>
      <c r="C733" s="461" t="s">
        <v>234</v>
      </c>
      <c r="D733" s="461" t="s">
        <v>215</v>
      </c>
      <c r="E733" s="454" t="s">
        <v>134</v>
      </c>
      <c r="F733" s="2">
        <v>908</v>
      </c>
      <c r="G733" s="10">
        <f>G732</f>
        <v>0</v>
      </c>
      <c r="H733" s="10">
        <f t="shared" ref="H733" si="382">H732</f>
        <v>0</v>
      </c>
      <c r="I733" s="451" t="e">
        <f t="shared" si="371"/>
        <v>#DIV/0!</v>
      </c>
    </row>
    <row r="734" spans="1:9" s="200" customFormat="1" ht="63" x14ac:dyDescent="0.25">
      <c r="A734" s="458" t="s">
        <v>1071</v>
      </c>
      <c r="B734" s="454" t="s">
        <v>1296</v>
      </c>
      <c r="C734" s="461" t="s">
        <v>234</v>
      </c>
      <c r="D734" s="461" t="s">
        <v>215</v>
      </c>
      <c r="E734" s="454"/>
      <c r="F734" s="2"/>
      <c r="G734" s="10">
        <f>G735</f>
        <v>1857.2</v>
      </c>
      <c r="H734" s="10">
        <f t="shared" ref="H734:H735" si="383">H735</f>
        <v>171.58099999999999</v>
      </c>
      <c r="I734" s="451">
        <f t="shared" si="371"/>
        <v>9.2386926556105955</v>
      </c>
    </row>
    <row r="735" spans="1:9" s="200" customFormat="1" ht="31.5" x14ac:dyDescent="0.25">
      <c r="A735" s="458" t="s">
        <v>131</v>
      </c>
      <c r="B735" s="454" t="s">
        <v>1296</v>
      </c>
      <c r="C735" s="461" t="s">
        <v>234</v>
      </c>
      <c r="D735" s="461" t="s">
        <v>215</v>
      </c>
      <c r="E735" s="454" t="s">
        <v>132</v>
      </c>
      <c r="F735" s="2"/>
      <c r="G735" s="10">
        <f>G736</f>
        <v>1857.2</v>
      </c>
      <c r="H735" s="10">
        <f t="shared" si="383"/>
        <v>171.58099999999999</v>
      </c>
      <c r="I735" s="451">
        <f t="shared" si="371"/>
        <v>9.2386926556105955</v>
      </c>
    </row>
    <row r="736" spans="1:9" s="200" customFormat="1" ht="31.5" x14ac:dyDescent="0.25">
      <c r="A736" s="458" t="s">
        <v>133</v>
      </c>
      <c r="B736" s="454" t="s">
        <v>1296</v>
      </c>
      <c r="C736" s="461" t="s">
        <v>234</v>
      </c>
      <c r="D736" s="461" t="s">
        <v>215</v>
      </c>
      <c r="E736" s="454" t="s">
        <v>134</v>
      </c>
      <c r="F736" s="2"/>
      <c r="G736" s="10">
        <f>'Пр.3 Рд,пр, ЦС,ВР 21'!F444</f>
        <v>1857.2</v>
      </c>
      <c r="H736" s="10">
        <f>'Пр.3 Рд,пр, ЦС,ВР 21'!G444</f>
        <v>171.58099999999999</v>
      </c>
      <c r="I736" s="451">
        <f t="shared" si="371"/>
        <v>9.2386926556105955</v>
      </c>
    </row>
    <row r="737" spans="1:9" s="200" customFormat="1" ht="38.25" customHeight="1" x14ac:dyDescent="0.25">
      <c r="A737" s="45" t="s">
        <v>623</v>
      </c>
      <c r="B737" s="454" t="s">
        <v>1296</v>
      </c>
      <c r="C737" s="461" t="s">
        <v>234</v>
      </c>
      <c r="D737" s="461" t="s">
        <v>215</v>
      </c>
      <c r="E737" s="454" t="s">
        <v>134</v>
      </c>
      <c r="F737" s="2">
        <v>908</v>
      </c>
      <c r="G737" s="10">
        <f>G736</f>
        <v>1857.2</v>
      </c>
      <c r="H737" s="10">
        <f t="shared" ref="H737" si="384">H736</f>
        <v>171.58099999999999</v>
      </c>
      <c r="I737" s="451">
        <f t="shared" si="371"/>
        <v>9.2386926556105955</v>
      </c>
    </row>
    <row r="738" spans="1:9" s="449" customFormat="1" ht="31.5" x14ac:dyDescent="0.25">
      <c r="A738" s="34" t="s">
        <v>1688</v>
      </c>
      <c r="B738" s="457" t="s">
        <v>1689</v>
      </c>
      <c r="C738" s="7"/>
      <c r="D738" s="7"/>
      <c r="E738" s="457"/>
      <c r="F738" s="3"/>
      <c r="G738" s="59">
        <f>G739</f>
        <v>523.20000000000005</v>
      </c>
      <c r="H738" s="59">
        <f t="shared" ref="H738:H742" si="385">H739</f>
        <v>0</v>
      </c>
      <c r="I738" s="450">
        <f t="shared" si="371"/>
        <v>0</v>
      </c>
    </row>
    <row r="739" spans="1:9" s="449" customFormat="1" ht="15.75" x14ac:dyDescent="0.25">
      <c r="A739" s="73" t="s">
        <v>390</v>
      </c>
      <c r="B739" s="454" t="s">
        <v>1689</v>
      </c>
      <c r="C739" s="461" t="s">
        <v>234</v>
      </c>
      <c r="D739" s="461"/>
      <c r="E739" s="454"/>
      <c r="F739" s="2"/>
      <c r="G739" s="10">
        <f>G740</f>
        <v>523.20000000000005</v>
      </c>
      <c r="H739" s="10">
        <f t="shared" si="385"/>
        <v>0</v>
      </c>
      <c r="I739" s="451">
        <f t="shared" si="371"/>
        <v>0</v>
      </c>
    </row>
    <row r="740" spans="1:9" s="449" customFormat="1" ht="15.75" x14ac:dyDescent="0.25">
      <c r="A740" s="73" t="s">
        <v>541</v>
      </c>
      <c r="B740" s="454" t="s">
        <v>1689</v>
      </c>
      <c r="C740" s="461" t="s">
        <v>234</v>
      </c>
      <c r="D740" s="461" t="s">
        <v>215</v>
      </c>
      <c r="E740" s="454"/>
      <c r="F740" s="2"/>
      <c r="G740" s="10">
        <f>G741</f>
        <v>523.20000000000005</v>
      </c>
      <c r="H740" s="10">
        <f t="shared" si="385"/>
        <v>0</v>
      </c>
      <c r="I740" s="451">
        <f t="shared" si="371"/>
        <v>0</v>
      </c>
    </row>
    <row r="741" spans="1:9" s="449" customFormat="1" ht="31.5" x14ac:dyDescent="0.25">
      <c r="A741" s="31" t="s">
        <v>1687</v>
      </c>
      <c r="B741" s="454" t="s">
        <v>1690</v>
      </c>
      <c r="C741" s="461" t="s">
        <v>234</v>
      </c>
      <c r="D741" s="461" t="s">
        <v>215</v>
      </c>
      <c r="E741" s="454"/>
      <c r="F741" s="2"/>
      <c r="G741" s="10">
        <f>G742</f>
        <v>523.20000000000005</v>
      </c>
      <c r="H741" s="10">
        <f t="shared" si="385"/>
        <v>0</v>
      </c>
      <c r="I741" s="451">
        <f t="shared" si="371"/>
        <v>0</v>
      </c>
    </row>
    <row r="742" spans="1:9" s="449" customFormat="1" ht="31.5" x14ac:dyDescent="0.25">
      <c r="A742" s="458" t="s">
        <v>131</v>
      </c>
      <c r="B742" s="454" t="s">
        <v>1690</v>
      </c>
      <c r="C742" s="461" t="s">
        <v>234</v>
      </c>
      <c r="D742" s="461" t="s">
        <v>215</v>
      </c>
      <c r="E742" s="454" t="s">
        <v>132</v>
      </c>
      <c r="F742" s="2"/>
      <c r="G742" s="10">
        <f>G743</f>
        <v>523.20000000000005</v>
      </c>
      <c r="H742" s="10">
        <f t="shared" si="385"/>
        <v>0</v>
      </c>
      <c r="I742" s="451">
        <f t="shared" si="371"/>
        <v>0</v>
      </c>
    </row>
    <row r="743" spans="1:9" s="449" customFormat="1" ht="31.5" x14ac:dyDescent="0.25">
      <c r="A743" s="458" t="s">
        <v>133</v>
      </c>
      <c r="B743" s="454" t="s">
        <v>1690</v>
      </c>
      <c r="C743" s="461" t="s">
        <v>234</v>
      </c>
      <c r="D743" s="461" t="s">
        <v>215</v>
      </c>
      <c r="E743" s="454" t="s">
        <v>134</v>
      </c>
      <c r="F743" s="2"/>
      <c r="G743" s="10">
        <f>'Пр.4 ведом.21'!G1050</f>
        <v>523.20000000000005</v>
      </c>
      <c r="H743" s="10">
        <f>'Пр.4 ведом.21'!H1050</f>
        <v>0</v>
      </c>
      <c r="I743" s="451">
        <f t="shared" si="371"/>
        <v>0</v>
      </c>
    </row>
    <row r="744" spans="1:9" s="449" customFormat="1" ht="31.5" x14ac:dyDescent="0.25">
      <c r="A744" s="45" t="s">
        <v>623</v>
      </c>
      <c r="B744" s="454" t="s">
        <v>1690</v>
      </c>
      <c r="C744" s="461" t="s">
        <v>234</v>
      </c>
      <c r="D744" s="461" t="s">
        <v>215</v>
      </c>
      <c r="E744" s="454" t="s">
        <v>134</v>
      </c>
      <c r="F744" s="2">
        <v>908</v>
      </c>
      <c r="G744" s="10">
        <f>G743</f>
        <v>523.20000000000005</v>
      </c>
      <c r="H744" s="10">
        <f t="shared" ref="H744" si="386">H743</f>
        <v>0</v>
      </c>
      <c r="I744" s="451">
        <f t="shared" si="371"/>
        <v>0</v>
      </c>
    </row>
    <row r="745" spans="1:9" s="449" customFormat="1" ht="37.5" customHeight="1" x14ac:dyDescent="0.25">
      <c r="A745" s="34" t="s">
        <v>1720</v>
      </c>
      <c r="B745" s="457" t="s">
        <v>1717</v>
      </c>
      <c r="C745" s="7"/>
      <c r="D745" s="7"/>
      <c r="E745" s="457"/>
      <c r="F745" s="3"/>
      <c r="G745" s="59">
        <f>G746</f>
        <v>4637.2</v>
      </c>
      <c r="H745" s="59">
        <f t="shared" ref="H745:H749" si="387">H746</f>
        <v>0</v>
      </c>
      <c r="I745" s="450">
        <f t="shared" si="371"/>
        <v>0</v>
      </c>
    </row>
    <row r="746" spans="1:9" s="449" customFormat="1" ht="15.75" x14ac:dyDescent="0.25">
      <c r="A746" s="73" t="s">
        <v>390</v>
      </c>
      <c r="B746" s="454" t="s">
        <v>1717</v>
      </c>
      <c r="C746" s="461" t="s">
        <v>234</v>
      </c>
      <c r="D746" s="461"/>
      <c r="E746" s="454"/>
      <c r="F746" s="2"/>
      <c r="G746" s="10">
        <f>G747</f>
        <v>4637.2</v>
      </c>
      <c r="H746" s="10">
        <f t="shared" si="387"/>
        <v>0</v>
      </c>
      <c r="I746" s="451">
        <f t="shared" si="371"/>
        <v>0</v>
      </c>
    </row>
    <row r="747" spans="1:9" s="449" customFormat="1" ht="15.75" x14ac:dyDescent="0.25">
      <c r="A747" s="73" t="s">
        <v>541</v>
      </c>
      <c r="B747" s="454" t="s">
        <v>1717</v>
      </c>
      <c r="C747" s="461" t="s">
        <v>234</v>
      </c>
      <c r="D747" s="461" t="s">
        <v>215</v>
      </c>
      <c r="E747" s="454"/>
      <c r="F747" s="2"/>
      <c r="G747" s="10">
        <f>G748</f>
        <v>4637.2</v>
      </c>
      <c r="H747" s="10">
        <f t="shared" si="387"/>
        <v>0</v>
      </c>
      <c r="I747" s="451">
        <f t="shared" si="371"/>
        <v>0</v>
      </c>
    </row>
    <row r="748" spans="1:9" s="449" customFormat="1" ht="47.25" x14ac:dyDescent="0.25">
      <c r="A748" s="31" t="s">
        <v>1718</v>
      </c>
      <c r="B748" s="454" t="s">
        <v>1719</v>
      </c>
      <c r="C748" s="461" t="s">
        <v>234</v>
      </c>
      <c r="D748" s="461" t="s">
        <v>215</v>
      </c>
      <c r="E748" s="454"/>
      <c r="F748" s="2"/>
      <c r="G748" s="10">
        <f>G749</f>
        <v>4637.2</v>
      </c>
      <c r="H748" s="10">
        <f t="shared" si="387"/>
        <v>0</v>
      </c>
      <c r="I748" s="451">
        <f t="shared" si="371"/>
        <v>0</v>
      </c>
    </row>
    <row r="749" spans="1:9" s="449" customFormat="1" ht="31.5" x14ac:dyDescent="0.25">
      <c r="A749" s="458" t="s">
        <v>131</v>
      </c>
      <c r="B749" s="454" t="s">
        <v>1719</v>
      </c>
      <c r="C749" s="461" t="s">
        <v>234</v>
      </c>
      <c r="D749" s="461" t="s">
        <v>215</v>
      </c>
      <c r="E749" s="454" t="s">
        <v>132</v>
      </c>
      <c r="F749" s="2"/>
      <c r="G749" s="10">
        <f>G750</f>
        <v>4637.2</v>
      </c>
      <c r="H749" s="10">
        <f t="shared" si="387"/>
        <v>0</v>
      </c>
      <c r="I749" s="451">
        <f t="shared" si="371"/>
        <v>0</v>
      </c>
    </row>
    <row r="750" spans="1:9" s="449" customFormat="1" ht="31.5" x14ac:dyDescent="0.25">
      <c r="A750" s="458" t="s">
        <v>133</v>
      </c>
      <c r="B750" s="454" t="s">
        <v>1719</v>
      </c>
      <c r="C750" s="461" t="s">
        <v>234</v>
      </c>
      <c r="D750" s="461" t="s">
        <v>215</v>
      </c>
      <c r="E750" s="454" t="s">
        <v>134</v>
      </c>
      <c r="F750" s="2"/>
      <c r="G750" s="10">
        <f>'Пр.4 ведом.21'!G1054</f>
        <v>4637.2</v>
      </c>
      <c r="H750" s="10">
        <f>'Пр.4 ведом.21'!H1054</f>
        <v>0</v>
      </c>
      <c r="I750" s="451">
        <f t="shared" si="371"/>
        <v>0</v>
      </c>
    </row>
    <row r="751" spans="1:9" s="449" customFormat="1" ht="31.5" x14ac:dyDescent="0.25">
      <c r="A751" s="45" t="s">
        <v>623</v>
      </c>
      <c r="B751" s="454" t="s">
        <v>1719</v>
      </c>
      <c r="C751" s="461" t="s">
        <v>234</v>
      </c>
      <c r="D751" s="461" t="s">
        <v>215</v>
      </c>
      <c r="E751" s="454" t="s">
        <v>134</v>
      </c>
      <c r="F751" s="2">
        <v>908</v>
      </c>
      <c r="G751" s="10">
        <v>4637.2</v>
      </c>
      <c r="H751" s="10">
        <v>4637.2</v>
      </c>
      <c r="I751" s="451">
        <f t="shared" si="371"/>
        <v>100</v>
      </c>
    </row>
    <row r="752" spans="1:9" ht="39.75" customHeight="1" x14ac:dyDescent="0.25">
      <c r="A752" s="34" t="s">
        <v>1347</v>
      </c>
      <c r="B752" s="193" t="s">
        <v>182</v>
      </c>
      <c r="C752" s="7"/>
      <c r="D752" s="7"/>
      <c r="E752" s="7"/>
      <c r="F752" s="3"/>
      <c r="G752" s="59">
        <f>G753+G760</f>
        <v>19</v>
      </c>
      <c r="H752" s="59">
        <f t="shared" ref="H752" si="388">H753+H760</f>
        <v>0</v>
      </c>
      <c r="I752" s="450">
        <f t="shared" si="371"/>
        <v>0</v>
      </c>
    </row>
    <row r="753" spans="1:9" s="200" customFormat="1" ht="31.5" x14ac:dyDescent="0.25">
      <c r="A753" s="34" t="s">
        <v>1006</v>
      </c>
      <c r="B753" s="193" t="s">
        <v>877</v>
      </c>
      <c r="C753" s="7"/>
      <c r="D753" s="7"/>
      <c r="E753" s="7"/>
      <c r="F753" s="3"/>
      <c r="G753" s="59">
        <f>G754</f>
        <v>19</v>
      </c>
      <c r="H753" s="59">
        <f t="shared" ref="H753" si="389">H754</f>
        <v>0</v>
      </c>
      <c r="I753" s="450">
        <f t="shared" si="371"/>
        <v>0</v>
      </c>
    </row>
    <row r="754" spans="1:9" ht="15.75" x14ac:dyDescent="0.25">
      <c r="A754" s="29" t="s">
        <v>232</v>
      </c>
      <c r="B754" s="5" t="s">
        <v>877</v>
      </c>
      <c r="C754" s="461" t="s">
        <v>150</v>
      </c>
      <c r="D754" s="461"/>
      <c r="E754" s="461"/>
      <c r="F754" s="2"/>
      <c r="G754" s="10">
        <f t="shared" ref="G754:H757" si="390">G755</f>
        <v>19</v>
      </c>
      <c r="H754" s="10">
        <f t="shared" si="390"/>
        <v>0</v>
      </c>
      <c r="I754" s="451">
        <f t="shared" si="371"/>
        <v>0</v>
      </c>
    </row>
    <row r="755" spans="1:9" ht="15.75" x14ac:dyDescent="0.25">
      <c r="A755" s="29" t="s">
        <v>233</v>
      </c>
      <c r="B755" s="30" t="s">
        <v>877</v>
      </c>
      <c r="C755" s="461" t="s">
        <v>150</v>
      </c>
      <c r="D755" s="461" t="s">
        <v>234</v>
      </c>
      <c r="E755" s="461"/>
      <c r="F755" s="2"/>
      <c r="G755" s="10">
        <f>G756</f>
        <v>19</v>
      </c>
      <c r="H755" s="10">
        <f t="shared" si="390"/>
        <v>0</v>
      </c>
      <c r="I755" s="451">
        <f t="shared" si="371"/>
        <v>0</v>
      </c>
    </row>
    <row r="756" spans="1:9" ht="31.5" x14ac:dyDescent="0.25">
      <c r="A756" s="458" t="s">
        <v>235</v>
      </c>
      <c r="B756" s="454" t="s">
        <v>898</v>
      </c>
      <c r="C756" s="461" t="s">
        <v>150</v>
      </c>
      <c r="D756" s="461" t="s">
        <v>234</v>
      </c>
      <c r="E756" s="461"/>
      <c r="F756" s="2"/>
      <c r="G756" s="10">
        <f t="shared" si="390"/>
        <v>19</v>
      </c>
      <c r="H756" s="10">
        <f t="shared" si="390"/>
        <v>0</v>
      </c>
      <c r="I756" s="451">
        <f t="shared" si="371"/>
        <v>0</v>
      </c>
    </row>
    <row r="757" spans="1:9" ht="15.75" x14ac:dyDescent="0.25">
      <c r="A757" s="29" t="s">
        <v>135</v>
      </c>
      <c r="B757" s="454" t="s">
        <v>898</v>
      </c>
      <c r="C757" s="461" t="s">
        <v>150</v>
      </c>
      <c r="D757" s="461" t="s">
        <v>234</v>
      </c>
      <c r="E757" s="461" t="s">
        <v>145</v>
      </c>
      <c r="F757" s="2"/>
      <c r="G757" s="10">
        <f t="shared" si="390"/>
        <v>19</v>
      </c>
      <c r="H757" s="10">
        <f t="shared" si="390"/>
        <v>0</v>
      </c>
      <c r="I757" s="451">
        <f t="shared" si="371"/>
        <v>0</v>
      </c>
    </row>
    <row r="758" spans="1:9" ht="47.25" x14ac:dyDescent="0.25">
      <c r="A758" s="29" t="s">
        <v>184</v>
      </c>
      <c r="B758" s="454" t="s">
        <v>898</v>
      </c>
      <c r="C758" s="461" t="s">
        <v>150</v>
      </c>
      <c r="D758" s="461" t="s">
        <v>234</v>
      </c>
      <c r="E758" s="461" t="s">
        <v>160</v>
      </c>
      <c r="F758" s="2"/>
      <c r="G758" s="10">
        <f>'Пр.4 ведом.21'!G201</f>
        <v>19</v>
      </c>
      <c r="H758" s="10">
        <f>'Пр.4 ведом.21'!H201</f>
        <v>0</v>
      </c>
      <c r="I758" s="451">
        <f t="shared" si="371"/>
        <v>0</v>
      </c>
    </row>
    <row r="759" spans="1:9" ht="23.25" customHeight="1" x14ac:dyDescent="0.25">
      <c r="A759" s="29" t="s">
        <v>148</v>
      </c>
      <c r="B759" s="454" t="s">
        <v>898</v>
      </c>
      <c r="C759" s="461" t="s">
        <v>150</v>
      </c>
      <c r="D759" s="461" t="s">
        <v>234</v>
      </c>
      <c r="E759" s="461" t="s">
        <v>160</v>
      </c>
      <c r="F759" s="2">
        <v>902</v>
      </c>
      <c r="G759" s="10">
        <f>G758</f>
        <v>19</v>
      </c>
      <c r="H759" s="10">
        <f t="shared" ref="H759" si="391">H758</f>
        <v>0</v>
      </c>
      <c r="I759" s="451">
        <f t="shared" si="371"/>
        <v>0</v>
      </c>
    </row>
    <row r="760" spans="1:9" s="200" customFormat="1" ht="47.25" hidden="1" x14ac:dyDescent="0.25">
      <c r="A760" s="209" t="s">
        <v>1007</v>
      </c>
      <c r="B760" s="457" t="s">
        <v>879</v>
      </c>
      <c r="C760" s="461"/>
      <c r="D760" s="461"/>
      <c r="E760" s="461"/>
      <c r="F760" s="2"/>
      <c r="G760" s="10">
        <f>G761</f>
        <v>0</v>
      </c>
      <c r="H760" s="10">
        <f t="shared" ref="H760:H764" si="392">H761</f>
        <v>0</v>
      </c>
      <c r="I760" s="451" t="e">
        <f t="shared" si="371"/>
        <v>#DIV/0!</v>
      </c>
    </row>
    <row r="761" spans="1:9" s="200" customFormat="1" ht="15.75" hidden="1" x14ac:dyDescent="0.25">
      <c r="A761" s="29" t="s">
        <v>232</v>
      </c>
      <c r="B761" s="454" t="s">
        <v>879</v>
      </c>
      <c r="C761" s="461" t="s">
        <v>150</v>
      </c>
      <c r="D761" s="461"/>
      <c r="E761" s="461"/>
      <c r="F761" s="2"/>
      <c r="G761" s="10">
        <f>G762</f>
        <v>0</v>
      </c>
      <c r="H761" s="10">
        <f t="shared" si="392"/>
        <v>0</v>
      </c>
      <c r="I761" s="451" t="e">
        <f t="shared" si="371"/>
        <v>#DIV/0!</v>
      </c>
    </row>
    <row r="762" spans="1:9" s="200" customFormat="1" ht="15.75" hidden="1" x14ac:dyDescent="0.25">
      <c r="A762" s="29" t="s">
        <v>233</v>
      </c>
      <c r="B762" s="454" t="s">
        <v>879</v>
      </c>
      <c r="C762" s="461" t="s">
        <v>150</v>
      </c>
      <c r="D762" s="461" t="s">
        <v>234</v>
      </c>
      <c r="E762" s="461"/>
      <c r="F762" s="2"/>
      <c r="G762" s="10">
        <f>G763</f>
        <v>0</v>
      </c>
      <c r="H762" s="10">
        <f t="shared" si="392"/>
        <v>0</v>
      </c>
      <c r="I762" s="451" t="e">
        <f t="shared" si="371"/>
        <v>#DIV/0!</v>
      </c>
    </row>
    <row r="763" spans="1:9" s="200" customFormat="1" ht="15.75" hidden="1" x14ac:dyDescent="0.25">
      <c r="A763" s="458" t="s">
        <v>878</v>
      </c>
      <c r="B763" s="5" t="s">
        <v>899</v>
      </c>
      <c r="C763" s="461" t="s">
        <v>150</v>
      </c>
      <c r="D763" s="461" t="s">
        <v>234</v>
      </c>
      <c r="E763" s="461"/>
      <c r="F763" s="2"/>
      <c r="G763" s="10">
        <f>G764</f>
        <v>0</v>
      </c>
      <c r="H763" s="10">
        <f t="shared" si="392"/>
        <v>0</v>
      </c>
      <c r="I763" s="451" t="e">
        <f t="shared" si="371"/>
        <v>#DIV/0!</v>
      </c>
    </row>
    <row r="764" spans="1:9" s="200" customFormat="1" ht="15.75" hidden="1" x14ac:dyDescent="0.25">
      <c r="A764" s="29" t="s">
        <v>135</v>
      </c>
      <c r="B764" s="5" t="s">
        <v>899</v>
      </c>
      <c r="C764" s="461" t="s">
        <v>150</v>
      </c>
      <c r="D764" s="461" t="s">
        <v>234</v>
      </c>
      <c r="E764" s="461" t="s">
        <v>145</v>
      </c>
      <c r="F764" s="2"/>
      <c r="G764" s="10">
        <f>G765</f>
        <v>0</v>
      </c>
      <c r="H764" s="10">
        <f t="shared" si="392"/>
        <v>0</v>
      </c>
      <c r="I764" s="451" t="e">
        <f t="shared" si="371"/>
        <v>#DIV/0!</v>
      </c>
    </row>
    <row r="765" spans="1:9" s="200" customFormat="1" ht="47.25" hidden="1" x14ac:dyDescent="0.25">
      <c r="A765" s="29" t="s">
        <v>184</v>
      </c>
      <c r="B765" s="5" t="s">
        <v>899</v>
      </c>
      <c r="C765" s="461" t="s">
        <v>150</v>
      </c>
      <c r="D765" s="461" t="s">
        <v>234</v>
      </c>
      <c r="E765" s="461" t="s">
        <v>160</v>
      </c>
      <c r="F765" s="2"/>
      <c r="G765" s="10">
        <f>'Пр.3 Рд,пр, ЦС,ВР 21'!F265</f>
        <v>0</v>
      </c>
      <c r="H765" s="10">
        <f>'Пр.3 Рд,пр, ЦС,ВР 21'!G265</f>
        <v>0</v>
      </c>
      <c r="I765" s="451" t="e">
        <f t="shared" si="371"/>
        <v>#DIV/0!</v>
      </c>
    </row>
    <row r="766" spans="1:9" s="200" customFormat="1" ht="19.5" hidden="1" customHeight="1" x14ac:dyDescent="0.25">
      <c r="A766" s="29" t="s">
        <v>148</v>
      </c>
      <c r="B766" s="5" t="s">
        <v>899</v>
      </c>
      <c r="C766" s="461" t="s">
        <v>150</v>
      </c>
      <c r="D766" s="461" t="s">
        <v>234</v>
      </c>
      <c r="E766" s="461" t="s">
        <v>160</v>
      </c>
      <c r="F766" s="2">
        <v>902</v>
      </c>
      <c r="G766" s="10">
        <f>G765</f>
        <v>0</v>
      </c>
      <c r="H766" s="10">
        <f t="shared" ref="H766" si="393">H765</f>
        <v>0</v>
      </c>
      <c r="I766" s="451" t="e">
        <f t="shared" si="371"/>
        <v>#DIV/0!</v>
      </c>
    </row>
    <row r="767" spans="1:9" ht="52.5" customHeight="1" x14ac:dyDescent="0.25">
      <c r="A767" s="462" t="s">
        <v>1533</v>
      </c>
      <c r="B767" s="7" t="s">
        <v>518</v>
      </c>
      <c r="C767" s="7"/>
      <c r="D767" s="7"/>
      <c r="E767" s="72"/>
      <c r="F767" s="3"/>
      <c r="G767" s="59">
        <f>G768+G775+G782+G789+G796+G803+G810</f>
        <v>1085.8</v>
      </c>
      <c r="H767" s="59">
        <f t="shared" ref="H767" si="394">H768+H775+H782+H789+H796+H803+H810</f>
        <v>762.19200000000001</v>
      </c>
      <c r="I767" s="450">
        <f t="shared" si="371"/>
        <v>70.196352919506353</v>
      </c>
    </row>
    <row r="768" spans="1:9" s="200" customFormat="1" ht="31.7" hidden="1" customHeight="1" x14ac:dyDescent="0.25">
      <c r="A768" s="456" t="s">
        <v>963</v>
      </c>
      <c r="B768" s="457" t="s">
        <v>965</v>
      </c>
      <c r="C768" s="461"/>
      <c r="D768" s="461"/>
      <c r="E768" s="461"/>
      <c r="F768" s="2"/>
      <c r="G768" s="59">
        <f>G769</f>
        <v>0</v>
      </c>
      <c r="H768" s="59">
        <f t="shared" ref="H768" si="395">H769</f>
        <v>0</v>
      </c>
      <c r="I768" s="450" t="e">
        <f t="shared" si="371"/>
        <v>#DIV/0!</v>
      </c>
    </row>
    <row r="769" spans="1:9" s="200" customFormat="1" ht="18" hidden="1" customHeight="1" x14ac:dyDescent="0.25">
      <c r="A769" s="29" t="s">
        <v>390</v>
      </c>
      <c r="B769" s="461" t="s">
        <v>965</v>
      </c>
      <c r="C769" s="461" t="s">
        <v>234</v>
      </c>
      <c r="D769" s="461"/>
      <c r="E769" s="73"/>
      <c r="F769" s="2"/>
      <c r="G769" s="10">
        <f t="shared" ref="G769:H770" si="396">G770</f>
        <v>0</v>
      </c>
      <c r="H769" s="10">
        <f t="shared" si="396"/>
        <v>0</v>
      </c>
      <c r="I769" s="450" t="e">
        <f t="shared" si="371"/>
        <v>#DIV/0!</v>
      </c>
    </row>
    <row r="770" spans="1:9" s="200" customFormat="1" ht="19.5" hidden="1" customHeight="1" x14ac:dyDescent="0.25">
      <c r="A770" s="29" t="s">
        <v>517</v>
      </c>
      <c r="B770" s="461" t="s">
        <v>965</v>
      </c>
      <c r="C770" s="461" t="s">
        <v>234</v>
      </c>
      <c r="D770" s="461" t="s">
        <v>213</v>
      </c>
      <c r="E770" s="73"/>
      <c r="F770" s="2"/>
      <c r="G770" s="10">
        <f>G771</f>
        <v>0</v>
      </c>
      <c r="H770" s="10">
        <f t="shared" si="396"/>
        <v>0</v>
      </c>
      <c r="I770" s="450" t="e">
        <f t="shared" si="371"/>
        <v>#DIV/0!</v>
      </c>
    </row>
    <row r="771" spans="1:9" ht="15.75" hidden="1" x14ac:dyDescent="0.25">
      <c r="A771" s="45" t="s">
        <v>521</v>
      </c>
      <c r="B771" s="454" t="s">
        <v>966</v>
      </c>
      <c r="C771" s="461" t="s">
        <v>234</v>
      </c>
      <c r="D771" s="461" t="s">
        <v>213</v>
      </c>
      <c r="E771" s="461"/>
      <c r="F771" s="2"/>
      <c r="G771" s="10">
        <f t="shared" ref="G771:H772" si="397">G772</f>
        <v>0</v>
      </c>
      <c r="H771" s="10">
        <f t="shared" si="397"/>
        <v>0</v>
      </c>
      <c r="I771" s="450" t="e">
        <f t="shared" si="371"/>
        <v>#DIV/0!</v>
      </c>
    </row>
    <row r="772" spans="1:9" ht="31.5" hidden="1" x14ac:dyDescent="0.25">
      <c r="A772" s="31" t="s">
        <v>131</v>
      </c>
      <c r="B772" s="454" t="s">
        <v>966</v>
      </c>
      <c r="C772" s="461" t="s">
        <v>234</v>
      </c>
      <c r="D772" s="461" t="s">
        <v>213</v>
      </c>
      <c r="E772" s="461" t="s">
        <v>132</v>
      </c>
      <c r="F772" s="2"/>
      <c r="G772" s="10">
        <f t="shared" si="397"/>
        <v>0</v>
      </c>
      <c r="H772" s="10">
        <f t="shared" si="397"/>
        <v>0</v>
      </c>
      <c r="I772" s="450" t="e">
        <f t="shared" si="371"/>
        <v>#DIV/0!</v>
      </c>
    </row>
    <row r="773" spans="1:9" ht="31.5" hidden="1" x14ac:dyDescent="0.25">
      <c r="A773" s="31" t="s">
        <v>133</v>
      </c>
      <c r="B773" s="454" t="s">
        <v>966</v>
      </c>
      <c r="C773" s="461" t="s">
        <v>234</v>
      </c>
      <c r="D773" s="461" t="s">
        <v>213</v>
      </c>
      <c r="E773" s="461" t="s">
        <v>134</v>
      </c>
      <c r="F773" s="2"/>
      <c r="G773" s="10">
        <f>'Пр.3 Рд,пр, ЦС,ВР 21'!F370</f>
        <v>0</v>
      </c>
      <c r="H773" s="10">
        <f>'Пр.3 Рд,пр, ЦС,ВР 21'!G370</f>
        <v>0</v>
      </c>
      <c r="I773" s="450" t="e">
        <f t="shared" si="371"/>
        <v>#DIV/0!</v>
      </c>
    </row>
    <row r="774" spans="1:9" s="200" customFormat="1" ht="36.75" hidden="1" customHeight="1" x14ac:dyDescent="0.25">
      <c r="A774" s="45" t="s">
        <v>623</v>
      </c>
      <c r="B774" s="454" t="s">
        <v>966</v>
      </c>
      <c r="C774" s="461" t="s">
        <v>234</v>
      </c>
      <c r="D774" s="461" t="s">
        <v>213</v>
      </c>
      <c r="E774" s="461" t="s">
        <v>134</v>
      </c>
      <c r="F774" s="2">
        <v>908</v>
      </c>
      <c r="G774" s="451">
        <f>G773</f>
        <v>0</v>
      </c>
      <c r="H774" s="451">
        <f t="shared" ref="H774" si="398">H773</f>
        <v>0</v>
      </c>
      <c r="I774" s="450" t="e">
        <f t="shared" si="371"/>
        <v>#DIV/0!</v>
      </c>
    </row>
    <row r="775" spans="1:9" s="200" customFormat="1" ht="31.5" x14ac:dyDescent="0.25">
      <c r="A775" s="34" t="s">
        <v>967</v>
      </c>
      <c r="B775" s="457" t="s">
        <v>968</v>
      </c>
      <c r="C775" s="461"/>
      <c r="D775" s="461"/>
      <c r="E775" s="461"/>
      <c r="F775" s="2"/>
      <c r="G775" s="59">
        <f>G776</f>
        <v>441</v>
      </c>
      <c r="H775" s="59">
        <f t="shared" ref="H775" si="399">H776</f>
        <v>389.95100000000002</v>
      </c>
      <c r="I775" s="450">
        <f t="shared" si="371"/>
        <v>88.424263038548759</v>
      </c>
    </row>
    <row r="776" spans="1:9" s="200" customFormat="1" ht="15.75" x14ac:dyDescent="0.25">
      <c r="A776" s="29" t="s">
        <v>390</v>
      </c>
      <c r="B776" s="461" t="s">
        <v>968</v>
      </c>
      <c r="C776" s="461" t="s">
        <v>234</v>
      </c>
      <c r="D776" s="461"/>
      <c r="E776" s="73"/>
      <c r="F776" s="2"/>
      <c r="G776" s="10">
        <f t="shared" ref="G776:H778" si="400">G777</f>
        <v>441</v>
      </c>
      <c r="H776" s="10">
        <f t="shared" si="400"/>
        <v>389.95100000000002</v>
      </c>
      <c r="I776" s="451">
        <f t="shared" si="371"/>
        <v>88.424263038548759</v>
      </c>
    </row>
    <row r="777" spans="1:9" s="200" customFormat="1" ht="15.75" x14ac:dyDescent="0.25">
      <c r="A777" s="29" t="s">
        <v>517</v>
      </c>
      <c r="B777" s="461" t="s">
        <v>968</v>
      </c>
      <c r="C777" s="461" t="s">
        <v>234</v>
      </c>
      <c r="D777" s="461" t="s">
        <v>213</v>
      </c>
      <c r="E777" s="73"/>
      <c r="F777" s="2"/>
      <c r="G777" s="10">
        <f>G778</f>
        <v>441</v>
      </c>
      <c r="H777" s="10">
        <f t="shared" si="400"/>
        <v>389.95100000000002</v>
      </c>
      <c r="I777" s="451">
        <f t="shared" si="371"/>
        <v>88.424263038548759</v>
      </c>
    </row>
    <row r="778" spans="1:9" ht="15.75" customHeight="1" x14ac:dyDescent="0.25">
      <c r="A778" s="45" t="s">
        <v>523</v>
      </c>
      <c r="B778" s="454" t="s">
        <v>971</v>
      </c>
      <c r="C778" s="461" t="s">
        <v>234</v>
      </c>
      <c r="D778" s="461" t="s">
        <v>213</v>
      </c>
      <c r="E778" s="461"/>
      <c r="F778" s="2"/>
      <c r="G778" s="10">
        <f>G779</f>
        <v>441</v>
      </c>
      <c r="H778" s="10">
        <f t="shared" si="400"/>
        <v>389.95100000000002</v>
      </c>
      <c r="I778" s="451">
        <f t="shared" si="371"/>
        <v>88.424263038548759</v>
      </c>
    </row>
    <row r="779" spans="1:9" ht="31.7" customHeight="1" x14ac:dyDescent="0.25">
      <c r="A779" s="31" t="s">
        <v>131</v>
      </c>
      <c r="B779" s="454" t="s">
        <v>971</v>
      </c>
      <c r="C779" s="461" t="s">
        <v>234</v>
      </c>
      <c r="D779" s="461" t="s">
        <v>213</v>
      </c>
      <c r="E779" s="461" t="s">
        <v>132</v>
      </c>
      <c r="F779" s="2"/>
      <c r="G779" s="10">
        <f t="shared" ref="G779:H779" si="401">G780</f>
        <v>441</v>
      </c>
      <c r="H779" s="10">
        <f t="shared" si="401"/>
        <v>389.95100000000002</v>
      </c>
      <c r="I779" s="451">
        <f t="shared" ref="I779:I842" si="402">H779/G779*100</f>
        <v>88.424263038548759</v>
      </c>
    </row>
    <row r="780" spans="1:9" ht="31.7" customHeight="1" x14ac:dyDescent="0.25">
      <c r="A780" s="31" t="s">
        <v>133</v>
      </c>
      <c r="B780" s="454" t="s">
        <v>971</v>
      </c>
      <c r="C780" s="461" t="s">
        <v>234</v>
      </c>
      <c r="D780" s="461" t="s">
        <v>213</v>
      </c>
      <c r="E780" s="461" t="s">
        <v>134</v>
      </c>
      <c r="F780" s="2"/>
      <c r="G780" s="10">
        <f>'Пр.3 Рд,пр, ЦС,ВР 21'!F374</f>
        <v>441</v>
      </c>
      <c r="H780" s="10">
        <f>'Пр.3 Рд,пр, ЦС,ВР 21'!G374</f>
        <v>389.95100000000002</v>
      </c>
      <c r="I780" s="451">
        <f t="shared" si="402"/>
        <v>88.424263038548759</v>
      </c>
    </row>
    <row r="781" spans="1:9" s="200" customFormat="1" ht="31.7" customHeight="1" x14ac:dyDescent="0.25">
      <c r="A781" s="45" t="s">
        <v>623</v>
      </c>
      <c r="B781" s="454" t="s">
        <v>971</v>
      </c>
      <c r="C781" s="461" t="s">
        <v>234</v>
      </c>
      <c r="D781" s="461" t="s">
        <v>213</v>
      </c>
      <c r="E781" s="461" t="s">
        <v>134</v>
      </c>
      <c r="F781" s="2">
        <v>908</v>
      </c>
      <c r="G781" s="451">
        <f>G780</f>
        <v>441</v>
      </c>
      <c r="H781" s="451">
        <f t="shared" ref="H781" si="403">H780</f>
        <v>389.95100000000002</v>
      </c>
      <c r="I781" s="451">
        <f t="shared" si="402"/>
        <v>88.424263038548759</v>
      </c>
    </row>
    <row r="782" spans="1:9" s="200" customFormat="1" ht="35.450000000000003" hidden="1" customHeight="1" x14ac:dyDescent="0.25">
      <c r="A782" s="58" t="s">
        <v>969</v>
      </c>
      <c r="B782" s="457" t="s">
        <v>970</v>
      </c>
      <c r="C782" s="461"/>
      <c r="D782" s="461"/>
      <c r="E782" s="461"/>
      <c r="F782" s="2"/>
      <c r="G782" s="59">
        <f>G783</f>
        <v>0</v>
      </c>
      <c r="H782" s="59">
        <f t="shared" ref="H782" si="404">H783</f>
        <v>0</v>
      </c>
      <c r="I782" s="451" t="e">
        <f t="shared" si="402"/>
        <v>#DIV/0!</v>
      </c>
    </row>
    <row r="783" spans="1:9" s="200" customFormat="1" ht="15.75" hidden="1" customHeight="1" x14ac:dyDescent="0.25">
      <c r="A783" s="29" t="s">
        <v>390</v>
      </c>
      <c r="B783" s="461" t="s">
        <v>970</v>
      </c>
      <c r="C783" s="461" t="s">
        <v>234</v>
      </c>
      <c r="D783" s="461"/>
      <c r="E783" s="73"/>
      <c r="F783" s="2"/>
      <c r="G783" s="10">
        <f t="shared" ref="G783:H785" si="405">G784</f>
        <v>0</v>
      </c>
      <c r="H783" s="10">
        <f t="shared" si="405"/>
        <v>0</v>
      </c>
      <c r="I783" s="451" t="e">
        <f t="shared" si="402"/>
        <v>#DIV/0!</v>
      </c>
    </row>
    <row r="784" spans="1:9" s="200" customFormat="1" ht="15.75" hidden="1" customHeight="1" x14ac:dyDescent="0.25">
      <c r="A784" s="29" t="s">
        <v>517</v>
      </c>
      <c r="B784" s="461" t="s">
        <v>970</v>
      </c>
      <c r="C784" s="461" t="s">
        <v>234</v>
      </c>
      <c r="D784" s="461" t="s">
        <v>213</v>
      </c>
      <c r="E784" s="73"/>
      <c r="F784" s="2"/>
      <c r="G784" s="10">
        <f>G785</f>
        <v>0</v>
      </c>
      <c r="H784" s="10">
        <f t="shared" si="405"/>
        <v>0</v>
      </c>
      <c r="I784" s="451" t="e">
        <f t="shared" si="402"/>
        <v>#DIV/0!</v>
      </c>
    </row>
    <row r="785" spans="1:9" ht="15.75" hidden="1" customHeight="1" x14ac:dyDescent="0.25">
      <c r="A785" s="45" t="s">
        <v>525</v>
      </c>
      <c r="B785" s="454" t="s">
        <v>972</v>
      </c>
      <c r="C785" s="461" t="s">
        <v>234</v>
      </c>
      <c r="D785" s="461" t="s">
        <v>213</v>
      </c>
      <c r="E785" s="461"/>
      <c r="F785" s="2"/>
      <c r="G785" s="10">
        <f>G786</f>
        <v>0</v>
      </c>
      <c r="H785" s="10">
        <f t="shared" si="405"/>
        <v>0</v>
      </c>
      <c r="I785" s="451" t="e">
        <f t="shared" si="402"/>
        <v>#DIV/0!</v>
      </c>
    </row>
    <row r="786" spans="1:9" ht="31.7" hidden="1" customHeight="1" x14ac:dyDescent="0.25">
      <c r="A786" s="31" t="s">
        <v>131</v>
      </c>
      <c r="B786" s="454" t="s">
        <v>972</v>
      </c>
      <c r="C786" s="461" t="s">
        <v>234</v>
      </c>
      <c r="D786" s="461" t="s">
        <v>213</v>
      </c>
      <c r="E786" s="461" t="s">
        <v>132</v>
      </c>
      <c r="F786" s="2"/>
      <c r="G786" s="10">
        <f t="shared" ref="G786:H786" si="406">G787</f>
        <v>0</v>
      </c>
      <c r="H786" s="10">
        <f t="shared" si="406"/>
        <v>0</v>
      </c>
      <c r="I786" s="451" t="e">
        <f t="shared" si="402"/>
        <v>#DIV/0!</v>
      </c>
    </row>
    <row r="787" spans="1:9" ht="31.7" hidden="1" customHeight="1" x14ac:dyDescent="0.25">
      <c r="A787" s="31" t="s">
        <v>133</v>
      </c>
      <c r="B787" s="454" t="s">
        <v>972</v>
      </c>
      <c r="C787" s="461" t="s">
        <v>234</v>
      </c>
      <c r="D787" s="461" t="s">
        <v>213</v>
      </c>
      <c r="E787" s="461" t="s">
        <v>134</v>
      </c>
      <c r="F787" s="2"/>
      <c r="G787" s="10">
        <f>'Пр.3 Рд,пр, ЦС,ВР 21'!F378</f>
        <v>0</v>
      </c>
      <c r="H787" s="10">
        <f>'Пр.3 Рд,пр, ЦС,ВР 21'!G378</f>
        <v>0</v>
      </c>
      <c r="I787" s="451" t="e">
        <f t="shared" si="402"/>
        <v>#DIV/0!</v>
      </c>
    </row>
    <row r="788" spans="1:9" s="200" customFormat="1" ht="31.7" hidden="1" customHeight="1" x14ac:dyDescent="0.25">
      <c r="A788" s="45" t="s">
        <v>623</v>
      </c>
      <c r="B788" s="454" t="s">
        <v>972</v>
      </c>
      <c r="C788" s="461" t="s">
        <v>234</v>
      </c>
      <c r="D788" s="461" t="s">
        <v>213</v>
      </c>
      <c r="E788" s="461" t="s">
        <v>134</v>
      </c>
      <c r="F788" s="2">
        <v>908</v>
      </c>
      <c r="G788" s="451">
        <f>G787</f>
        <v>0</v>
      </c>
      <c r="H788" s="451">
        <f t="shared" ref="H788" si="407">H787</f>
        <v>0</v>
      </c>
      <c r="I788" s="451" t="e">
        <f t="shared" si="402"/>
        <v>#DIV/0!</v>
      </c>
    </row>
    <row r="789" spans="1:9" s="200" customFormat="1" ht="35.450000000000003" customHeight="1" x14ac:dyDescent="0.25">
      <c r="A789" s="58" t="s">
        <v>973</v>
      </c>
      <c r="B789" s="457" t="s">
        <v>974</v>
      </c>
      <c r="C789" s="461"/>
      <c r="D789" s="461"/>
      <c r="E789" s="461"/>
      <c r="F789" s="2"/>
      <c r="G789" s="59">
        <f>G790</f>
        <v>179.9</v>
      </c>
      <c r="H789" s="59">
        <f t="shared" ref="H789:H791" si="408">H790</f>
        <v>179.011</v>
      </c>
      <c r="I789" s="450">
        <f t="shared" si="402"/>
        <v>99.505836575875477</v>
      </c>
    </row>
    <row r="790" spans="1:9" s="200" customFormat="1" ht="15.75" customHeight="1" x14ac:dyDescent="0.25">
      <c r="A790" s="29" t="s">
        <v>390</v>
      </c>
      <c r="B790" s="461" t="s">
        <v>974</v>
      </c>
      <c r="C790" s="461" t="s">
        <v>234</v>
      </c>
      <c r="D790" s="461"/>
      <c r="E790" s="73"/>
      <c r="F790" s="2"/>
      <c r="G790" s="10">
        <f>G791</f>
        <v>179.9</v>
      </c>
      <c r="H790" s="10">
        <f t="shared" si="408"/>
        <v>179.011</v>
      </c>
      <c r="I790" s="451">
        <f t="shared" si="402"/>
        <v>99.505836575875477</v>
      </c>
    </row>
    <row r="791" spans="1:9" s="200" customFormat="1" ht="15.75" customHeight="1" x14ac:dyDescent="0.25">
      <c r="A791" s="29" t="s">
        <v>517</v>
      </c>
      <c r="B791" s="461" t="s">
        <v>974</v>
      </c>
      <c r="C791" s="461" t="s">
        <v>234</v>
      </c>
      <c r="D791" s="461" t="s">
        <v>213</v>
      </c>
      <c r="E791" s="73"/>
      <c r="F791" s="2"/>
      <c r="G791" s="10">
        <f>G792</f>
        <v>179.9</v>
      </c>
      <c r="H791" s="10">
        <f t="shared" si="408"/>
        <v>179.011</v>
      </c>
      <c r="I791" s="451">
        <f t="shared" si="402"/>
        <v>99.505836575875477</v>
      </c>
    </row>
    <row r="792" spans="1:9" ht="15.75" x14ac:dyDescent="0.25">
      <c r="A792" s="45" t="s">
        <v>527</v>
      </c>
      <c r="B792" s="454" t="s">
        <v>975</v>
      </c>
      <c r="C792" s="461" t="s">
        <v>234</v>
      </c>
      <c r="D792" s="461" t="s">
        <v>213</v>
      </c>
      <c r="E792" s="461"/>
      <c r="F792" s="2"/>
      <c r="G792" s="10">
        <f t="shared" ref="G792:H793" si="409">G793</f>
        <v>179.9</v>
      </c>
      <c r="H792" s="10">
        <f t="shared" si="409"/>
        <v>179.011</v>
      </c>
      <c r="I792" s="451">
        <f t="shared" si="402"/>
        <v>99.505836575875477</v>
      </c>
    </row>
    <row r="793" spans="1:9" ht="31.5" x14ac:dyDescent="0.25">
      <c r="A793" s="31" t="s">
        <v>131</v>
      </c>
      <c r="B793" s="454" t="s">
        <v>975</v>
      </c>
      <c r="C793" s="461" t="s">
        <v>234</v>
      </c>
      <c r="D793" s="461" t="s">
        <v>213</v>
      </c>
      <c r="E793" s="461" t="s">
        <v>132</v>
      </c>
      <c r="F793" s="2"/>
      <c r="G793" s="10">
        <f t="shared" si="409"/>
        <v>179.9</v>
      </c>
      <c r="H793" s="10">
        <f t="shared" si="409"/>
        <v>179.011</v>
      </c>
      <c r="I793" s="451">
        <f t="shared" si="402"/>
        <v>99.505836575875477</v>
      </c>
    </row>
    <row r="794" spans="1:9" ht="31.5" x14ac:dyDescent="0.25">
      <c r="A794" s="31" t="s">
        <v>133</v>
      </c>
      <c r="B794" s="454" t="s">
        <v>975</v>
      </c>
      <c r="C794" s="461" t="s">
        <v>234</v>
      </c>
      <c r="D794" s="461" t="s">
        <v>213</v>
      </c>
      <c r="E794" s="461" t="s">
        <v>134</v>
      </c>
      <c r="F794" s="2"/>
      <c r="G794" s="10">
        <f>'Пр.3 Рд,пр, ЦС,ВР 21'!F382</f>
        <v>179.9</v>
      </c>
      <c r="H794" s="10">
        <f>'Пр.3 Рд,пр, ЦС,ВР 21'!G382</f>
        <v>179.011</v>
      </c>
      <c r="I794" s="451">
        <f t="shared" si="402"/>
        <v>99.505836575875477</v>
      </c>
    </row>
    <row r="795" spans="1:9" s="200" customFormat="1" ht="39.200000000000003" customHeight="1" x14ac:dyDescent="0.25">
      <c r="A795" s="45" t="s">
        <v>623</v>
      </c>
      <c r="B795" s="454" t="s">
        <v>975</v>
      </c>
      <c r="C795" s="461" t="s">
        <v>234</v>
      </c>
      <c r="D795" s="461" t="s">
        <v>213</v>
      </c>
      <c r="E795" s="461" t="s">
        <v>134</v>
      </c>
      <c r="F795" s="2">
        <v>908</v>
      </c>
      <c r="G795" s="451">
        <f>G794</f>
        <v>179.9</v>
      </c>
      <c r="H795" s="451">
        <f t="shared" ref="H795" si="410">H794</f>
        <v>179.011</v>
      </c>
      <c r="I795" s="451">
        <f t="shared" si="402"/>
        <v>99.505836575875477</v>
      </c>
    </row>
    <row r="796" spans="1:9" s="200" customFormat="1" ht="31.5" hidden="1" x14ac:dyDescent="0.25">
      <c r="A796" s="34" t="s">
        <v>1014</v>
      </c>
      <c r="B796" s="457" t="s">
        <v>1015</v>
      </c>
      <c r="C796" s="461"/>
      <c r="D796" s="461"/>
      <c r="E796" s="461"/>
      <c r="F796" s="2"/>
      <c r="G796" s="59">
        <f>G797</f>
        <v>0</v>
      </c>
      <c r="H796" s="59">
        <f t="shared" ref="H796" si="411">H797</f>
        <v>0</v>
      </c>
      <c r="I796" s="451" t="e">
        <f t="shared" si="402"/>
        <v>#DIV/0!</v>
      </c>
    </row>
    <row r="797" spans="1:9" s="200" customFormat="1" ht="15.75" hidden="1" x14ac:dyDescent="0.25">
      <c r="A797" s="29" t="s">
        <v>390</v>
      </c>
      <c r="B797" s="461" t="s">
        <v>518</v>
      </c>
      <c r="C797" s="461" t="s">
        <v>234</v>
      </c>
      <c r="D797" s="461"/>
      <c r="E797" s="73"/>
      <c r="F797" s="2"/>
      <c r="G797" s="10">
        <f t="shared" ref="G797:H798" si="412">G798</f>
        <v>0</v>
      </c>
      <c r="H797" s="10">
        <f t="shared" si="412"/>
        <v>0</v>
      </c>
      <c r="I797" s="451" t="e">
        <f t="shared" si="402"/>
        <v>#DIV/0!</v>
      </c>
    </row>
    <row r="798" spans="1:9" s="200" customFormat="1" ht="15.75" hidden="1" x14ac:dyDescent="0.25">
      <c r="A798" s="29" t="s">
        <v>517</v>
      </c>
      <c r="B798" s="461" t="s">
        <v>518</v>
      </c>
      <c r="C798" s="461" t="s">
        <v>234</v>
      </c>
      <c r="D798" s="461" t="s">
        <v>213</v>
      </c>
      <c r="E798" s="73"/>
      <c r="F798" s="2"/>
      <c r="G798" s="10">
        <f>G799</f>
        <v>0</v>
      </c>
      <c r="H798" s="10">
        <f t="shared" si="412"/>
        <v>0</v>
      </c>
      <c r="I798" s="451" t="e">
        <f t="shared" si="402"/>
        <v>#DIV/0!</v>
      </c>
    </row>
    <row r="799" spans="1:9" ht="15.75" hidden="1" customHeight="1" x14ac:dyDescent="0.25">
      <c r="A799" s="45" t="s">
        <v>529</v>
      </c>
      <c r="B799" s="454" t="s">
        <v>1018</v>
      </c>
      <c r="C799" s="461" t="s">
        <v>234</v>
      </c>
      <c r="D799" s="461" t="s">
        <v>213</v>
      </c>
      <c r="E799" s="461"/>
      <c r="F799" s="2"/>
      <c r="G799" s="10">
        <f t="shared" ref="G799:H800" si="413">G800</f>
        <v>0</v>
      </c>
      <c r="H799" s="10">
        <f t="shared" si="413"/>
        <v>0</v>
      </c>
      <c r="I799" s="451" t="e">
        <f t="shared" si="402"/>
        <v>#DIV/0!</v>
      </c>
    </row>
    <row r="800" spans="1:9" ht="31.7" hidden="1" customHeight="1" x14ac:dyDescent="0.25">
      <c r="A800" s="31" t="s">
        <v>131</v>
      </c>
      <c r="B800" s="454" t="s">
        <v>1018</v>
      </c>
      <c r="C800" s="461" t="s">
        <v>234</v>
      </c>
      <c r="D800" s="461" t="s">
        <v>213</v>
      </c>
      <c r="E800" s="461" t="s">
        <v>132</v>
      </c>
      <c r="F800" s="2"/>
      <c r="G800" s="10">
        <f t="shared" si="413"/>
        <v>0</v>
      </c>
      <c r="H800" s="10">
        <f t="shared" si="413"/>
        <v>0</v>
      </c>
      <c r="I800" s="451" t="e">
        <f t="shared" si="402"/>
        <v>#DIV/0!</v>
      </c>
    </row>
    <row r="801" spans="1:9" ht="31.7" hidden="1" customHeight="1" x14ac:dyDescent="0.25">
      <c r="A801" s="31" t="s">
        <v>133</v>
      </c>
      <c r="B801" s="454" t="s">
        <v>1018</v>
      </c>
      <c r="C801" s="461" t="s">
        <v>234</v>
      </c>
      <c r="D801" s="461" t="s">
        <v>213</v>
      </c>
      <c r="E801" s="461" t="s">
        <v>134</v>
      </c>
      <c r="F801" s="2"/>
      <c r="G801" s="10">
        <f>'Пр.3 Рд,пр, ЦС,ВР 21'!F386</f>
        <v>0</v>
      </c>
      <c r="H801" s="10">
        <f>'Пр.3 Рд,пр, ЦС,ВР 21'!G386</f>
        <v>0</v>
      </c>
      <c r="I801" s="451" t="e">
        <f t="shared" si="402"/>
        <v>#DIV/0!</v>
      </c>
    </row>
    <row r="802" spans="1:9" s="200" customFormat="1" ht="31.7" hidden="1" customHeight="1" x14ac:dyDescent="0.25">
      <c r="A802" s="45" t="s">
        <v>623</v>
      </c>
      <c r="B802" s="454" t="s">
        <v>1018</v>
      </c>
      <c r="C802" s="461" t="s">
        <v>234</v>
      </c>
      <c r="D802" s="461" t="s">
        <v>213</v>
      </c>
      <c r="E802" s="461" t="s">
        <v>134</v>
      </c>
      <c r="F802" s="2">
        <v>908</v>
      </c>
      <c r="G802" s="451">
        <f>G801</f>
        <v>0</v>
      </c>
      <c r="H802" s="451">
        <f t="shared" ref="H802" si="414">H801</f>
        <v>0</v>
      </c>
      <c r="I802" s="451" t="e">
        <f t="shared" si="402"/>
        <v>#DIV/0!</v>
      </c>
    </row>
    <row r="803" spans="1:9" s="200" customFormat="1" ht="31.7" hidden="1" customHeight="1" x14ac:dyDescent="0.25">
      <c r="A803" s="215" t="s">
        <v>1016</v>
      </c>
      <c r="B803" s="457" t="s">
        <v>1017</v>
      </c>
      <c r="C803" s="461"/>
      <c r="D803" s="461"/>
      <c r="E803" s="461"/>
      <c r="F803" s="2"/>
      <c r="G803" s="59">
        <f>G804</f>
        <v>0</v>
      </c>
      <c r="H803" s="59">
        <f t="shared" ref="H803" si="415">H804</f>
        <v>0</v>
      </c>
      <c r="I803" s="451" t="e">
        <f t="shared" si="402"/>
        <v>#DIV/0!</v>
      </c>
    </row>
    <row r="804" spans="1:9" s="200" customFormat="1" ht="16.5" hidden="1" customHeight="1" x14ac:dyDescent="0.25">
      <c r="A804" s="29" t="s">
        <v>390</v>
      </c>
      <c r="B804" s="461" t="s">
        <v>518</v>
      </c>
      <c r="C804" s="461" t="s">
        <v>234</v>
      </c>
      <c r="D804" s="461"/>
      <c r="E804" s="73"/>
      <c r="F804" s="2"/>
      <c r="G804" s="10">
        <f t="shared" ref="G804:H805" si="416">G805</f>
        <v>0</v>
      </c>
      <c r="H804" s="10">
        <f t="shared" si="416"/>
        <v>0</v>
      </c>
      <c r="I804" s="451" t="e">
        <f t="shared" si="402"/>
        <v>#DIV/0!</v>
      </c>
    </row>
    <row r="805" spans="1:9" s="200" customFormat="1" ht="19.5" hidden="1" customHeight="1" x14ac:dyDescent="0.25">
      <c r="A805" s="29" t="s">
        <v>517</v>
      </c>
      <c r="B805" s="461" t="s">
        <v>518</v>
      </c>
      <c r="C805" s="461" t="s">
        <v>234</v>
      </c>
      <c r="D805" s="461" t="s">
        <v>213</v>
      </c>
      <c r="E805" s="73"/>
      <c r="F805" s="2"/>
      <c r="G805" s="10">
        <f>G806</f>
        <v>0</v>
      </c>
      <c r="H805" s="10">
        <f t="shared" si="416"/>
        <v>0</v>
      </c>
      <c r="I805" s="451" t="e">
        <f t="shared" si="402"/>
        <v>#DIV/0!</v>
      </c>
    </row>
    <row r="806" spans="1:9" ht="31.7" hidden="1" customHeight="1" x14ac:dyDescent="0.25">
      <c r="A806" s="174" t="s">
        <v>531</v>
      </c>
      <c r="B806" s="454" t="s">
        <v>1019</v>
      </c>
      <c r="C806" s="461" t="s">
        <v>234</v>
      </c>
      <c r="D806" s="461" t="s">
        <v>213</v>
      </c>
      <c r="E806" s="461"/>
      <c r="F806" s="2"/>
      <c r="G806" s="10">
        <f t="shared" ref="G806:H807" si="417">G807</f>
        <v>0</v>
      </c>
      <c r="H806" s="10">
        <f t="shared" si="417"/>
        <v>0</v>
      </c>
      <c r="I806" s="451" t="e">
        <f t="shared" si="402"/>
        <v>#DIV/0!</v>
      </c>
    </row>
    <row r="807" spans="1:9" ht="31.7" hidden="1" customHeight="1" x14ac:dyDescent="0.25">
      <c r="A807" s="31" t="s">
        <v>131</v>
      </c>
      <c r="B807" s="454" t="s">
        <v>1019</v>
      </c>
      <c r="C807" s="461" t="s">
        <v>234</v>
      </c>
      <c r="D807" s="461" t="s">
        <v>213</v>
      </c>
      <c r="E807" s="461" t="s">
        <v>132</v>
      </c>
      <c r="F807" s="2"/>
      <c r="G807" s="10">
        <f t="shared" si="417"/>
        <v>0</v>
      </c>
      <c r="H807" s="10">
        <f t="shared" si="417"/>
        <v>0</v>
      </c>
      <c r="I807" s="451" t="e">
        <f t="shared" si="402"/>
        <v>#DIV/0!</v>
      </c>
    </row>
    <row r="808" spans="1:9" ht="31.7" hidden="1" customHeight="1" x14ac:dyDescent="0.25">
      <c r="A808" s="31" t="s">
        <v>133</v>
      </c>
      <c r="B808" s="454" t="s">
        <v>1019</v>
      </c>
      <c r="C808" s="461" t="s">
        <v>234</v>
      </c>
      <c r="D808" s="461" t="s">
        <v>213</v>
      </c>
      <c r="E808" s="461" t="s">
        <v>134</v>
      </c>
      <c r="F808" s="2"/>
      <c r="G808" s="10">
        <f>'Пр.3 Рд,пр, ЦС,ВР 21'!F390</f>
        <v>0</v>
      </c>
      <c r="H808" s="10">
        <f>'Пр.3 Рд,пр, ЦС,ВР 21'!G390</f>
        <v>0</v>
      </c>
      <c r="I808" s="451" t="e">
        <f t="shared" si="402"/>
        <v>#DIV/0!</v>
      </c>
    </row>
    <row r="809" spans="1:9" s="200" customFormat="1" ht="31.7" hidden="1" customHeight="1" x14ac:dyDescent="0.25">
      <c r="A809" s="45" t="s">
        <v>623</v>
      </c>
      <c r="B809" s="454" t="s">
        <v>1019</v>
      </c>
      <c r="C809" s="461" t="s">
        <v>234</v>
      </c>
      <c r="D809" s="461" t="s">
        <v>213</v>
      </c>
      <c r="E809" s="461" t="s">
        <v>134</v>
      </c>
      <c r="F809" s="2">
        <v>908</v>
      </c>
      <c r="G809" s="451">
        <f>G808</f>
        <v>0</v>
      </c>
      <c r="H809" s="451">
        <f t="shared" ref="H809" si="418">H808</f>
        <v>0</v>
      </c>
      <c r="I809" s="451" t="e">
        <f t="shared" si="402"/>
        <v>#DIV/0!</v>
      </c>
    </row>
    <row r="810" spans="1:9" s="200" customFormat="1" ht="31.7" customHeight="1" x14ac:dyDescent="0.25">
      <c r="A810" s="215" t="s">
        <v>977</v>
      </c>
      <c r="B810" s="457" t="s">
        <v>978</v>
      </c>
      <c r="C810" s="461"/>
      <c r="D810" s="461"/>
      <c r="E810" s="461"/>
      <c r="F810" s="2"/>
      <c r="G810" s="59">
        <f>G811</f>
        <v>464.90000000000003</v>
      </c>
      <c r="H810" s="59">
        <f t="shared" ref="H810:H812" si="419">H811</f>
        <v>193.23</v>
      </c>
      <c r="I810" s="450">
        <f t="shared" si="402"/>
        <v>41.563777156377711</v>
      </c>
    </row>
    <row r="811" spans="1:9" s="200" customFormat="1" ht="17.45" customHeight="1" x14ac:dyDescent="0.25">
      <c r="A811" s="29" t="s">
        <v>390</v>
      </c>
      <c r="B811" s="461" t="s">
        <v>518</v>
      </c>
      <c r="C811" s="461" t="s">
        <v>234</v>
      </c>
      <c r="D811" s="461"/>
      <c r="E811" s="73"/>
      <c r="F811" s="2"/>
      <c r="G811" s="10">
        <f>G812</f>
        <v>464.90000000000003</v>
      </c>
      <c r="H811" s="10">
        <f t="shared" si="419"/>
        <v>193.23</v>
      </c>
      <c r="I811" s="451">
        <f t="shared" si="402"/>
        <v>41.563777156377711</v>
      </c>
    </row>
    <row r="812" spans="1:9" s="200" customFormat="1" ht="20.25" customHeight="1" x14ac:dyDescent="0.25">
      <c r="A812" s="29" t="s">
        <v>517</v>
      </c>
      <c r="B812" s="461" t="s">
        <v>518</v>
      </c>
      <c r="C812" s="461" t="s">
        <v>234</v>
      </c>
      <c r="D812" s="461" t="s">
        <v>213</v>
      </c>
      <c r="E812" s="73"/>
      <c r="F812" s="2"/>
      <c r="G812" s="10">
        <f>G813</f>
        <v>464.90000000000003</v>
      </c>
      <c r="H812" s="10">
        <f t="shared" si="419"/>
        <v>193.23</v>
      </c>
      <c r="I812" s="451">
        <f t="shared" si="402"/>
        <v>41.563777156377711</v>
      </c>
    </row>
    <row r="813" spans="1:9" ht="15.75" x14ac:dyDescent="0.25">
      <c r="A813" s="174" t="s">
        <v>533</v>
      </c>
      <c r="B813" s="454" t="s">
        <v>976</v>
      </c>
      <c r="C813" s="461" t="s">
        <v>234</v>
      </c>
      <c r="D813" s="461" t="s">
        <v>213</v>
      </c>
      <c r="E813" s="461"/>
      <c r="F813" s="2"/>
      <c r="G813" s="10">
        <f t="shared" ref="G813:H814" si="420">G814</f>
        <v>464.90000000000003</v>
      </c>
      <c r="H813" s="10">
        <f t="shared" si="420"/>
        <v>193.23</v>
      </c>
      <c r="I813" s="451">
        <f t="shared" si="402"/>
        <v>41.563777156377711</v>
      </c>
    </row>
    <row r="814" spans="1:9" ht="31.5" x14ac:dyDescent="0.3">
      <c r="A814" s="458" t="s">
        <v>131</v>
      </c>
      <c r="B814" s="454" t="s">
        <v>976</v>
      </c>
      <c r="C814" s="461" t="s">
        <v>234</v>
      </c>
      <c r="D814" s="461" t="s">
        <v>213</v>
      </c>
      <c r="E814" s="2">
        <v>200</v>
      </c>
      <c r="F814" s="77"/>
      <c r="G814" s="451">
        <f t="shared" si="420"/>
        <v>464.90000000000003</v>
      </c>
      <c r="H814" s="451">
        <f t="shared" si="420"/>
        <v>193.23</v>
      </c>
      <c r="I814" s="451">
        <f t="shared" si="402"/>
        <v>41.563777156377711</v>
      </c>
    </row>
    <row r="815" spans="1:9" ht="31.5" x14ac:dyDescent="0.3">
      <c r="A815" s="458" t="s">
        <v>133</v>
      </c>
      <c r="B815" s="454" t="s">
        <v>976</v>
      </c>
      <c r="C815" s="461" t="s">
        <v>234</v>
      </c>
      <c r="D815" s="461" t="s">
        <v>213</v>
      </c>
      <c r="E815" s="2">
        <v>240</v>
      </c>
      <c r="F815" s="77"/>
      <c r="G815" s="451">
        <f>'Пр.3 Рд,пр, ЦС,ВР 21'!F394</f>
        <v>464.90000000000003</v>
      </c>
      <c r="H815" s="451">
        <f>'Пр.3 Рд,пр, ЦС,ВР 21'!G394</f>
        <v>193.23</v>
      </c>
      <c r="I815" s="451">
        <f t="shared" si="402"/>
        <v>41.563777156377711</v>
      </c>
    </row>
    <row r="816" spans="1:9" ht="38.25" customHeight="1" x14ac:dyDescent="0.25">
      <c r="A816" s="45" t="s">
        <v>623</v>
      </c>
      <c r="B816" s="454" t="s">
        <v>976</v>
      </c>
      <c r="C816" s="461" t="s">
        <v>234</v>
      </c>
      <c r="D816" s="461" t="s">
        <v>213</v>
      </c>
      <c r="E816" s="2">
        <v>240</v>
      </c>
      <c r="F816" s="2">
        <v>908</v>
      </c>
      <c r="G816" s="451">
        <f>G815</f>
        <v>464.90000000000003</v>
      </c>
      <c r="H816" s="451">
        <f t="shared" ref="H816" si="421">H815</f>
        <v>193.23</v>
      </c>
      <c r="I816" s="451">
        <f t="shared" si="402"/>
        <v>41.563777156377711</v>
      </c>
    </row>
    <row r="817" spans="1:9" ht="39.4" customHeight="1" x14ac:dyDescent="0.25">
      <c r="A817" s="456" t="s">
        <v>1352</v>
      </c>
      <c r="B817" s="457" t="s">
        <v>335</v>
      </c>
      <c r="C817" s="7"/>
      <c r="D817" s="7"/>
      <c r="E817" s="3"/>
      <c r="F817" s="3"/>
      <c r="G817" s="450">
        <f>G818</f>
        <v>120</v>
      </c>
      <c r="H817" s="450">
        <f t="shared" ref="H817:H819" si="422">H818</f>
        <v>0</v>
      </c>
      <c r="I817" s="450">
        <f t="shared" si="402"/>
        <v>0</v>
      </c>
    </row>
    <row r="818" spans="1:9" s="200" customFormat="1" ht="31.5" x14ac:dyDescent="0.25">
      <c r="A818" s="456" t="s">
        <v>1050</v>
      </c>
      <c r="B818" s="457" t="s">
        <v>1051</v>
      </c>
      <c r="C818" s="7"/>
      <c r="D818" s="7"/>
      <c r="E818" s="3"/>
      <c r="F818" s="3"/>
      <c r="G818" s="450">
        <f>G819</f>
        <v>120</v>
      </c>
      <c r="H818" s="450">
        <f t="shared" si="422"/>
        <v>0</v>
      </c>
      <c r="I818" s="450">
        <f t="shared" si="402"/>
        <v>0</v>
      </c>
    </row>
    <row r="819" spans="1:9" ht="15.75" x14ac:dyDescent="0.25">
      <c r="A819" s="29" t="s">
        <v>117</v>
      </c>
      <c r="B819" s="454" t="s">
        <v>1051</v>
      </c>
      <c r="C819" s="461" t="s">
        <v>118</v>
      </c>
      <c r="D819" s="461"/>
      <c r="E819" s="2"/>
      <c r="F819" s="2"/>
      <c r="G819" s="451">
        <f>G820</f>
        <v>120</v>
      </c>
      <c r="H819" s="451">
        <f t="shared" si="422"/>
        <v>0</v>
      </c>
      <c r="I819" s="451">
        <f t="shared" si="402"/>
        <v>0</v>
      </c>
    </row>
    <row r="820" spans="1:9" ht="15.75" x14ac:dyDescent="0.25">
      <c r="A820" s="29" t="s">
        <v>139</v>
      </c>
      <c r="B820" s="454" t="s">
        <v>1051</v>
      </c>
      <c r="C820" s="461" t="s">
        <v>118</v>
      </c>
      <c r="D820" s="461" t="s">
        <v>140</v>
      </c>
      <c r="E820" s="2"/>
      <c r="F820" s="2"/>
      <c r="G820" s="451">
        <f>G821+G828+G832+G836+G840</f>
        <v>120</v>
      </c>
      <c r="H820" s="451">
        <f t="shared" ref="H820" si="423">H821+H828+H832+H836+H840</f>
        <v>0</v>
      </c>
      <c r="I820" s="451">
        <f t="shared" si="402"/>
        <v>0</v>
      </c>
    </row>
    <row r="821" spans="1:9" ht="31.5" x14ac:dyDescent="0.25">
      <c r="A821" s="458" t="s">
        <v>336</v>
      </c>
      <c r="B821" s="454" t="s">
        <v>1052</v>
      </c>
      <c r="C821" s="461" t="s">
        <v>118</v>
      </c>
      <c r="D821" s="461" t="s">
        <v>140</v>
      </c>
      <c r="E821" s="2"/>
      <c r="F821" s="2"/>
      <c r="G821" s="451">
        <f>G822+G825</f>
        <v>100</v>
      </c>
      <c r="H821" s="451">
        <f t="shared" ref="H821" si="424">H822+H825</f>
        <v>0</v>
      </c>
      <c r="I821" s="451">
        <f t="shared" si="402"/>
        <v>0</v>
      </c>
    </row>
    <row r="822" spans="1:9" ht="31.5" x14ac:dyDescent="0.25">
      <c r="A822" s="458" t="s">
        <v>131</v>
      </c>
      <c r="B822" s="454" t="s">
        <v>1052</v>
      </c>
      <c r="C822" s="461" t="s">
        <v>118</v>
      </c>
      <c r="D822" s="461" t="s">
        <v>140</v>
      </c>
      <c r="E822" s="2">
        <v>200</v>
      </c>
      <c r="F822" s="2"/>
      <c r="G822" s="451">
        <f t="shared" ref="G822:H822" si="425">G823</f>
        <v>100</v>
      </c>
      <c r="H822" s="451">
        <f t="shared" si="425"/>
        <v>0</v>
      </c>
      <c r="I822" s="451">
        <f t="shared" si="402"/>
        <v>0</v>
      </c>
    </row>
    <row r="823" spans="1:9" ht="31.5" x14ac:dyDescent="0.25">
      <c r="A823" s="458" t="s">
        <v>133</v>
      </c>
      <c r="B823" s="454" t="s">
        <v>1052</v>
      </c>
      <c r="C823" s="461" t="s">
        <v>118</v>
      </c>
      <c r="D823" s="461" t="s">
        <v>140</v>
      </c>
      <c r="E823" s="2">
        <v>240</v>
      </c>
      <c r="F823" s="2"/>
      <c r="G823" s="451">
        <f>'Пр.4 ведом.21'!G568</f>
        <v>100</v>
      </c>
      <c r="H823" s="451">
        <f>'Пр.4 ведом.21'!H568</f>
        <v>0</v>
      </c>
      <c r="I823" s="451">
        <f t="shared" si="402"/>
        <v>0</v>
      </c>
    </row>
    <row r="824" spans="1:9" s="200" customFormat="1" ht="31.5" x14ac:dyDescent="0.25">
      <c r="A824" s="29" t="s">
        <v>403</v>
      </c>
      <c r="B824" s="454" t="s">
        <v>1052</v>
      </c>
      <c r="C824" s="461" t="s">
        <v>118</v>
      </c>
      <c r="D824" s="461" t="s">
        <v>140</v>
      </c>
      <c r="E824" s="2">
        <v>240</v>
      </c>
      <c r="F824" s="2">
        <v>906</v>
      </c>
      <c r="G824" s="451">
        <f>G823</f>
        <v>100</v>
      </c>
      <c r="H824" s="451">
        <f t="shared" ref="H824" si="426">H823</f>
        <v>0</v>
      </c>
      <c r="I824" s="451">
        <f t="shared" si="402"/>
        <v>0</v>
      </c>
    </row>
    <row r="825" spans="1:9" s="200" customFormat="1" ht="31.5" hidden="1" x14ac:dyDescent="0.25">
      <c r="A825" s="458" t="s">
        <v>131</v>
      </c>
      <c r="B825" s="454" t="s">
        <v>1052</v>
      </c>
      <c r="C825" s="461" t="s">
        <v>118</v>
      </c>
      <c r="D825" s="461" t="s">
        <v>140</v>
      </c>
      <c r="E825" s="2">
        <v>200</v>
      </c>
      <c r="F825" s="2"/>
      <c r="G825" s="451">
        <f t="shared" ref="G825:H825" si="427">G826</f>
        <v>0</v>
      </c>
      <c r="H825" s="451">
        <f t="shared" si="427"/>
        <v>0</v>
      </c>
      <c r="I825" s="451" t="e">
        <f t="shared" si="402"/>
        <v>#DIV/0!</v>
      </c>
    </row>
    <row r="826" spans="1:9" s="200" customFormat="1" ht="31.5" hidden="1" x14ac:dyDescent="0.25">
      <c r="A826" s="458" t="s">
        <v>133</v>
      </c>
      <c r="B826" s="454" t="s">
        <v>1052</v>
      </c>
      <c r="C826" s="461" t="s">
        <v>118</v>
      </c>
      <c r="D826" s="461" t="s">
        <v>140</v>
      </c>
      <c r="E826" s="2">
        <v>240</v>
      </c>
      <c r="F826" s="2"/>
      <c r="G826" s="451">
        <f>'Пр.4 ведом.21'!G803</f>
        <v>0</v>
      </c>
      <c r="H826" s="451">
        <f>'Пр.4 ведом.21'!H803</f>
        <v>0</v>
      </c>
      <c r="I826" s="451" t="e">
        <f t="shared" si="402"/>
        <v>#DIV/0!</v>
      </c>
    </row>
    <row r="827" spans="1:9" s="200" customFormat="1" ht="31.5" hidden="1" x14ac:dyDescent="0.25">
      <c r="A827" s="45" t="s">
        <v>480</v>
      </c>
      <c r="B827" s="454" t="s">
        <v>1052</v>
      </c>
      <c r="C827" s="461" t="s">
        <v>118</v>
      </c>
      <c r="D827" s="461" t="s">
        <v>140</v>
      </c>
      <c r="E827" s="2">
        <v>240</v>
      </c>
      <c r="F827" s="2">
        <v>907</v>
      </c>
      <c r="G827" s="451">
        <f>G826</f>
        <v>0</v>
      </c>
      <c r="H827" s="451">
        <f t="shared" ref="H827" si="428">H826</f>
        <v>0</v>
      </c>
      <c r="I827" s="451" t="e">
        <f t="shared" si="402"/>
        <v>#DIV/0!</v>
      </c>
    </row>
    <row r="828" spans="1:9" ht="23.25" customHeight="1" x14ac:dyDescent="0.25">
      <c r="A828" s="458" t="s">
        <v>338</v>
      </c>
      <c r="B828" s="454" t="s">
        <v>1053</v>
      </c>
      <c r="C828" s="461" t="s">
        <v>118</v>
      </c>
      <c r="D828" s="461" t="s">
        <v>140</v>
      </c>
      <c r="E828" s="2"/>
      <c r="F828" s="2"/>
      <c r="G828" s="451">
        <f t="shared" ref="G828:H829" si="429">G829</f>
        <v>20</v>
      </c>
      <c r="H828" s="451">
        <f t="shared" si="429"/>
        <v>0</v>
      </c>
      <c r="I828" s="451">
        <f t="shared" si="402"/>
        <v>0</v>
      </c>
    </row>
    <row r="829" spans="1:9" ht="31.5" x14ac:dyDescent="0.25">
      <c r="A829" s="458" t="s">
        <v>131</v>
      </c>
      <c r="B829" s="454" t="s">
        <v>1053</v>
      </c>
      <c r="C829" s="461" t="s">
        <v>118</v>
      </c>
      <c r="D829" s="461" t="s">
        <v>140</v>
      </c>
      <c r="E829" s="2">
        <v>200</v>
      </c>
      <c r="F829" s="2"/>
      <c r="G829" s="451">
        <f t="shared" si="429"/>
        <v>20</v>
      </c>
      <c r="H829" s="451">
        <f t="shared" si="429"/>
        <v>0</v>
      </c>
      <c r="I829" s="451">
        <f t="shared" si="402"/>
        <v>0</v>
      </c>
    </row>
    <row r="830" spans="1:9" ht="31.5" x14ac:dyDescent="0.25">
      <c r="A830" s="458" t="s">
        <v>133</v>
      </c>
      <c r="B830" s="454" t="s">
        <v>1053</v>
      </c>
      <c r="C830" s="461" t="s">
        <v>118</v>
      </c>
      <c r="D830" s="461" t="s">
        <v>140</v>
      </c>
      <c r="E830" s="2">
        <v>240</v>
      </c>
      <c r="F830" s="2"/>
      <c r="G830" s="451">
        <f>'Пр.4 ведом.21'!G259</f>
        <v>20</v>
      </c>
      <c r="H830" s="451">
        <f>'Пр.4 ведом.21'!H259</f>
        <v>0</v>
      </c>
      <c r="I830" s="451">
        <f t="shared" si="402"/>
        <v>0</v>
      </c>
    </row>
    <row r="831" spans="1:9" s="200" customFormat="1" ht="47.25" x14ac:dyDescent="0.25">
      <c r="A831" s="45" t="s">
        <v>261</v>
      </c>
      <c r="B831" s="454" t="s">
        <v>1053</v>
      </c>
      <c r="C831" s="461" t="s">
        <v>118</v>
      </c>
      <c r="D831" s="461" t="s">
        <v>140</v>
      </c>
      <c r="E831" s="2">
        <v>240</v>
      </c>
      <c r="F831" s="2">
        <v>903</v>
      </c>
      <c r="G831" s="451">
        <f>G830</f>
        <v>20</v>
      </c>
      <c r="H831" s="451">
        <f t="shared" ref="H831" si="430">H830</f>
        <v>0</v>
      </c>
      <c r="I831" s="451">
        <f t="shared" si="402"/>
        <v>0</v>
      </c>
    </row>
    <row r="832" spans="1:9" ht="47.25" hidden="1" x14ac:dyDescent="0.25">
      <c r="A832" s="31" t="s">
        <v>771</v>
      </c>
      <c r="B832" s="454" t="s">
        <v>1054</v>
      </c>
      <c r="C832" s="461" t="s">
        <v>118</v>
      </c>
      <c r="D832" s="461" t="s">
        <v>140</v>
      </c>
      <c r="E832" s="2"/>
      <c r="F832" s="2"/>
      <c r="G832" s="451">
        <f t="shared" ref="G832:H833" si="431">G833</f>
        <v>0</v>
      </c>
      <c r="H832" s="451">
        <f t="shared" si="431"/>
        <v>0</v>
      </c>
      <c r="I832" s="451" t="e">
        <f t="shared" si="402"/>
        <v>#DIV/0!</v>
      </c>
    </row>
    <row r="833" spans="1:9" ht="31.5" hidden="1" x14ac:dyDescent="0.25">
      <c r="A833" s="458" t="s">
        <v>131</v>
      </c>
      <c r="B833" s="454" t="s">
        <v>1054</v>
      </c>
      <c r="C833" s="454" t="s">
        <v>118</v>
      </c>
      <c r="D833" s="454" t="s">
        <v>140</v>
      </c>
      <c r="E833" s="454" t="s">
        <v>132</v>
      </c>
      <c r="F833" s="177"/>
      <c r="G833" s="451">
        <f t="shared" si="431"/>
        <v>0</v>
      </c>
      <c r="H833" s="451">
        <f t="shared" si="431"/>
        <v>0</v>
      </c>
      <c r="I833" s="451" t="e">
        <f t="shared" si="402"/>
        <v>#DIV/0!</v>
      </c>
    </row>
    <row r="834" spans="1:9" ht="31.5" hidden="1" x14ac:dyDescent="0.25">
      <c r="A834" s="458" t="s">
        <v>133</v>
      </c>
      <c r="B834" s="454" t="s">
        <v>1054</v>
      </c>
      <c r="C834" s="454" t="s">
        <v>118</v>
      </c>
      <c r="D834" s="454" t="s">
        <v>140</v>
      </c>
      <c r="E834" s="454" t="s">
        <v>134</v>
      </c>
      <c r="F834" s="177"/>
      <c r="G834" s="451">
        <f>'Пр.4 ведом.21'!G262</f>
        <v>0</v>
      </c>
      <c r="H834" s="451">
        <f>'Пр.4 ведом.21'!H262</f>
        <v>0</v>
      </c>
      <c r="I834" s="451" t="e">
        <f t="shared" si="402"/>
        <v>#DIV/0!</v>
      </c>
    </row>
    <row r="835" spans="1:9" s="200" customFormat="1" ht="47.25" hidden="1" x14ac:dyDescent="0.25">
      <c r="A835" s="45" t="s">
        <v>261</v>
      </c>
      <c r="B835" s="454" t="s">
        <v>1054</v>
      </c>
      <c r="C835" s="461" t="s">
        <v>118</v>
      </c>
      <c r="D835" s="461" t="s">
        <v>140</v>
      </c>
      <c r="E835" s="2">
        <v>240</v>
      </c>
      <c r="F835" s="2">
        <v>903</v>
      </c>
      <c r="G835" s="451">
        <f>G834</f>
        <v>0</v>
      </c>
      <c r="H835" s="451">
        <f t="shared" ref="H835" si="432">H834</f>
        <v>0</v>
      </c>
      <c r="I835" s="451" t="e">
        <f t="shared" si="402"/>
        <v>#DIV/0!</v>
      </c>
    </row>
    <row r="836" spans="1:9" ht="31.5" hidden="1" x14ac:dyDescent="0.25">
      <c r="A836" s="458" t="s">
        <v>679</v>
      </c>
      <c r="B836" s="454" t="s">
        <v>1055</v>
      </c>
      <c r="C836" s="461" t="s">
        <v>118</v>
      </c>
      <c r="D836" s="461" t="s">
        <v>140</v>
      </c>
      <c r="E836" s="2"/>
      <c r="F836" s="177"/>
      <c r="G836" s="451">
        <f t="shared" ref="G836:H837" si="433">G837</f>
        <v>0</v>
      </c>
      <c r="H836" s="451">
        <f t="shared" si="433"/>
        <v>0</v>
      </c>
      <c r="I836" s="451" t="e">
        <f t="shared" si="402"/>
        <v>#DIV/0!</v>
      </c>
    </row>
    <row r="837" spans="1:9" ht="31.5" hidden="1" x14ac:dyDescent="0.25">
      <c r="A837" s="458" t="s">
        <v>131</v>
      </c>
      <c r="B837" s="454" t="s">
        <v>1055</v>
      </c>
      <c r="C837" s="461" t="s">
        <v>118</v>
      </c>
      <c r="D837" s="461" t="s">
        <v>140</v>
      </c>
      <c r="E837" s="2">
        <v>200</v>
      </c>
      <c r="F837" s="177"/>
      <c r="G837" s="451">
        <f t="shared" si="433"/>
        <v>0</v>
      </c>
      <c r="H837" s="451">
        <f t="shared" si="433"/>
        <v>0</v>
      </c>
      <c r="I837" s="451" t="e">
        <f t="shared" si="402"/>
        <v>#DIV/0!</v>
      </c>
    </row>
    <row r="838" spans="1:9" ht="31.5" hidden="1" x14ac:dyDescent="0.25">
      <c r="A838" s="458" t="s">
        <v>133</v>
      </c>
      <c r="B838" s="454" t="s">
        <v>1055</v>
      </c>
      <c r="C838" s="461" t="s">
        <v>118</v>
      </c>
      <c r="D838" s="461" t="s">
        <v>140</v>
      </c>
      <c r="E838" s="2">
        <v>240</v>
      </c>
      <c r="F838" s="177"/>
      <c r="G838" s="451">
        <f>'Пр.4 ведом.21'!G265</f>
        <v>0</v>
      </c>
      <c r="H838" s="451">
        <f>'Пр.4 ведом.21'!H265</f>
        <v>0</v>
      </c>
      <c r="I838" s="451" t="e">
        <f t="shared" si="402"/>
        <v>#DIV/0!</v>
      </c>
    </row>
    <row r="839" spans="1:9" s="200" customFormat="1" ht="47.25" hidden="1" x14ac:dyDescent="0.25">
      <c r="A839" s="45" t="s">
        <v>261</v>
      </c>
      <c r="B839" s="454" t="s">
        <v>1055</v>
      </c>
      <c r="C839" s="461" t="s">
        <v>118</v>
      </c>
      <c r="D839" s="461" t="s">
        <v>140</v>
      </c>
      <c r="E839" s="2">
        <v>240</v>
      </c>
      <c r="F839" s="2">
        <v>903</v>
      </c>
      <c r="G839" s="451">
        <f>G838</f>
        <v>0</v>
      </c>
      <c r="H839" s="451">
        <f t="shared" ref="H839" si="434">H838</f>
        <v>0</v>
      </c>
      <c r="I839" s="451" t="e">
        <f t="shared" si="402"/>
        <v>#DIV/0!</v>
      </c>
    </row>
    <row r="840" spans="1:9" ht="31.7" hidden="1" customHeight="1" x14ac:dyDescent="0.25">
      <c r="A840" s="31" t="s">
        <v>772</v>
      </c>
      <c r="B840" s="454" t="s">
        <v>1056</v>
      </c>
      <c r="C840" s="454" t="s">
        <v>118</v>
      </c>
      <c r="D840" s="454" t="s">
        <v>140</v>
      </c>
      <c r="E840" s="454"/>
      <c r="F840" s="177"/>
      <c r="G840" s="451">
        <f t="shared" ref="G840:H841" si="435">G841</f>
        <v>0</v>
      </c>
      <c r="H840" s="451">
        <f t="shared" si="435"/>
        <v>0</v>
      </c>
      <c r="I840" s="451" t="e">
        <f t="shared" si="402"/>
        <v>#DIV/0!</v>
      </c>
    </row>
    <row r="841" spans="1:9" ht="31.7" hidden="1" customHeight="1" x14ac:dyDescent="0.25">
      <c r="A841" s="458" t="s">
        <v>131</v>
      </c>
      <c r="B841" s="454" t="s">
        <v>1056</v>
      </c>
      <c r="C841" s="454" t="s">
        <v>118</v>
      </c>
      <c r="D841" s="454" t="s">
        <v>140</v>
      </c>
      <c r="E841" s="454" t="s">
        <v>132</v>
      </c>
      <c r="F841" s="177"/>
      <c r="G841" s="451">
        <f t="shared" si="435"/>
        <v>0</v>
      </c>
      <c r="H841" s="451">
        <f t="shared" si="435"/>
        <v>0</v>
      </c>
      <c r="I841" s="451" t="e">
        <f t="shared" si="402"/>
        <v>#DIV/0!</v>
      </c>
    </row>
    <row r="842" spans="1:9" ht="31.7" hidden="1" customHeight="1" x14ac:dyDescent="0.25">
      <c r="A842" s="458" t="s">
        <v>133</v>
      </c>
      <c r="B842" s="454" t="s">
        <v>1056</v>
      </c>
      <c r="C842" s="454" t="s">
        <v>118</v>
      </c>
      <c r="D842" s="454" t="s">
        <v>140</v>
      </c>
      <c r="E842" s="454" t="s">
        <v>134</v>
      </c>
      <c r="F842" s="177"/>
      <c r="G842" s="451">
        <f>'Пр.4 ведом.21'!G268</f>
        <v>0</v>
      </c>
      <c r="H842" s="451">
        <f>'Пр.4 ведом.21'!H268</f>
        <v>0</v>
      </c>
      <c r="I842" s="451" t="e">
        <f t="shared" si="402"/>
        <v>#DIV/0!</v>
      </c>
    </row>
    <row r="843" spans="1:9" ht="47.25" hidden="1" x14ac:dyDescent="0.25">
      <c r="A843" s="45" t="s">
        <v>261</v>
      </c>
      <c r="B843" s="454" t="s">
        <v>1056</v>
      </c>
      <c r="C843" s="454" t="s">
        <v>118</v>
      </c>
      <c r="D843" s="454" t="s">
        <v>140</v>
      </c>
      <c r="E843" s="454" t="s">
        <v>134</v>
      </c>
      <c r="F843" s="2">
        <v>903</v>
      </c>
      <c r="G843" s="451">
        <f>G842</f>
        <v>0</v>
      </c>
      <c r="H843" s="451">
        <f t="shared" ref="H843" si="436">H842</f>
        <v>0</v>
      </c>
      <c r="I843" s="451" t="e">
        <f t="shared" ref="I843:I906" si="437">H843/G843*100</f>
        <v>#DIV/0!</v>
      </c>
    </row>
    <row r="844" spans="1:9" ht="48.75" customHeight="1" x14ac:dyDescent="0.25">
      <c r="A844" s="462" t="s">
        <v>1355</v>
      </c>
      <c r="B844" s="457" t="s">
        <v>705</v>
      </c>
      <c r="C844" s="7"/>
      <c r="D844" s="7"/>
      <c r="E844" s="3"/>
      <c r="F844" s="3"/>
      <c r="G844" s="450">
        <f>G845+G856+G895+G902</f>
        <v>4407.7</v>
      </c>
      <c r="H844" s="450">
        <f t="shared" ref="H844" si="438">H845+H856+H895+H902</f>
        <v>2388.0809200000003</v>
      </c>
      <c r="I844" s="450">
        <f t="shared" si="437"/>
        <v>54.179751797989894</v>
      </c>
    </row>
    <row r="845" spans="1:9" s="200" customFormat="1" ht="48.75" customHeight="1" x14ac:dyDescent="0.25">
      <c r="A845" s="206" t="s">
        <v>846</v>
      </c>
      <c r="B845" s="457" t="s">
        <v>852</v>
      </c>
      <c r="C845" s="7"/>
      <c r="D845" s="7"/>
      <c r="E845" s="3"/>
      <c r="F845" s="3"/>
      <c r="G845" s="450">
        <f>G846</f>
        <v>33.200000000000003</v>
      </c>
      <c r="H845" s="450">
        <f t="shared" ref="H845" si="439">H846</f>
        <v>5.1769999999999996</v>
      </c>
      <c r="I845" s="451">
        <f t="shared" si="437"/>
        <v>15.593373493975902</v>
      </c>
    </row>
    <row r="846" spans="1:9" s="121" customFormat="1" ht="15.75" x14ac:dyDescent="0.25">
      <c r="A846" s="29" t="s">
        <v>117</v>
      </c>
      <c r="B846" s="454" t="s">
        <v>852</v>
      </c>
      <c r="C846" s="461" t="s">
        <v>118</v>
      </c>
      <c r="D846" s="461"/>
      <c r="E846" s="2"/>
      <c r="F846" s="2"/>
      <c r="G846" s="451">
        <f t="shared" ref="G846:H846" si="440">G847</f>
        <v>33.200000000000003</v>
      </c>
      <c r="H846" s="451">
        <f t="shared" si="440"/>
        <v>5.1769999999999996</v>
      </c>
      <c r="I846" s="451">
        <f t="shared" si="437"/>
        <v>15.593373493975902</v>
      </c>
    </row>
    <row r="847" spans="1:9" s="121" customFormat="1" ht="15.75" x14ac:dyDescent="0.25">
      <c r="A847" s="29" t="s">
        <v>139</v>
      </c>
      <c r="B847" s="454" t="s">
        <v>852</v>
      </c>
      <c r="C847" s="461" t="s">
        <v>118</v>
      </c>
      <c r="D847" s="461" t="s">
        <v>140</v>
      </c>
      <c r="E847" s="2"/>
      <c r="F847" s="2"/>
      <c r="G847" s="451">
        <f>G848+G852</f>
        <v>33.200000000000003</v>
      </c>
      <c r="H847" s="451">
        <f t="shared" ref="H847" si="441">H848+H852</f>
        <v>5.1769999999999996</v>
      </c>
      <c r="I847" s="451">
        <f t="shared" si="437"/>
        <v>15.593373493975902</v>
      </c>
    </row>
    <row r="848" spans="1:9" ht="31.5" x14ac:dyDescent="0.25">
      <c r="A848" s="98" t="s">
        <v>776</v>
      </c>
      <c r="B848" s="454" t="s">
        <v>847</v>
      </c>
      <c r="C848" s="461" t="s">
        <v>118</v>
      </c>
      <c r="D848" s="461" t="s">
        <v>140</v>
      </c>
      <c r="E848" s="2"/>
      <c r="F848" s="2"/>
      <c r="G848" s="451">
        <f t="shared" ref="G848:H849" si="442">G849</f>
        <v>28</v>
      </c>
      <c r="H848" s="451">
        <f t="shared" si="442"/>
        <v>0</v>
      </c>
      <c r="I848" s="451">
        <f t="shared" si="437"/>
        <v>0</v>
      </c>
    </row>
    <row r="849" spans="1:14" ht="31.5" x14ac:dyDescent="0.25">
      <c r="A849" s="458" t="s">
        <v>131</v>
      </c>
      <c r="B849" s="454" t="s">
        <v>847</v>
      </c>
      <c r="C849" s="461" t="s">
        <v>118</v>
      </c>
      <c r="D849" s="461" t="s">
        <v>140</v>
      </c>
      <c r="E849" s="2">
        <v>200</v>
      </c>
      <c r="F849" s="2"/>
      <c r="G849" s="451">
        <f t="shared" si="442"/>
        <v>28</v>
      </c>
      <c r="H849" s="451">
        <f t="shared" si="442"/>
        <v>0</v>
      </c>
      <c r="I849" s="451">
        <f t="shared" si="437"/>
        <v>0</v>
      </c>
    </row>
    <row r="850" spans="1:14" ht="31.5" x14ac:dyDescent="0.25">
      <c r="A850" s="458" t="s">
        <v>133</v>
      </c>
      <c r="B850" s="454" t="s">
        <v>847</v>
      </c>
      <c r="C850" s="461" t="s">
        <v>118</v>
      </c>
      <c r="D850" s="461" t="s">
        <v>140</v>
      </c>
      <c r="E850" s="2">
        <v>240</v>
      </c>
      <c r="F850" s="2"/>
      <c r="G850" s="451">
        <f>'Пр.4 ведом.21'!G143</f>
        <v>28</v>
      </c>
      <c r="H850" s="451">
        <f>'Пр.4 ведом.21'!H143</f>
        <v>0</v>
      </c>
      <c r="I850" s="451">
        <f t="shared" si="437"/>
        <v>0</v>
      </c>
    </row>
    <row r="851" spans="1:14" s="200" customFormat="1" ht="19.5" customHeight="1" x14ac:dyDescent="0.25">
      <c r="A851" s="29" t="s">
        <v>148</v>
      </c>
      <c r="B851" s="454" t="s">
        <v>847</v>
      </c>
      <c r="C851" s="461" t="s">
        <v>118</v>
      </c>
      <c r="D851" s="461" t="s">
        <v>140</v>
      </c>
      <c r="E851" s="2">
        <v>240</v>
      </c>
      <c r="F851" s="2">
        <v>902</v>
      </c>
      <c r="G851" s="451">
        <f>G850</f>
        <v>28</v>
      </c>
      <c r="H851" s="451">
        <f t="shared" ref="H851" si="443">H850</f>
        <v>0</v>
      </c>
      <c r="I851" s="451">
        <f t="shared" si="437"/>
        <v>0</v>
      </c>
    </row>
    <row r="852" spans="1:14" s="200" customFormat="1" ht="31.5" x14ac:dyDescent="0.25">
      <c r="A852" s="98" t="s">
        <v>776</v>
      </c>
      <c r="B852" s="454" t="s">
        <v>847</v>
      </c>
      <c r="C852" s="461" t="s">
        <v>118</v>
      </c>
      <c r="D852" s="461" t="s">
        <v>140</v>
      </c>
      <c r="E852" s="2"/>
      <c r="F852" s="2"/>
      <c r="G852" s="451">
        <f>G853</f>
        <v>5.2</v>
      </c>
      <c r="H852" s="451">
        <f t="shared" ref="H852:H853" si="444">H853</f>
        <v>5.1769999999999996</v>
      </c>
      <c r="I852" s="451">
        <f t="shared" si="437"/>
        <v>99.557692307692292</v>
      </c>
    </row>
    <row r="853" spans="1:14" s="200" customFormat="1" ht="31.5" x14ac:dyDescent="0.25">
      <c r="A853" s="458" t="s">
        <v>131</v>
      </c>
      <c r="B853" s="454" t="s">
        <v>847</v>
      </c>
      <c r="C853" s="461" t="s">
        <v>118</v>
      </c>
      <c r="D853" s="461" t="s">
        <v>140</v>
      </c>
      <c r="E853" s="2">
        <v>200</v>
      </c>
      <c r="F853" s="2"/>
      <c r="G853" s="451">
        <f>G854</f>
        <v>5.2</v>
      </c>
      <c r="H853" s="451">
        <f t="shared" si="444"/>
        <v>5.1769999999999996</v>
      </c>
      <c r="I853" s="451">
        <f t="shared" si="437"/>
        <v>99.557692307692292</v>
      </c>
    </row>
    <row r="854" spans="1:14" s="200" customFormat="1" ht="31.5" x14ac:dyDescent="0.25">
      <c r="A854" s="458" t="s">
        <v>133</v>
      </c>
      <c r="B854" s="454" t="s">
        <v>847</v>
      </c>
      <c r="C854" s="461" t="s">
        <v>118</v>
      </c>
      <c r="D854" s="461" t="s">
        <v>140</v>
      </c>
      <c r="E854" s="2">
        <v>240</v>
      </c>
      <c r="F854" s="2"/>
      <c r="G854" s="451">
        <f>'Пр.4 ведом.21'!G273</f>
        <v>5.2</v>
      </c>
      <c r="H854" s="451">
        <f>'Пр.4 ведом.21'!H273</f>
        <v>5.1769999999999996</v>
      </c>
      <c r="I854" s="451">
        <f t="shared" si="437"/>
        <v>99.557692307692292</v>
      </c>
    </row>
    <row r="855" spans="1:14" s="200" customFormat="1" ht="47.25" x14ac:dyDescent="0.25">
      <c r="A855" s="45" t="s">
        <v>261</v>
      </c>
      <c r="B855" s="454" t="s">
        <v>847</v>
      </c>
      <c r="C855" s="461" t="s">
        <v>118</v>
      </c>
      <c r="D855" s="461" t="s">
        <v>140</v>
      </c>
      <c r="E855" s="2">
        <v>240</v>
      </c>
      <c r="F855" s="2">
        <v>903</v>
      </c>
      <c r="G855" s="451">
        <f>G854</f>
        <v>5.2</v>
      </c>
      <c r="H855" s="451">
        <f t="shared" ref="H855" si="445">H854</f>
        <v>5.1769999999999996</v>
      </c>
      <c r="I855" s="451">
        <f t="shared" si="437"/>
        <v>99.557692307692292</v>
      </c>
    </row>
    <row r="856" spans="1:14" s="200" customFormat="1" ht="47.25" x14ac:dyDescent="0.25">
      <c r="A856" s="462" t="s">
        <v>890</v>
      </c>
      <c r="B856" s="457" t="s">
        <v>888</v>
      </c>
      <c r="C856" s="461"/>
      <c r="D856" s="461"/>
      <c r="E856" s="2"/>
      <c r="F856" s="2"/>
      <c r="G856" s="450">
        <f>G857+G877+G883+G889</f>
        <v>3811.5</v>
      </c>
      <c r="H856" s="450">
        <f t="shared" ref="H856" si="446">H857+H877+H883+H889</f>
        <v>2367.9039200000002</v>
      </c>
      <c r="I856" s="450">
        <f t="shared" si="437"/>
        <v>62.125250426341339</v>
      </c>
      <c r="K856" s="22"/>
      <c r="N856" s="227"/>
    </row>
    <row r="857" spans="1:14" s="200" customFormat="1" ht="15.75" x14ac:dyDescent="0.25">
      <c r="A857" s="29" t="s">
        <v>263</v>
      </c>
      <c r="B857" s="454" t="s">
        <v>888</v>
      </c>
      <c r="C857" s="461" t="s">
        <v>264</v>
      </c>
      <c r="D857" s="461"/>
      <c r="E857" s="2"/>
      <c r="F857" s="2"/>
      <c r="G857" s="451">
        <f>G858+G864+G868</f>
        <v>2305</v>
      </c>
      <c r="H857" s="451">
        <f t="shared" ref="H857" si="447">H858+H864+H868</f>
        <v>1347.67092</v>
      </c>
      <c r="I857" s="451">
        <f t="shared" si="437"/>
        <v>58.467285032537966</v>
      </c>
    </row>
    <row r="858" spans="1:14" s="200" customFormat="1" ht="15.75" x14ac:dyDescent="0.25">
      <c r="A858" s="29" t="s">
        <v>404</v>
      </c>
      <c r="B858" s="454" t="s">
        <v>888</v>
      </c>
      <c r="C858" s="461" t="s">
        <v>264</v>
      </c>
      <c r="D858" s="461" t="s">
        <v>118</v>
      </c>
      <c r="E858" s="2"/>
      <c r="F858" s="2"/>
      <c r="G858" s="451">
        <f>G859</f>
        <v>576.20000000000005</v>
      </c>
      <c r="H858" s="451">
        <f t="shared" ref="H858:H860" si="448">H859</f>
        <v>392.23480000000001</v>
      </c>
      <c r="I858" s="451">
        <f t="shared" si="437"/>
        <v>68.072683096147173</v>
      </c>
    </row>
    <row r="859" spans="1:14" s="200" customFormat="1" ht="47.25" x14ac:dyDescent="0.25">
      <c r="A859" s="45" t="s">
        <v>780</v>
      </c>
      <c r="B859" s="454" t="s">
        <v>936</v>
      </c>
      <c r="C859" s="461" t="s">
        <v>264</v>
      </c>
      <c r="D859" s="461" t="s">
        <v>118</v>
      </c>
      <c r="E859" s="2"/>
      <c r="F859" s="2"/>
      <c r="G859" s="451">
        <f>G860</f>
        <v>576.20000000000005</v>
      </c>
      <c r="H859" s="451">
        <f t="shared" si="448"/>
        <v>392.23480000000001</v>
      </c>
      <c r="I859" s="451">
        <f t="shared" si="437"/>
        <v>68.072683096147173</v>
      </c>
      <c r="N859" s="227"/>
    </row>
    <row r="860" spans="1:14" s="200" customFormat="1" ht="31.5" x14ac:dyDescent="0.25">
      <c r="A860" s="29" t="s">
        <v>272</v>
      </c>
      <c r="B860" s="454" t="s">
        <v>936</v>
      </c>
      <c r="C860" s="461" t="s">
        <v>264</v>
      </c>
      <c r="D860" s="461" t="s">
        <v>118</v>
      </c>
      <c r="E860" s="2">
        <v>600</v>
      </c>
      <c r="F860" s="2"/>
      <c r="G860" s="451">
        <f>G861</f>
        <v>576.20000000000005</v>
      </c>
      <c r="H860" s="451">
        <f t="shared" si="448"/>
        <v>392.23480000000001</v>
      </c>
      <c r="I860" s="451">
        <f t="shared" si="437"/>
        <v>68.072683096147173</v>
      </c>
    </row>
    <row r="861" spans="1:14" s="200" customFormat="1" ht="15.75" x14ac:dyDescent="0.25">
      <c r="A861" s="182" t="s">
        <v>274</v>
      </c>
      <c r="B861" s="454" t="s">
        <v>936</v>
      </c>
      <c r="C861" s="461" t="s">
        <v>264</v>
      </c>
      <c r="D861" s="461" t="s">
        <v>118</v>
      </c>
      <c r="E861" s="2">
        <v>610</v>
      </c>
      <c r="F861" s="2"/>
      <c r="G861" s="451">
        <f>'Пр.4 ведом.21'!G637</f>
        <v>576.20000000000005</v>
      </c>
      <c r="H861" s="451">
        <f>'Пр.4 ведом.21'!H637</f>
        <v>392.23480000000001</v>
      </c>
      <c r="I861" s="451">
        <f t="shared" si="437"/>
        <v>68.072683096147173</v>
      </c>
    </row>
    <row r="862" spans="1:14" s="200" customFormat="1" ht="31.5" x14ac:dyDescent="0.25">
      <c r="A862" s="29" t="s">
        <v>403</v>
      </c>
      <c r="B862" s="454" t="s">
        <v>936</v>
      </c>
      <c r="C862" s="461" t="s">
        <v>264</v>
      </c>
      <c r="D862" s="461" t="s">
        <v>118</v>
      </c>
      <c r="E862" s="2">
        <v>610</v>
      </c>
      <c r="F862" s="2">
        <v>906</v>
      </c>
      <c r="G862" s="451">
        <f>G861</f>
        <v>576.20000000000005</v>
      </c>
      <c r="H862" s="451">
        <f t="shared" ref="H862" si="449">H861</f>
        <v>392.23480000000001</v>
      </c>
      <c r="I862" s="451">
        <f t="shared" si="437"/>
        <v>68.072683096147173</v>
      </c>
    </row>
    <row r="863" spans="1:14" s="200" customFormat="1" ht="15.75" x14ac:dyDescent="0.25">
      <c r="A863" s="45" t="s">
        <v>425</v>
      </c>
      <c r="B863" s="454" t="s">
        <v>888</v>
      </c>
      <c r="C863" s="461" t="s">
        <v>264</v>
      </c>
      <c r="D863" s="461" t="s">
        <v>213</v>
      </c>
      <c r="E863" s="2"/>
      <c r="F863" s="2"/>
      <c r="G863" s="451">
        <f>G864</f>
        <v>837</v>
      </c>
      <c r="H863" s="451">
        <f t="shared" ref="H863:H865" si="450">H864</f>
        <v>522.16800000000001</v>
      </c>
      <c r="I863" s="451">
        <f t="shared" si="437"/>
        <v>62.385663082437283</v>
      </c>
    </row>
    <row r="864" spans="1:14" s="200" customFormat="1" ht="47.25" x14ac:dyDescent="0.25">
      <c r="A864" s="45" t="s">
        <v>780</v>
      </c>
      <c r="B864" s="454" t="s">
        <v>936</v>
      </c>
      <c r="C864" s="461" t="s">
        <v>264</v>
      </c>
      <c r="D864" s="461" t="s">
        <v>213</v>
      </c>
      <c r="E864" s="2"/>
      <c r="F864" s="2"/>
      <c r="G864" s="451">
        <f>G865</f>
        <v>837</v>
      </c>
      <c r="H864" s="451">
        <f t="shared" si="450"/>
        <v>522.16800000000001</v>
      </c>
      <c r="I864" s="451">
        <f t="shared" si="437"/>
        <v>62.385663082437283</v>
      </c>
    </row>
    <row r="865" spans="1:9" s="200" customFormat="1" ht="31.5" x14ac:dyDescent="0.25">
      <c r="A865" s="29" t="s">
        <v>272</v>
      </c>
      <c r="B865" s="454" t="s">
        <v>936</v>
      </c>
      <c r="C865" s="461" t="s">
        <v>264</v>
      </c>
      <c r="D865" s="461" t="s">
        <v>213</v>
      </c>
      <c r="E865" s="2">
        <v>600</v>
      </c>
      <c r="F865" s="2"/>
      <c r="G865" s="451">
        <f>G866</f>
        <v>837</v>
      </c>
      <c r="H865" s="451">
        <f t="shared" si="450"/>
        <v>522.16800000000001</v>
      </c>
      <c r="I865" s="451">
        <f t="shared" si="437"/>
        <v>62.385663082437283</v>
      </c>
    </row>
    <row r="866" spans="1:9" s="200" customFormat="1" ht="15.75" x14ac:dyDescent="0.25">
      <c r="A866" s="182" t="s">
        <v>274</v>
      </c>
      <c r="B866" s="454" t="s">
        <v>936</v>
      </c>
      <c r="C866" s="461" t="s">
        <v>264</v>
      </c>
      <c r="D866" s="461" t="s">
        <v>213</v>
      </c>
      <c r="E866" s="2">
        <v>610</v>
      </c>
      <c r="F866" s="2"/>
      <c r="G866" s="451">
        <f>'Пр.4 ведом.21'!G728</f>
        <v>837</v>
      </c>
      <c r="H866" s="451">
        <f>'Пр.4 ведом.21'!H728</f>
        <v>522.16800000000001</v>
      </c>
      <c r="I866" s="451">
        <f t="shared" si="437"/>
        <v>62.385663082437283</v>
      </c>
    </row>
    <row r="867" spans="1:9" s="200" customFormat="1" ht="31.5" x14ac:dyDescent="0.25">
      <c r="A867" s="29" t="s">
        <v>403</v>
      </c>
      <c r="B867" s="454" t="s">
        <v>936</v>
      </c>
      <c r="C867" s="461" t="s">
        <v>264</v>
      </c>
      <c r="D867" s="461" t="s">
        <v>213</v>
      </c>
      <c r="E867" s="2">
        <v>610</v>
      </c>
      <c r="F867" s="2">
        <v>906</v>
      </c>
      <c r="G867" s="451">
        <f>G866</f>
        <v>837</v>
      </c>
      <c r="H867" s="451">
        <f t="shared" ref="H867" si="451">H866</f>
        <v>522.16800000000001</v>
      </c>
      <c r="I867" s="451">
        <f t="shared" si="437"/>
        <v>62.385663082437283</v>
      </c>
    </row>
    <row r="868" spans="1:9" s="200" customFormat="1" ht="15.75" x14ac:dyDescent="0.25">
      <c r="A868" s="45" t="s">
        <v>265</v>
      </c>
      <c r="B868" s="454" t="s">
        <v>888</v>
      </c>
      <c r="C868" s="461" t="s">
        <v>264</v>
      </c>
      <c r="D868" s="461" t="s">
        <v>215</v>
      </c>
      <c r="E868" s="2"/>
      <c r="F868" s="2"/>
      <c r="G868" s="451">
        <f>G873+G869</f>
        <v>891.8</v>
      </c>
      <c r="H868" s="451">
        <f t="shared" ref="H868" si="452">H873+H869</f>
        <v>433.26811999999995</v>
      </c>
      <c r="I868" s="451">
        <f t="shared" si="437"/>
        <v>48.583552366001342</v>
      </c>
    </row>
    <row r="869" spans="1:9" s="200" customFormat="1" ht="31.5" x14ac:dyDescent="0.25">
      <c r="A869" s="98" t="s">
        <v>1004</v>
      </c>
      <c r="B869" s="454" t="s">
        <v>889</v>
      </c>
      <c r="C869" s="461" t="s">
        <v>264</v>
      </c>
      <c r="D869" s="461" t="s">
        <v>215</v>
      </c>
      <c r="E869" s="2"/>
      <c r="F869" s="2"/>
      <c r="G869" s="451">
        <f>G870</f>
        <v>595.5</v>
      </c>
      <c r="H869" s="451">
        <f t="shared" ref="H869:H870" si="453">H870</f>
        <v>261.70699999999999</v>
      </c>
      <c r="I869" s="451">
        <f t="shared" si="437"/>
        <v>43.947439126784218</v>
      </c>
    </row>
    <row r="870" spans="1:9" s="200" customFormat="1" ht="31.5" x14ac:dyDescent="0.25">
      <c r="A870" s="458" t="s">
        <v>131</v>
      </c>
      <c r="B870" s="454" t="s">
        <v>889</v>
      </c>
      <c r="C870" s="461" t="s">
        <v>264</v>
      </c>
      <c r="D870" s="461" t="s">
        <v>215</v>
      </c>
      <c r="E870" s="2">
        <v>200</v>
      </c>
      <c r="F870" s="2"/>
      <c r="G870" s="451">
        <f>G871</f>
        <v>595.5</v>
      </c>
      <c r="H870" s="451">
        <f t="shared" si="453"/>
        <v>261.70699999999999</v>
      </c>
      <c r="I870" s="451">
        <f t="shared" si="437"/>
        <v>43.947439126784218</v>
      </c>
    </row>
    <row r="871" spans="1:9" s="200" customFormat="1" ht="31.5" x14ac:dyDescent="0.25">
      <c r="A871" s="458" t="s">
        <v>133</v>
      </c>
      <c r="B871" s="454" t="s">
        <v>889</v>
      </c>
      <c r="C871" s="461" t="s">
        <v>264</v>
      </c>
      <c r="D871" s="461" t="s">
        <v>215</v>
      </c>
      <c r="E871" s="2">
        <v>240</v>
      </c>
      <c r="F871" s="2"/>
      <c r="G871" s="451">
        <f>'Пр.4 ведом.21'!G340</f>
        <v>595.5</v>
      </c>
      <c r="H871" s="451">
        <f>'Пр.4 ведом.21'!H340</f>
        <v>261.70699999999999</v>
      </c>
      <c r="I871" s="451">
        <f t="shared" si="437"/>
        <v>43.947439126784218</v>
      </c>
    </row>
    <row r="872" spans="1:9" s="200" customFormat="1" ht="47.25" x14ac:dyDescent="0.25">
      <c r="A872" s="45" t="s">
        <v>261</v>
      </c>
      <c r="B872" s="454" t="s">
        <v>889</v>
      </c>
      <c r="C872" s="461" t="s">
        <v>264</v>
      </c>
      <c r="D872" s="461" t="s">
        <v>215</v>
      </c>
      <c r="E872" s="2">
        <v>240</v>
      </c>
      <c r="F872" s="2">
        <v>903</v>
      </c>
      <c r="G872" s="451">
        <f>G871</f>
        <v>595.5</v>
      </c>
      <c r="H872" s="451">
        <f t="shared" ref="H872" si="454">H871</f>
        <v>261.70699999999999</v>
      </c>
      <c r="I872" s="451">
        <f t="shared" si="437"/>
        <v>43.947439126784218</v>
      </c>
    </row>
    <row r="873" spans="1:9" s="200" customFormat="1" ht="47.25" x14ac:dyDescent="0.25">
      <c r="A873" s="45" t="s">
        <v>780</v>
      </c>
      <c r="B873" s="454" t="s">
        <v>936</v>
      </c>
      <c r="C873" s="461" t="s">
        <v>264</v>
      </c>
      <c r="D873" s="461" t="s">
        <v>215</v>
      </c>
      <c r="E873" s="2"/>
      <c r="F873" s="2"/>
      <c r="G873" s="451">
        <f>G874</f>
        <v>296.3</v>
      </c>
      <c r="H873" s="451">
        <f t="shared" ref="H873:H874" si="455">H874</f>
        <v>171.56111999999999</v>
      </c>
      <c r="I873" s="451">
        <f t="shared" si="437"/>
        <v>57.901154235572051</v>
      </c>
    </row>
    <row r="874" spans="1:9" s="200" customFormat="1" ht="31.5" x14ac:dyDescent="0.25">
      <c r="A874" s="29" t="s">
        <v>272</v>
      </c>
      <c r="B874" s="454" t="s">
        <v>936</v>
      </c>
      <c r="C874" s="461" t="s">
        <v>264</v>
      </c>
      <c r="D874" s="461" t="s">
        <v>215</v>
      </c>
      <c r="E874" s="2">
        <v>600</v>
      </c>
      <c r="F874" s="2"/>
      <c r="G874" s="451">
        <f>G875</f>
        <v>296.3</v>
      </c>
      <c r="H874" s="451">
        <f t="shared" si="455"/>
        <v>171.56111999999999</v>
      </c>
      <c r="I874" s="451">
        <f t="shared" si="437"/>
        <v>57.901154235572051</v>
      </c>
    </row>
    <row r="875" spans="1:9" s="200" customFormat="1" ht="15.75" x14ac:dyDescent="0.25">
      <c r="A875" s="182" t="s">
        <v>274</v>
      </c>
      <c r="B875" s="454" t="s">
        <v>936</v>
      </c>
      <c r="C875" s="461" t="s">
        <v>264</v>
      </c>
      <c r="D875" s="461" t="s">
        <v>215</v>
      </c>
      <c r="E875" s="2">
        <v>610</v>
      </c>
      <c r="F875" s="2"/>
      <c r="G875" s="451">
        <f>'Пр.4 ведом.21'!G760</f>
        <v>296.3</v>
      </c>
      <c r="H875" s="451">
        <f>'Пр.4 ведом.21'!H760</f>
        <v>171.56111999999999</v>
      </c>
      <c r="I875" s="451">
        <f t="shared" si="437"/>
        <v>57.901154235572051</v>
      </c>
    </row>
    <row r="876" spans="1:9" s="200" customFormat="1" ht="31.5" x14ac:dyDescent="0.25">
      <c r="A876" s="29" t="s">
        <v>403</v>
      </c>
      <c r="B876" s="454" t="s">
        <v>936</v>
      </c>
      <c r="C876" s="461" t="s">
        <v>264</v>
      </c>
      <c r="D876" s="461" t="s">
        <v>215</v>
      </c>
      <c r="E876" s="2">
        <v>610</v>
      </c>
      <c r="F876" s="2">
        <v>906</v>
      </c>
      <c r="G876" s="451">
        <f>G875</f>
        <v>296.3</v>
      </c>
      <c r="H876" s="451">
        <f t="shared" ref="H876" si="456">H875</f>
        <v>171.56111999999999</v>
      </c>
      <c r="I876" s="451">
        <f t="shared" si="437"/>
        <v>57.901154235572051</v>
      </c>
    </row>
    <row r="877" spans="1:9" s="200" customFormat="1" ht="15.75" x14ac:dyDescent="0.25">
      <c r="A877" s="458" t="s">
        <v>298</v>
      </c>
      <c r="B877" s="454" t="s">
        <v>888</v>
      </c>
      <c r="C877" s="461" t="s">
        <v>299</v>
      </c>
      <c r="D877" s="461"/>
      <c r="E877" s="2"/>
      <c r="F877" s="2"/>
      <c r="G877" s="451">
        <f>G878</f>
        <v>871.7</v>
      </c>
      <c r="H877" s="451">
        <f t="shared" ref="H877:H880" si="457">H878</f>
        <v>614.279</v>
      </c>
      <c r="I877" s="451">
        <f t="shared" si="437"/>
        <v>70.469083400252373</v>
      </c>
    </row>
    <row r="878" spans="1:9" s="200" customFormat="1" ht="15.75" x14ac:dyDescent="0.25">
      <c r="A878" s="458" t="s">
        <v>300</v>
      </c>
      <c r="B878" s="454" t="s">
        <v>888</v>
      </c>
      <c r="C878" s="461" t="s">
        <v>299</v>
      </c>
      <c r="D878" s="461" t="s">
        <v>118</v>
      </c>
      <c r="E878" s="2"/>
      <c r="F878" s="2"/>
      <c r="G878" s="451">
        <f>G879</f>
        <v>871.7</v>
      </c>
      <c r="H878" s="451">
        <f t="shared" si="457"/>
        <v>614.279</v>
      </c>
      <c r="I878" s="451">
        <f t="shared" si="437"/>
        <v>70.469083400252373</v>
      </c>
    </row>
    <row r="879" spans="1:9" s="200" customFormat="1" ht="31.5" x14ac:dyDescent="0.25">
      <c r="A879" s="45" t="s">
        <v>778</v>
      </c>
      <c r="B879" s="454" t="s">
        <v>889</v>
      </c>
      <c r="C879" s="461" t="s">
        <v>299</v>
      </c>
      <c r="D879" s="461" t="s">
        <v>118</v>
      </c>
      <c r="E879" s="2"/>
      <c r="F879" s="2"/>
      <c r="G879" s="451">
        <f>G880</f>
        <v>871.7</v>
      </c>
      <c r="H879" s="451">
        <f t="shared" si="457"/>
        <v>614.279</v>
      </c>
      <c r="I879" s="451">
        <f t="shared" si="437"/>
        <v>70.469083400252373</v>
      </c>
    </row>
    <row r="880" spans="1:9" s="200" customFormat="1" ht="31.5" x14ac:dyDescent="0.25">
      <c r="A880" s="458" t="s">
        <v>131</v>
      </c>
      <c r="B880" s="454" t="s">
        <v>889</v>
      </c>
      <c r="C880" s="461" t="s">
        <v>299</v>
      </c>
      <c r="D880" s="461" t="s">
        <v>118</v>
      </c>
      <c r="E880" s="2">
        <v>200</v>
      </c>
      <c r="F880" s="2"/>
      <c r="G880" s="451">
        <f>G881</f>
        <v>871.7</v>
      </c>
      <c r="H880" s="451">
        <f t="shared" si="457"/>
        <v>614.279</v>
      </c>
      <c r="I880" s="451">
        <f t="shared" si="437"/>
        <v>70.469083400252373</v>
      </c>
    </row>
    <row r="881" spans="1:9" s="200" customFormat="1" ht="31.5" x14ac:dyDescent="0.25">
      <c r="A881" s="458" t="s">
        <v>133</v>
      </c>
      <c r="B881" s="454" t="s">
        <v>889</v>
      </c>
      <c r="C881" s="461" t="s">
        <v>299</v>
      </c>
      <c r="D881" s="461" t="s">
        <v>118</v>
      </c>
      <c r="E881" s="2">
        <v>240</v>
      </c>
      <c r="F881" s="2"/>
      <c r="G881" s="451">
        <f>'Пр.4 ведом.21'!G426</f>
        <v>871.7</v>
      </c>
      <c r="H881" s="451">
        <f>'Пр.4 ведом.21'!H426</f>
        <v>614.279</v>
      </c>
      <c r="I881" s="451">
        <f t="shared" si="437"/>
        <v>70.469083400252373</v>
      </c>
    </row>
    <row r="882" spans="1:9" s="200" customFormat="1" ht="47.25" x14ac:dyDescent="0.25">
      <c r="A882" s="45" t="s">
        <v>261</v>
      </c>
      <c r="B882" s="454" t="s">
        <v>889</v>
      </c>
      <c r="C882" s="461" t="s">
        <v>299</v>
      </c>
      <c r="D882" s="461" t="s">
        <v>118</v>
      </c>
      <c r="E882" s="2">
        <v>240</v>
      </c>
      <c r="F882" s="2">
        <v>903</v>
      </c>
      <c r="G882" s="451">
        <f>G881</f>
        <v>871.7</v>
      </c>
      <c r="H882" s="451">
        <f t="shared" ref="H882" si="458">H881</f>
        <v>614.279</v>
      </c>
      <c r="I882" s="451">
        <f t="shared" si="437"/>
        <v>70.469083400252373</v>
      </c>
    </row>
    <row r="883" spans="1:9" s="200" customFormat="1" ht="15.75" x14ac:dyDescent="0.25">
      <c r="A883" s="458" t="s">
        <v>490</v>
      </c>
      <c r="B883" s="454" t="s">
        <v>888</v>
      </c>
      <c r="C883" s="461" t="s">
        <v>491</v>
      </c>
      <c r="D883" s="461"/>
      <c r="E883" s="2"/>
      <c r="F883" s="2"/>
      <c r="G883" s="451">
        <f>G884</f>
        <v>556.79999999999995</v>
      </c>
      <c r="H883" s="451">
        <f t="shared" ref="H883:H886" si="459">H884</f>
        <v>353.95400000000001</v>
      </c>
      <c r="I883" s="451">
        <f t="shared" si="437"/>
        <v>63.569324712643684</v>
      </c>
    </row>
    <row r="884" spans="1:9" s="200" customFormat="1" ht="15.75" x14ac:dyDescent="0.25">
      <c r="A884" s="458" t="s">
        <v>1079</v>
      </c>
      <c r="B884" s="454" t="s">
        <v>888</v>
      </c>
      <c r="C884" s="461" t="s">
        <v>491</v>
      </c>
      <c r="D884" s="461" t="s">
        <v>118</v>
      </c>
      <c r="E884" s="2"/>
      <c r="F884" s="2"/>
      <c r="G884" s="451">
        <f>G885</f>
        <v>556.79999999999995</v>
      </c>
      <c r="H884" s="451">
        <f t="shared" si="459"/>
        <v>353.95400000000001</v>
      </c>
      <c r="I884" s="451">
        <f t="shared" si="437"/>
        <v>63.569324712643684</v>
      </c>
    </row>
    <row r="885" spans="1:9" s="200" customFormat="1" ht="47.25" x14ac:dyDescent="0.25">
      <c r="A885" s="45" t="s">
        <v>780</v>
      </c>
      <c r="B885" s="454" t="s">
        <v>936</v>
      </c>
      <c r="C885" s="461" t="s">
        <v>491</v>
      </c>
      <c r="D885" s="461" t="s">
        <v>118</v>
      </c>
      <c r="E885" s="2"/>
      <c r="F885" s="2"/>
      <c r="G885" s="451">
        <f>G886</f>
        <v>556.79999999999995</v>
      </c>
      <c r="H885" s="451">
        <f t="shared" si="459"/>
        <v>353.95400000000001</v>
      </c>
      <c r="I885" s="451">
        <f t="shared" si="437"/>
        <v>63.569324712643684</v>
      </c>
    </row>
    <row r="886" spans="1:9" s="200" customFormat="1" ht="31.5" x14ac:dyDescent="0.25">
      <c r="A886" s="29" t="s">
        <v>272</v>
      </c>
      <c r="B886" s="454" t="s">
        <v>936</v>
      </c>
      <c r="C886" s="461" t="s">
        <v>491</v>
      </c>
      <c r="D886" s="461" t="s">
        <v>118</v>
      </c>
      <c r="E886" s="2">
        <v>600</v>
      </c>
      <c r="F886" s="2"/>
      <c r="G886" s="451">
        <f>G887</f>
        <v>556.79999999999995</v>
      </c>
      <c r="H886" s="451">
        <f t="shared" si="459"/>
        <v>353.95400000000001</v>
      </c>
      <c r="I886" s="451">
        <f t="shared" si="437"/>
        <v>63.569324712643684</v>
      </c>
    </row>
    <row r="887" spans="1:9" s="200" customFormat="1" ht="15.75" x14ac:dyDescent="0.25">
      <c r="A887" s="182" t="s">
        <v>274</v>
      </c>
      <c r="B887" s="454" t="s">
        <v>936</v>
      </c>
      <c r="C887" s="461" t="s">
        <v>491</v>
      </c>
      <c r="D887" s="461" t="s">
        <v>118</v>
      </c>
      <c r="E887" s="2">
        <v>610</v>
      </c>
      <c r="F887" s="2"/>
      <c r="G887" s="451">
        <f>'Пр.4 ведом.21'!G847</f>
        <v>556.79999999999995</v>
      </c>
      <c r="H887" s="451">
        <f>'Пр.4 ведом.21'!H847</f>
        <v>353.95400000000001</v>
      </c>
      <c r="I887" s="451">
        <f t="shared" si="437"/>
        <v>63.569324712643684</v>
      </c>
    </row>
    <row r="888" spans="1:9" s="200" customFormat="1" ht="31.5" x14ac:dyDescent="0.25">
      <c r="A888" s="45" t="s">
        <v>480</v>
      </c>
      <c r="B888" s="454" t="s">
        <v>936</v>
      </c>
      <c r="C888" s="461" t="s">
        <v>491</v>
      </c>
      <c r="D888" s="461" t="s">
        <v>118</v>
      </c>
      <c r="E888" s="2">
        <v>610</v>
      </c>
      <c r="F888" s="2">
        <v>907</v>
      </c>
      <c r="G888" s="451">
        <f>G887</f>
        <v>556.79999999999995</v>
      </c>
      <c r="H888" s="451">
        <f t="shared" ref="H888" si="460">H887</f>
        <v>353.95400000000001</v>
      </c>
      <c r="I888" s="451">
        <f t="shared" si="437"/>
        <v>63.569324712643684</v>
      </c>
    </row>
    <row r="889" spans="1:9" s="200" customFormat="1" ht="15.75" x14ac:dyDescent="0.25">
      <c r="A889" s="29" t="s">
        <v>582</v>
      </c>
      <c r="B889" s="454" t="s">
        <v>888</v>
      </c>
      <c r="C889" s="461" t="s">
        <v>238</v>
      </c>
      <c r="D889" s="461"/>
      <c r="E889" s="2"/>
      <c r="F889" s="2"/>
      <c r="G889" s="451">
        <f>G890</f>
        <v>78</v>
      </c>
      <c r="H889" s="451">
        <f t="shared" ref="H889:H892" si="461">H890</f>
        <v>52</v>
      </c>
      <c r="I889" s="451">
        <f t="shared" si="437"/>
        <v>66.666666666666657</v>
      </c>
    </row>
    <row r="890" spans="1:9" s="200" customFormat="1" ht="15.75" x14ac:dyDescent="0.25">
      <c r="A890" s="29" t="s">
        <v>583</v>
      </c>
      <c r="B890" s="454" t="s">
        <v>888</v>
      </c>
      <c r="C890" s="461" t="s">
        <v>238</v>
      </c>
      <c r="D890" s="461" t="s">
        <v>213</v>
      </c>
      <c r="E890" s="2"/>
      <c r="F890" s="2"/>
      <c r="G890" s="451">
        <f>G891</f>
        <v>78</v>
      </c>
      <c r="H890" s="451">
        <f t="shared" si="461"/>
        <v>52</v>
      </c>
      <c r="I890" s="451">
        <f t="shared" si="437"/>
        <v>66.666666666666657</v>
      </c>
    </row>
    <row r="891" spans="1:9" s="200" customFormat="1" ht="31.5" x14ac:dyDescent="0.25">
      <c r="A891" s="45" t="s">
        <v>778</v>
      </c>
      <c r="B891" s="454" t="s">
        <v>889</v>
      </c>
      <c r="C891" s="461" t="s">
        <v>238</v>
      </c>
      <c r="D891" s="461" t="s">
        <v>213</v>
      </c>
      <c r="E891" s="2"/>
      <c r="F891" s="2"/>
      <c r="G891" s="451">
        <f>G892</f>
        <v>78</v>
      </c>
      <c r="H891" s="451">
        <f t="shared" si="461"/>
        <v>52</v>
      </c>
      <c r="I891" s="451">
        <f t="shared" si="437"/>
        <v>66.666666666666657</v>
      </c>
    </row>
    <row r="892" spans="1:9" s="200" customFormat="1" ht="31.5" x14ac:dyDescent="0.25">
      <c r="A892" s="458" t="s">
        <v>131</v>
      </c>
      <c r="B892" s="454" t="s">
        <v>889</v>
      </c>
      <c r="C892" s="461" t="s">
        <v>238</v>
      </c>
      <c r="D892" s="461" t="s">
        <v>213</v>
      </c>
      <c r="E892" s="2">
        <v>200</v>
      </c>
      <c r="F892" s="2"/>
      <c r="G892" s="451">
        <f>G893</f>
        <v>78</v>
      </c>
      <c r="H892" s="451">
        <f t="shared" si="461"/>
        <v>52</v>
      </c>
      <c r="I892" s="451">
        <f t="shared" si="437"/>
        <v>66.666666666666657</v>
      </c>
    </row>
    <row r="893" spans="1:9" s="200" customFormat="1" ht="31.5" x14ac:dyDescent="0.25">
      <c r="A893" s="458" t="s">
        <v>133</v>
      </c>
      <c r="B893" s="454" t="s">
        <v>889</v>
      </c>
      <c r="C893" s="461" t="s">
        <v>238</v>
      </c>
      <c r="D893" s="461" t="s">
        <v>213</v>
      </c>
      <c r="E893" s="2">
        <v>240</v>
      </c>
      <c r="F893" s="2"/>
      <c r="G893" s="451">
        <f>'Пр.4 ведом.21'!G509</f>
        <v>78</v>
      </c>
      <c r="H893" s="451">
        <f>'Пр.4 ведом.21'!H509</f>
        <v>52</v>
      </c>
      <c r="I893" s="451">
        <f t="shared" si="437"/>
        <v>66.666666666666657</v>
      </c>
    </row>
    <row r="894" spans="1:9" s="200" customFormat="1" ht="47.25" x14ac:dyDescent="0.25">
      <c r="A894" s="45" t="s">
        <v>261</v>
      </c>
      <c r="B894" s="454" t="s">
        <v>889</v>
      </c>
      <c r="C894" s="461" t="s">
        <v>238</v>
      </c>
      <c r="D894" s="461" t="s">
        <v>213</v>
      </c>
      <c r="E894" s="2">
        <v>240</v>
      </c>
      <c r="F894" s="2">
        <v>903</v>
      </c>
      <c r="G894" s="451">
        <f>G891</f>
        <v>78</v>
      </c>
      <c r="H894" s="451">
        <f t="shared" ref="H894" si="462">H891</f>
        <v>52</v>
      </c>
      <c r="I894" s="451">
        <f t="shared" si="437"/>
        <v>66.666666666666657</v>
      </c>
    </row>
    <row r="895" spans="1:9" s="200" customFormat="1" ht="31.5" x14ac:dyDescent="0.25">
      <c r="A895" s="464" t="s">
        <v>1023</v>
      </c>
      <c r="B895" s="457" t="s">
        <v>853</v>
      </c>
      <c r="C895" s="7"/>
      <c r="D895" s="7"/>
      <c r="E895" s="3"/>
      <c r="F895" s="3"/>
      <c r="G895" s="450">
        <f>G896</f>
        <v>15</v>
      </c>
      <c r="H895" s="450">
        <f t="shared" ref="H895:H897" si="463">H896</f>
        <v>15</v>
      </c>
      <c r="I895" s="450">
        <f t="shared" si="437"/>
        <v>100</v>
      </c>
    </row>
    <row r="896" spans="1:9" s="200" customFormat="1" ht="15.75" x14ac:dyDescent="0.25">
      <c r="A896" s="219" t="s">
        <v>117</v>
      </c>
      <c r="B896" s="454" t="s">
        <v>853</v>
      </c>
      <c r="C896" s="461" t="s">
        <v>118</v>
      </c>
      <c r="D896" s="461"/>
      <c r="E896" s="2"/>
      <c r="F896" s="2"/>
      <c r="G896" s="451">
        <f>G897</f>
        <v>15</v>
      </c>
      <c r="H896" s="451">
        <f t="shared" si="463"/>
        <v>15</v>
      </c>
      <c r="I896" s="451">
        <f t="shared" si="437"/>
        <v>100</v>
      </c>
    </row>
    <row r="897" spans="1:9" s="200" customFormat="1" ht="15.75" x14ac:dyDescent="0.25">
      <c r="A897" s="219" t="s">
        <v>139</v>
      </c>
      <c r="B897" s="454" t="s">
        <v>853</v>
      </c>
      <c r="C897" s="461" t="s">
        <v>118</v>
      </c>
      <c r="D897" s="461" t="s">
        <v>140</v>
      </c>
      <c r="E897" s="2"/>
      <c r="F897" s="2"/>
      <c r="G897" s="451">
        <f>G898</f>
        <v>15</v>
      </c>
      <c r="H897" s="451">
        <f t="shared" si="463"/>
        <v>15</v>
      </c>
      <c r="I897" s="451">
        <f t="shared" si="437"/>
        <v>100</v>
      </c>
    </row>
    <row r="898" spans="1:9" ht="47.25" x14ac:dyDescent="0.25">
      <c r="A898" s="251" t="s">
        <v>1005</v>
      </c>
      <c r="B898" s="454" t="s">
        <v>848</v>
      </c>
      <c r="C898" s="461" t="s">
        <v>118</v>
      </c>
      <c r="D898" s="461" t="s">
        <v>140</v>
      </c>
      <c r="E898" s="2"/>
      <c r="F898" s="2"/>
      <c r="G898" s="451">
        <f t="shared" ref="G898:H899" si="464">G899</f>
        <v>15</v>
      </c>
      <c r="H898" s="451">
        <f t="shared" si="464"/>
        <v>15</v>
      </c>
      <c r="I898" s="451">
        <f t="shared" si="437"/>
        <v>100</v>
      </c>
    </row>
    <row r="899" spans="1:9" ht="31.5" x14ac:dyDescent="0.25">
      <c r="A899" s="458" t="s">
        <v>131</v>
      </c>
      <c r="B899" s="454" t="s">
        <v>848</v>
      </c>
      <c r="C899" s="461" t="s">
        <v>118</v>
      </c>
      <c r="D899" s="461" t="s">
        <v>140</v>
      </c>
      <c r="E899" s="2">
        <v>200</v>
      </c>
      <c r="F899" s="2"/>
      <c r="G899" s="451">
        <f t="shared" si="464"/>
        <v>15</v>
      </c>
      <c r="H899" s="451">
        <f t="shared" si="464"/>
        <v>15</v>
      </c>
      <c r="I899" s="451">
        <f t="shared" si="437"/>
        <v>100</v>
      </c>
    </row>
    <row r="900" spans="1:9" ht="31.5" x14ac:dyDescent="0.25">
      <c r="A900" s="458" t="s">
        <v>133</v>
      </c>
      <c r="B900" s="454" t="s">
        <v>848</v>
      </c>
      <c r="C900" s="461" t="s">
        <v>118</v>
      </c>
      <c r="D900" s="461" t="s">
        <v>140</v>
      </c>
      <c r="E900" s="2">
        <v>240</v>
      </c>
      <c r="F900" s="2"/>
      <c r="G900" s="451">
        <f>'Пр.4 ведом.21'!G147</f>
        <v>15</v>
      </c>
      <c r="H900" s="451">
        <f>'Пр.4 ведом.21'!H147</f>
        <v>15</v>
      </c>
      <c r="I900" s="451">
        <f t="shared" si="437"/>
        <v>100</v>
      </c>
    </row>
    <row r="901" spans="1:9" ht="20.25" customHeight="1" x14ac:dyDescent="0.25">
      <c r="A901" s="29" t="s">
        <v>148</v>
      </c>
      <c r="B901" s="454" t="s">
        <v>848</v>
      </c>
      <c r="C901" s="461" t="s">
        <v>118</v>
      </c>
      <c r="D901" s="461" t="s">
        <v>140</v>
      </c>
      <c r="E901" s="2">
        <v>240</v>
      </c>
      <c r="F901" s="2">
        <v>902</v>
      </c>
      <c r="G901" s="451">
        <f>G900</f>
        <v>15</v>
      </c>
      <c r="H901" s="451">
        <f t="shared" ref="H901" si="465">H900</f>
        <v>15</v>
      </c>
      <c r="I901" s="451">
        <f t="shared" si="437"/>
        <v>100</v>
      </c>
    </row>
    <row r="902" spans="1:9" s="436" customFormat="1" ht="33" customHeight="1" x14ac:dyDescent="0.25">
      <c r="A902" s="456" t="s">
        <v>1654</v>
      </c>
      <c r="B902" s="457" t="s">
        <v>1655</v>
      </c>
      <c r="C902" s="7"/>
      <c r="D902" s="7"/>
      <c r="E902" s="3"/>
      <c r="F902" s="3"/>
      <c r="G902" s="450">
        <f>G903</f>
        <v>548</v>
      </c>
      <c r="H902" s="450">
        <f t="shared" ref="H902:H903" si="466">H903</f>
        <v>0</v>
      </c>
      <c r="I902" s="450">
        <f t="shared" si="437"/>
        <v>0</v>
      </c>
    </row>
    <row r="903" spans="1:9" s="436" customFormat="1" ht="31.5" x14ac:dyDescent="0.25">
      <c r="A903" s="458" t="s">
        <v>222</v>
      </c>
      <c r="B903" s="454" t="s">
        <v>1655</v>
      </c>
      <c r="C903" s="461" t="s">
        <v>215</v>
      </c>
      <c r="D903" s="461"/>
      <c r="E903" s="2"/>
      <c r="F903" s="2"/>
      <c r="G903" s="451">
        <f>G904</f>
        <v>548</v>
      </c>
      <c r="H903" s="451">
        <f t="shared" si="466"/>
        <v>0</v>
      </c>
      <c r="I903" s="451">
        <f t="shared" si="437"/>
        <v>0</v>
      </c>
    </row>
    <row r="904" spans="1:9" s="436" customFormat="1" ht="47.25" x14ac:dyDescent="0.25">
      <c r="A904" s="458" t="s">
        <v>1348</v>
      </c>
      <c r="B904" s="454" t="s">
        <v>1655</v>
      </c>
      <c r="C904" s="461" t="s">
        <v>215</v>
      </c>
      <c r="D904" s="461" t="s">
        <v>244</v>
      </c>
      <c r="E904" s="2"/>
      <c r="F904" s="2"/>
      <c r="G904" s="451">
        <f>G905+G909</f>
        <v>548</v>
      </c>
      <c r="H904" s="451">
        <f t="shared" ref="H904" si="467">H905+H909</f>
        <v>0</v>
      </c>
      <c r="I904" s="451">
        <f t="shared" si="437"/>
        <v>0</v>
      </c>
    </row>
    <row r="905" spans="1:9" s="436" customFormat="1" ht="20.25" hidden="1" customHeight="1" x14ac:dyDescent="0.25">
      <c r="A905" s="458" t="s">
        <v>230</v>
      </c>
      <c r="B905" s="454" t="s">
        <v>1656</v>
      </c>
      <c r="C905" s="461" t="s">
        <v>215</v>
      </c>
      <c r="D905" s="461" t="s">
        <v>244</v>
      </c>
      <c r="E905" s="2"/>
      <c r="F905" s="2"/>
      <c r="G905" s="451">
        <f>G906</f>
        <v>0</v>
      </c>
      <c r="H905" s="451">
        <f t="shared" ref="H905:H906" si="468">H906</f>
        <v>0</v>
      </c>
      <c r="I905" s="451" t="e">
        <f t="shared" si="437"/>
        <v>#DIV/0!</v>
      </c>
    </row>
    <row r="906" spans="1:9" s="436" customFormat="1" ht="31.5" hidden="1" x14ac:dyDescent="0.25">
      <c r="A906" s="458" t="s">
        <v>131</v>
      </c>
      <c r="B906" s="454" t="s">
        <v>1656</v>
      </c>
      <c r="C906" s="461" t="s">
        <v>215</v>
      </c>
      <c r="D906" s="461" t="s">
        <v>244</v>
      </c>
      <c r="E906" s="2">
        <v>200</v>
      </c>
      <c r="F906" s="2"/>
      <c r="G906" s="451">
        <f>G907</f>
        <v>0</v>
      </c>
      <c r="H906" s="451">
        <f t="shared" si="468"/>
        <v>0</v>
      </c>
      <c r="I906" s="451" t="e">
        <f t="shared" si="437"/>
        <v>#DIV/0!</v>
      </c>
    </row>
    <row r="907" spans="1:9" s="436" customFormat="1" ht="31.5" hidden="1" x14ac:dyDescent="0.25">
      <c r="A907" s="458" t="s">
        <v>133</v>
      </c>
      <c r="B907" s="454" t="s">
        <v>1656</v>
      </c>
      <c r="C907" s="461" t="s">
        <v>215</v>
      </c>
      <c r="D907" s="461" t="s">
        <v>244</v>
      </c>
      <c r="E907" s="2">
        <v>240</v>
      </c>
      <c r="F907" s="2"/>
      <c r="G907" s="451">
        <f>'Пр.4 ведом.21'!G188</f>
        <v>0</v>
      </c>
      <c r="H907" s="451">
        <f>'Пр.4 ведом.21'!H188</f>
        <v>0</v>
      </c>
      <c r="I907" s="451" t="e">
        <f t="shared" ref="I907:I960" si="469">H907/G907*100</f>
        <v>#DIV/0!</v>
      </c>
    </row>
    <row r="908" spans="1:9" s="436" customFormat="1" ht="15.75" hidden="1" x14ac:dyDescent="0.25">
      <c r="A908" s="29" t="s">
        <v>148</v>
      </c>
      <c r="B908" s="454" t="s">
        <v>1656</v>
      </c>
      <c r="C908" s="461" t="s">
        <v>215</v>
      </c>
      <c r="D908" s="461" t="s">
        <v>244</v>
      </c>
      <c r="E908" s="2">
        <v>240</v>
      </c>
      <c r="F908" s="2">
        <v>902</v>
      </c>
      <c r="G908" s="451">
        <f>G907</f>
        <v>0</v>
      </c>
      <c r="H908" s="451">
        <f t="shared" ref="H908" si="470">H907</f>
        <v>0</v>
      </c>
      <c r="I908" s="451" t="e">
        <f t="shared" si="469"/>
        <v>#DIV/0!</v>
      </c>
    </row>
    <row r="909" spans="1:9" s="449" customFormat="1" ht="47.25" x14ac:dyDescent="0.25">
      <c r="A909" s="458" t="s">
        <v>1696</v>
      </c>
      <c r="B909" s="454" t="s">
        <v>1697</v>
      </c>
      <c r="C909" s="461" t="s">
        <v>215</v>
      </c>
      <c r="D909" s="461" t="s">
        <v>244</v>
      </c>
      <c r="E909" s="2"/>
      <c r="F909" s="2"/>
      <c r="G909" s="451">
        <f>G910</f>
        <v>548</v>
      </c>
      <c r="H909" s="451">
        <f t="shared" ref="H909:H910" si="471">H910</f>
        <v>0</v>
      </c>
      <c r="I909" s="451">
        <f t="shared" si="469"/>
        <v>0</v>
      </c>
    </row>
    <row r="910" spans="1:9" s="449" customFormat="1" ht="15.75" x14ac:dyDescent="0.25">
      <c r="A910" s="458" t="s">
        <v>248</v>
      </c>
      <c r="B910" s="454" t="s">
        <v>1697</v>
      </c>
      <c r="C910" s="461" t="s">
        <v>215</v>
      </c>
      <c r="D910" s="461" t="s">
        <v>244</v>
      </c>
      <c r="E910" s="2" t="s">
        <v>249</v>
      </c>
      <c r="F910" s="2"/>
      <c r="G910" s="451">
        <f>G911</f>
        <v>548</v>
      </c>
      <c r="H910" s="451">
        <f t="shared" si="471"/>
        <v>0</v>
      </c>
      <c r="I910" s="451">
        <f t="shared" si="469"/>
        <v>0</v>
      </c>
    </row>
    <row r="911" spans="1:9" s="449" customFormat="1" ht="31.5" x14ac:dyDescent="0.25">
      <c r="A911" s="458" t="s">
        <v>250</v>
      </c>
      <c r="B911" s="454" t="s">
        <v>1697</v>
      </c>
      <c r="C911" s="461" t="s">
        <v>215</v>
      </c>
      <c r="D911" s="461" t="s">
        <v>244</v>
      </c>
      <c r="E911" s="2" t="s">
        <v>251</v>
      </c>
      <c r="F911" s="2"/>
      <c r="G911" s="451">
        <f>'Пр.4 ведом.21'!G194</f>
        <v>548</v>
      </c>
      <c r="H911" s="451">
        <f>'Пр.4 ведом.21'!H194</f>
        <v>0</v>
      </c>
      <c r="I911" s="451">
        <f t="shared" si="469"/>
        <v>0</v>
      </c>
    </row>
    <row r="912" spans="1:9" s="449" customFormat="1" ht="15.75" x14ac:dyDescent="0.25">
      <c r="A912" s="29" t="s">
        <v>148</v>
      </c>
      <c r="B912" s="454" t="s">
        <v>1697</v>
      </c>
      <c r="C912" s="461" t="s">
        <v>215</v>
      </c>
      <c r="D912" s="461" t="s">
        <v>244</v>
      </c>
      <c r="E912" s="2">
        <v>320</v>
      </c>
      <c r="F912" s="2">
        <v>902</v>
      </c>
      <c r="G912" s="451">
        <f>G911</f>
        <v>548</v>
      </c>
      <c r="H912" s="451">
        <f t="shared" ref="H912" si="472">H911</f>
        <v>0</v>
      </c>
      <c r="I912" s="451">
        <f t="shared" si="469"/>
        <v>0</v>
      </c>
    </row>
    <row r="913" spans="1:9" ht="65.25" customHeight="1" x14ac:dyDescent="0.25">
      <c r="A913" s="456" t="s">
        <v>1539</v>
      </c>
      <c r="B913" s="457" t="s">
        <v>711</v>
      </c>
      <c r="C913" s="7"/>
      <c r="D913" s="7"/>
      <c r="E913" s="3"/>
      <c r="F913" s="3"/>
      <c r="G913" s="450">
        <f>G914+G921</f>
        <v>24365.510000000002</v>
      </c>
      <c r="H913" s="450">
        <f t="shared" ref="H913" si="473">H914+H921</f>
        <v>22808.713</v>
      </c>
      <c r="I913" s="450">
        <f t="shared" si="469"/>
        <v>93.610652927026763</v>
      </c>
    </row>
    <row r="914" spans="1:9" s="200" customFormat="1" ht="31.5" x14ac:dyDescent="0.25">
      <c r="A914" s="456" t="s">
        <v>1067</v>
      </c>
      <c r="B914" s="457" t="s">
        <v>1088</v>
      </c>
      <c r="C914" s="7"/>
      <c r="D914" s="7"/>
      <c r="E914" s="3"/>
      <c r="F914" s="3"/>
      <c r="G914" s="450">
        <f>G915</f>
        <v>22809.004000000001</v>
      </c>
      <c r="H914" s="450">
        <f t="shared" ref="H914" si="474">H915</f>
        <v>22808.713</v>
      </c>
      <c r="I914" s="450">
        <f t="shared" si="469"/>
        <v>99.998724188044335</v>
      </c>
    </row>
    <row r="915" spans="1:9" ht="15.75" x14ac:dyDescent="0.25">
      <c r="A915" s="458" t="s">
        <v>390</v>
      </c>
      <c r="B915" s="454" t="s">
        <v>835</v>
      </c>
      <c r="C915" s="461" t="s">
        <v>234</v>
      </c>
      <c r="D915" s="461"/>
      <c r="E915" s="2"/>
      <c r="F915" s="2"/>
      <c r="G915" s="451">
        <f t="shared" ref="G915:H918" si="475">G916</f>
        <v>22809.004000000001</v>
      </c>
      <c r="H915" s="451">
        <f t="shared" si="475"/>
        <v>22808.713</v>
      </c>
      <c r="I915" s="451">
        <f t="shared" si="469"/>
        <v>99.998724188044335</v>
      </c>
    </row>
    <row r="916" spans="1:9" ht="15.75" x14ac:dyDescent="0.25">
      <c r="A916" s="458" t="s">
        <v>541</v>
      </c>
      <c r="B916" s="454" t="s">
        <v>835</v>
      </c>
      <c r="C916" s="461" t="s">
        <v>234</v>
      </c>
      <c r="D916" s="461" t="s">
        <v>215</v>
      </c>
      <c r="E916" s="2"/>
      <c r="F916" s="2"/>
      <c r="G916" s="451">
        <f t="shared" si="475"/>
        <v>22809.004000000001</v>
      </c>
      <c r="H916" s="451">
        <f t="shared" si="475"/>
        <v>22808.713</v>
      </c>
      <c r="I916" s="451">
        <f t="shared" si="469"/>
        <v>99.998724188044335</v>
      </c>
    </row>
    <row r="917" spans="1:9" ht="47.25" x14ac:dyDescent="0.25">
      <c r="A917" s="80" t="s">
        <v>693</v>
      </c>
      <c r="B917" s="454" t="s">
        <v>835</v>
      </c>
      <c r="C917" s="461" t="s">
        <v>234</v>
      </c>
      <c r="D917" s="461" t="s">
        <v>215</v>
      </c>
      <c r="E917" s="2"/>
      <c r="F917" s="2"/>
      <c r="G917" s="451">
        <f t="shared" si="475"/>
        <v>22809.004000000001</v>
      </c>
      <c r="H917" s="451">
        <f t="shared" si="475"/>
        <v>22808.713</v>
      </c>
      <c r="I917" s="451">
        <f t="shared" si="469"/>
        <v>99.998724188044335</v>
      </c>
    </row>
    <row r="918" spans="1:9" ht="31.5" x14ac:dyDescent="0.25">
      <c r="A918" s="458" t="s">
        <v>131</v>
      </c>
      <c r="B918" s="454" t="s">
        <v>835</v>
      </c>
      <c r="C918" s="461" t="s">
        <v>234</v>
      </c>
      <c r="D918" s="461" t="s">
        <v>215</v>
      </c>
      <c r="E918" s="2">
        <v>200</v>
      </c>
      <c r="F918" s="2"/>
      <c r="G918" s="451">
        <f t="shared" si="475"/>
        <v>22809.004000000001</v>
      </c>
      <c r="H918" s="451">
        <f t="shared" si="475"/>
        <v>22808.713</v>
      </c>
      <c r="I918" s="451">
        <f t="shared" si="469"/>
        <v>99.998724188044335</v>
      </c>
    </row>
    <row r="919" spans="1:9" ht="31.5" x14ac:dyDescent="0.25">
      <c r="A919" s="458" t="s">
        <v>133</v>
      </c>
      <c r="B919" s="454" t="s">
        <v>835</v>
      </c>
      <c r="C919" s="461" t="s">
        <v>234</v>
      </c>
      <c r="D919" s="461" t="s">
        <v>215</v>
      </c>
      <c r="E919" s="2">
        <v>240</v>
      </c>
      <c r="F919" s="2"/>
      <c r="G919" s="451">
        <f>'Пр.4 ведом.21'!G1059</f>
        <v>22809.004000000001</v>
      </c>
      <c r="H919" s="451">
        <f>'Пр.4 ведом.21'!H1059</f>
        <v>22808.713</v>
      </c>
      <c r="I919" s="451">
        <f t="shared" si="469"/>
        <v>99.998724188044335</v>
      </c>
    </row>
    <row r="920" spans="1:9" ht="34.5" customHeight="1" x14ac:dyDescent="0.25">
      <c r="A920" s="45" t="s">
        <v>623</v>
      </c>
      <c r="B920" s="454" t="s">
        <v>835</v>
      </c>
      <c r="C920" s="461" t="s">
        <v>234</v>
      </c>
      <c r="D920" s="461" t="s">
        <v>215</v>
      </c>
      <c r="E920" s="2">
        <v>240</v>
      </c>
      <c r="F920" s="2">
        <v>908</v>
      </c>
      <c r="G920" s="451">
        <f t="shared" ref="G920:H920" si="476">G913</f>
        <v>24365.510000000002</v>
      </c>
      <c r="H920" s="451">
        <f t="shared" si="476"/>
        <v>22808.713</v>
      </c>
      <c r="I920" s="451">
        <f t="shared" si="469"/>
        <v>93.610652927026763</v>
      </c>
    </row>
    <row r="921" spans="1:9" s="449" customFormat="1" ht="110.25" x14ac:dyDescent="0.25">
      <c r="A921" s="456" t="s">
        <v>1725</v>
      </c>
      <c r="B921" s="457" t="s">
        <v>1726</v>
      </c>
      <c r="C921" s="7"/>
      <c r="D921" s="7"/>
      <c r="E921" s="3"/>
      <c r="F921" s="3"/>
      <c r="G921" s="450">
        <f>G922</f>
        <v>1556.5060000000001</v>
      </c>
      <c r="H921" s="450">
        <f t="shared" ref="H921" si="477">H922</f>
        <v>0</v>
      </c>
      <c r="I921" s="450">
        <f t="shared" si="469"/>
        <v>0</v>
      </c>
    </row>
    <row r="922" spans="1:9" s="449" customFormat="1" ht="15.75" x14ac:dyDescent="0.25">
      <c r="A922" s="458" t="s">
        <v>390</v>
      </c>
      <c r="B922" s="454" t="s">
        <v>1727</v>
      </c>
      <c r="C922" s="461" t="s">
        <v>234</v>
      </c>
      <c r="D922" s="461"/>
      <c r="E922" s="2"/>
      <c r="F922" s="2"/>
      <c r="G922" s="451">
        <f t="shared" ref="G922:H925" si="478">G923</f>
        <v>1556.5060000000001</v>
      </c>
      <c r="H922" s="451">
        <f t="shared" si="478"/>
        <v>0</v>
      </c>
      <c r="I922" s="451">
        <f t="shared" si="469"/>
        <v>0</v>
      </c>
    </row>
    <row r="923" spans="1:9" s="449" customFormat="1" ht="15.75" x14ac:dyDescent="0.25">
      <c r="A923" s="458" t="s">
        <v>541</v>
      </c>
      <c r="B923" s="454" t="s">
        <v>1727</v>
      </c>
      <c r="C923" s="461" t="s">
        <v>234</v>
      </c>
      <c r="D923" s="461" t="s">
        <v>215</v>
      </c>
      <c r="E923" s="2"/>
      <c r="F923" s="2"/>
      <c r="G923" s="451">
        <f t="shared" si="478"/>
        <v>1556.5060000000001</v>
      </c>
      <c r="H923" s="451">
        <f t="shared" si="478"/>
        <v>0</v>
      </c>
      <c r="I923" s="451">
        <f t="shared" si="469"/>
        <v>0</v>
      </c>
    </row>
    <row r="924" spans="1:9" s="449" customFormat="1" ht="47.25" x14ac:dyDescent="0.25">
      <c r="A924" s="80" t="s">
        <v>693</v>
      </c>
      <c r="B924" s="454" t="s">
        <v>1727</v>
      </c>
      <c r="C924" s="461" t="s">
        <v>234</v>
      </c>
      <c r="D924" s="461" t="s">
        <v>215</v>
      </c>
      <c r="E924" s="2"/>
      <c r="F924" s="2"/>
      <c r="G924" s="451">
        <f t="shared" si="478"/>
        <v>1556.5060000000001</v>
      </c>
      <c r="H924" s="451">
        <f t="shared" si="478"/>
        <v>0</v>
      </c>
      <c r="I924" s="451">
        <f t="shared" si="469"/>
        <v>0</v>
      </c>
    </row>
    <row r="925" spans="1:9" s="449" customFormat="1" ht="31.5" x14ac:dyDescent="0.25">
      <c r="A925" s="458" t="s">
        <v>131</v>
      </c>
      <c r="B925" s="454" t="s">
        <v>1727</v>
      </c>
      <c r="C925" s="461" t="s">
        <v>234</v>
      </c>
      <c r="D925" s="461" t="s">
        <v>215</v>
      </c>
      <c r="E925" s="2">
        <v>200</v>
      </c>
      <c r="F925" s="2"/>
      <c r="G925" s="451">
        <f t="shared" si="478"/>
        <v>1556.5060000000001</v>
      </c>
      <c r="H925" s="451">
        <f t="shared" si="478"/>
        <v>0</v>
      </c>
      <c r="I925" s="451">
        <f t="shared" si="469"/>
        <v>0</v>
      </c>
    </row>
    <row r="926" spans="1:9" s="449" customFormat="1" ht="31.5" x14ac:dyDescent="0.25">
      <c r="A926" s="458" t="s">
        <v>133</v>
      </c>
      <c r="B926" s="454" t="s">
        <v>1727</v>
      </c>
      <c r="C926" s="461" t="s">
        <v>234</v>
      </c>
      <c r="D926" s="461" t="s">
        <v>215</v>
      </c>
      <c r="E926" s="2">
        <v>240</v>
      </c>
      <c r="F926" s="2"/>
      <c r="G926" s="451">
        <f>'Пр.4 ведом.21'!G1063</f>
        <v>1556.5060000000001</v>
      </c>
      <c r="H926" s="451">
        <f>'Пр.4 ведом.21'!H1063</f>
        <v>0</v>
      </c>
      <c r="I926" s="451">
        <f t="shared" si="469"/>
        <v>0</v>
      </c>
    </row>
    <row r="927" spans="1:9" s="449" customFormat="1" ht="34.5" customHeight="1" x14ac:dyDescent="0.25">
      <c r="A927" s="45" t="s">
        <v>623</v>
      </c>
      <c r="B927" s="454" t="s">
        <v>1727</v>
      </c>
      <c r="C927" s="461" t="s">
        <v>234</v>
      </c>
      <c r="D927" s="461" t="s">
        <v>215</v>
      </c>
      <c r="E927" s="2">
        <v>240</v>
      </c>
      <c r="F927" s="2">
        <v>908</v>
      </c>
      <c r="G927" s="451">
        <f>'Пр.4 ведом.21'!G1063</f>
        <v>1556.5060000000001</v>
      </c>
      <c r="H927" s="451">
        <f>'Пр.4 ведом.21'!H1063</f>
        <v>0</v>
      </c>
      <c r="I927" s="451">
        <f t="shared" si="469"/>
        <v>0</v>
      </c>
    </row>
    <row r="928" spans="1:9" s="184" customFormat="1" ht="63" x14ac:dyDescent="0.25">
      <c r="A928" s="58" t="s">
        <v>1537</v>
      </c>
      <c r="B928" s="457" t="s">
        <v>782</v>
      </c>
      <c r="C928" s="7"/>
      <c r="D928" s="7"/>
      <c r="E928" s="3"/>
      <c r="F928" s="3"/>
      <c r="G928" s="450">
        <f>G930</f>
        <v>629.7600000000001</v>
      </c>
      <c r="H928" s="450">
        <f t="shared" ref="H928" si="479">H930</f>
        <v>0</v>
      </c>
      <c r="I928" s="450">
        <f t="shared" si="469"/>
        <v>0</v>
      </c>
    </row>
    <row r="929" spans="1:9" s="184" customFormat="1" ht="31.5" x14ac:dyDescent="0.25">
      <c r="A929" s="456" t="s">
        <v>930</v>
      </c>
      <c r="B929" s="457" t="s">
        <v>1020</v>
      </c>
      <c r="C929" s="7"/>
      <c r="D929" s="7"/>
      <c r="E929" s="3"/>
      <c r="F929" s="3"/>
      <c r="G929" s="450">
        <f>G930</f>
        <v>629.7600000000001</v>
      </c>
      <c r="H929" s="450">
        <f t="shared" ref="H929:H933" si="480">H930</f>
        <v>0</v>
      </c>
      <c r="I929" s="450">
        <f t="shared" si="469"/>
        <v>0</v>
      </c>
    </row>
    <row r="930" spans="1:9" ht="15.75" x14ac:dyDescent="0.25">
      <c r="A930" s="45" t="s">
        <v>117</v>
      </c>
      <c r="B930" s="454" t="s">
        <v>1020</v>
      </c>
      <c r="C930" s="461" t="s">
        <v>118</v>
      </c>
      <c r="D930" s="461"/>
      <c r="E930" s="2"/>
      <c r="F930" s="2"/>
      <c r="G930" s="451">
        <f>G931</f>
        <v>629.7600000000001</v>
      </c>
      <c r="H930" s="451">
        <f t="shared" si="480"/>
        <v>0</v>
      </c>
      <c r="I930" s="451">
        <f t="shared" si="469"/>
        <v>0</v>
      </c>
    </row>
    <row r="931" spans="1:9" ht="15.75" x14ac:dyDescent="0.25">
      <c r="A931" s="45" t="s">
        <v>139</v>
      </c>
      <c r="B931" s="454" t="s">
        <v>1020</v>
      </c>
      <c r="C931" s="461" t="s">
        <v>118</v>
      </c>
      <c r="D931" s="461" t="s">
        <v>140</v>
      </c>
      <c r="E931" s="2"/>
      <c r="F931" s="2"/>
      <c r="G931" s="451">
        <f>G932</f>
        <v>629.7600000000001</v>
      </c>
      <c r="H931" s="451">
        <f t="shared" si="480"/>
        <v>0</v>
      </c>
      <c r="I931" s="451">
        <f t="shared" si="469"/>
        <v>0</v>
      </c>
    </row>
    <row r="932" spans="1:9" ht="31.5" x14ac:dyDescent="0.25">
      <c r="A932" s="45" t="s">
        <v>790</v>
      </c>
      <c r="B932" s="454" t="s">
        <v>1021</v>
      </c>
      <c r="C932" s="461" t="s">
        <v>118</v>
      </c>
      <c r="D932" s="461" t="s">
        <v>140</v>
      </c>
      <c r="E932" s="2"/>
      <c r="F932" s="2"/>
      <c r="G932" s="451">
        <f>G933</f>
        <v>629.7600000000001</v>
      </c>
      <c r="H932" s="451">
        <f t="shared" si="480"/>
        <v>0</v>
      </c>
      <c r="I932" s="451">
        <f t="shared" si="469"/>
        <v>0</v>
      </c>
    </row>
    <row r="933" spans="1:9" ht="31.5" x14ac:dyDescent="0.25">
      <c r="A933" s="45" t="s">
        <v>131</v>
      </c>
      <c r="B933" s="454" t="s">
        <v>1021</v>
      </c>
      <c r="C933" s="461" t="s">
        <v>118</v>
      </c>
      <c r="D933" s="461" t="s">
        <v>140</v>
      </c>
      <c r="E933" s="2">
        <v>200</v>
      </c>
      <c r="F933" s="2"/>
      <c r="G933" s="451">
        <f>G934</f>
        <v>629.7600000000001</v>
      </c>
      <c r="H933" s="451">
        <f t="shared" si="480"/>
        <v>0</v>
      </c>
      <c r="I933" s="451">
        <f t="shared" si="469"/>
        <v>0</v>
      </c>
    </row>
    <row r="934" spans="1:9" ht="31.5" x14ac:dyDescent="0.25">
      <c r="A934" s="45" t="s">
        <v>133</v>
      </c>
      <c r="B934" s="454" t="s">
        <v>1021</v>
      </c>
      <c r="C934" s="461" t="s">
        <v>118</v>
      </c>
      <c r="D934" s="461" t="s">
        <v>140</v>
      </c>
      <c r="E934" s="2">
        <v>240</v>
      </c>
      <c r="F934" s="2"/>
      <c r="G934" s="451">
        <f>'Пр.4 ведом.21'!G544</f>
        <v>629.7600000000001</v>
      </c>
      <c r="H934" s="451">
        <f>'Пр.4 ведом.21'!H544</f>
        <v>0</v>
      </c>
      <c r="I934" s="451">
        <f t="shared" si="469"/>
        <v>0</v>
      </c>
    </row>
    <row r="935" spans="1:9" ht="36.75" customHeight="1" x14ac:dyDescent="0.25">
      <c r="A935" s="45" t="s">
        <v>1388</v>
      </c>
      <c r="B935" s="454" t="s">
        <v>1021</v>
      </c>
      <c r="C935" s="461" t="s">
        <v>118</v>
      </c>
      <c r="D935" s="461" t="s">
        <v>140</v>
      </c>
      <c r="E935" s="2">
        <v>240</v>
      </c>
      <c r="F935" s="2">
        <v>905</v>
      </c>
      <c r="G935" s="451">
        <f>G928</f>
        <v>629.7600000000001</v>
      </c>
      <c r="H935" s="451">
        <f t="shared" ref="H935" si="481">H928</f>
        <v>0</v>
      </c>
      <c r="I935" s="451">
        <f t="shared" si="469"/>
        <v>0</v>
      </c>
    </row>
    <row r="936" spans="1:9" ht="68.25" customHeight="1" x14ac:dyDescent="0.25">
      <c r="A936" s="462" t="s">
        <v>1368</v>
      </c>
      <c r="B936" s="457" t="s">
        <v>817</v>
      </c>
      <c r="C936" s="7"/>
      <c r="D936" s="7"/>
      <c r="E936" s="3"/>
      <c r="F936" s="3"/>
      <c r="G936" s="450">
        <f>G938</f>
        <v>40</v>
      </c>
      <c r="H936" s="450">
        <f t="shared" ref="H936" si="482">H938</f>
        <v>0</v>
      </c>
      <c r="I936" s="450">
        <f t="shared" si="469"/>
        <v>0</v>
      </c>
    </row>
    <row r="937" spans="1:9" s="200" customFormat="1" ht="47.25" x14ac:dyDescent="0.25">
      <c r="A937" s="208" t="s">
        <v>854</v>
      </c>
      <c r="B937" s="457" t="s">
        <v>1076</v>
      </c>
      <c r="C937" s="7"/>
      <c r="D937" s="7"/>
      <c r="E937" s="3"/>
      <c r="F937" s="3"/>
      <c r="G937" s="450">
        <f>G938</f>
        <v>40</v>
      </c>
      <c r="H937" s="450">
        <f t="shared" ref="H937:H941" si="483">H938</f>
        <v>0</v>
      </c>
      <c r="I937" s="450">
        <f t="shared" si="469"/>
        <v>0</v>
      </c>
    </row>
    <row r="938" spans="1:9" ht="15.75" x14ac:dyDescent="0.25">
      <c r="A938" s="45" t="s">
        <v>117</v>
      </c>
      <c r="B938" s="454" t="s">
        <v>1076</v>
      </c>
      <c r="C938" s="461" t="s">
        <v>118</v>
      </c>
      <c r="D938" s="461"/>
      <c r="E938" s="2"/>
      <c r="F938" s="2"/>
      <c r="G938" s="451">
        <f>G939</f>
        <v>40</v>
      </c>
      <c r="H938" s="451">
        <f t="shared" si="483"/>
        <v>0</v>
      </c>
      <c r="I938" s="451">
        <f t="shared" si="469"/>
        <v>0</v>
      </c>
    </row>
    <row r="939" spans="1:9" ht="15.75" x14ac:dyDescent="0.25">
      <c r="A939" s="45" t="s">
        <v>139</v>
      </c>
      <c r="B939" s="454" t="s">
        <v>1076</v>
      </c>
      <c r="C939" s="461" t="s">
        <v>118</v>
      </c>
      <c r="D939" s="461" t="s">
        <v>140</v>
      </c>
      <c r="E939" s="2"/>
      <c r="F939" s="2"/>
      <c r="G939" s="451">
        <f>G940</f>
        <v>40</v>
      </c>
      <c r="H939" s="451">
        <f t="shared" si="483"/>
        <v>0</v>
      </c>
      <c r="I939" s="451">
        <f t="shared" si="469"/>
        <v>0</v>
      </c>
    </row>
    <row r="940" spans="1:9" ht="31.5" x14ac:dyDescent="0.25">
      <c r="A940" s="97" t="s">
        <v>171</v>
      </c>
      <c r="B940" s="454" t="s">
        <v>855</v>
      </c>
      <c r="C940" s="461" t="s">
        <v>118</v>
      </c>
      <c r="D940" s="461" t="s">
        <v>140</v>
      </c>
      <c r="E940" s="2"/>
      <c r="F940" s="2"/>
      <c r="G940" s="451">
        <f>G941</f>
        <v>40</v>
      </c>
      <c r="H940" s="451">
        <f t="shared" si="483"/>
        <v>0</v>
      </c>
      <c r="I940" s="451">
        <f t="shared" si="469"/>
        <v>0</v>
      </c>
    </row>
    <row r="941" spans="1:9" ht="31.5" x14ac:dyDescent="0.25">
      <c r="A941" s="45" t="s">
        <v>131</v>
      </c>
      <c r="B941" s="454" t="s">
        <v>855</v>
      </c>
      <c r="C941" s="461" t="s">
        <v>118</v>
      </c>
      <c r="D941" s="461" t="s">
        <v>140</v>
      </c>
      <c r="E941" s="2">
        <v>200</v>
      </c>
      <c r="F941" s="2"/>
      <c r="G941" s="451">
        <f>G942</f>
        <v>40</v>
      </c>
      <c r="H941" s="451">
        <f t="shared" si="483"/>
        <v>0</v>
      </c>
      <c r="I941" s="451">
        <f t="shared" si="469"/>
        <v>0</v>
      </c>
    </row>
    <row r="942" spans="1:9" ht="31.5" x14ac:dyDescent="0.25">
      <c r="A942" s="45" t="s">
        <v>133</v>
      </c>
      <c r="B942" s="454" t="s">
        <v>855</v>
      </c>
      <c r="C942" s="461" t="s">
        <v>118</v>
      </c>
      <c r="D942" s="461" t="s">
        <v>140</v>
      </c>
      <c r="E942" s="2">
        <v>240</v>
      </c>
      <c r="F942" s="2"/>
      <c r="G942" s="451">
        <f>'Пр.4 ведом.21'!G152</f>
        <v>40</v>
      </c>
      <c r="H942" s="451">
        <f>'Пр.4 ведом.21'!H152</f>
        <v>0</v>
      </c>
      <c r="I942" s="451">
        <f t="shared" si="469"/>
        <v>0</v>
      </c>
    </row>
    <row r="943" spans="1:9" ht="23.25" customHeight="1" x14ac:dyDescent="0.25">
      <c r="A943" s="29" t="s">
        <v>148</v>
      </c>
      <c r="B943" s="454" t="s">
        <v>855</v>
      </c>
      <c r="C943" s="461" t="s">
        <v>118</v>
      </c>
      <c r="D943" s="461" t="s">
        <v>140</v>
      </c>
      <c r="E943" s="2">
        <v>240</v>
      </c>
      <c r="F943" s="2">
        <v>902</v>
      </c>
      <c r="G943" s="451">
        <f>G936</f>
        <v>40</v>
      </c>
      <c r="H943" s="451">
        <f t="shared" ref="H943" si="484">H936</f>
        <v>0</v>
      </c>
      <c r="I943" s="451">
        <f t="shared" si="469"/>
        <v>0</v>
      </c>
    </row>
    <row r="944" spans="1:9" ht="63" x14ac:dyDescent="0.25">
      <c r="A944" s="462" t="s">
        <v>1679</v>
      </c>
      <c r="B944" s="457" t="s">
        <v>818</v>
      </c>
      <c r="C944" s="7"/>
      <c r="D944" s="7"/>
      <c r="E944" s="3"/>
      <c r="F944" s="3"/>
      <c r="G944" s="450">
        <f>G946</f>
        <v>87.1</v>
      </c>
      <c r="H944" s="450">
        <f t="shared" ref="H944" si="485">H946</f>
        <v>13.16</v>
      </c>
      <c r="I944" s="450">
        <f t="shared" si="469"/>
        <v>15.109070034443169</v>
      </c>
    </row>
    <row r="945" spans="1:14" s="200" customFormat="1" ht="31.5" x14ac:dyDescent="0.25">
      <c r="A945" s="58" t="s">
        <v>856</v>
      </c>
      <c r="B945" s="457" t="s">
        <v>864</v>
      </c>
      <c r="C945" s="7"/>
      <c r="D945" s="7"/>
      <c r="E945" s="3"/>
      <c r="F945" s="3"/>
      <c r="G945" s="450">
        <f>G946</f>
        <v>87.1</v>
      </c>
      <c r="H945" s="450">
        <f t="shared" ref="H945:H949" si="486">H946</f>
        <v>13.16</v>
      </c>
      <c r="I945" s="450">
        <f t="shared" si="469"/>
        <v>15.109070034443169</v>
      </c>
    </row>
    <row r="946" spans="1:14" ht="15.75" x14ac:dyDescent="0.25">
      <c r="A946" s="45" t="s">
        <v>117</v>
      </c>
      <c r="B946" s="454" t="s">
        <v>864</v>
      </c>
      <c r="C946" s="461" t="s">
        <v>118</v>
      </c>
      <c r="D946" s="461"/>
      <c r="E946" s="2"/>
      <c r="F946" s="2"/>
      <c r="G946" s="451">
        <f>G947</f>
        <v>87.1</v>
      </c>
      <c r="H946" s="451">
        <f t="shared" si="486"/>
        <v>13.16</v>
      </c>
      <c r="I946" s="451">
        <f t="shared" si="469"/>
        <v>15.109070034443169</v>
      </c>
    </row>
    <row r="947" spans="1:14" ht="15.75" x14ac:dyDescent="0.25">
      <c r="A947" s="45" t="s">
        <v>139</v>
      </c>
      <c r="B947" s="454" t="s">
        <v>864</v>
      </c>
      <c r="C947" s="461" t="s">
        <v>118</v>
      </c>
      <c r="D947" s="461" t="s">
        <v>140</v>
      </c>
      <c r="E947" s="2"/>
      <c r="F947" s="2"/>
      <c r="G947" s="451">
        <f>G948</f>
        <v>87.1</v>
      </c>
      <c r="H947" s="451">
        <f t="shared" si="486"/>
        <v>13.16</v>
      </c>
      <c r="I947" s="451">
        <f t="shared" si="469"/>
        <v>15.109070034443169</v>
      </c>
    </row>
    <row r="948" spans="1:14" ht="15.75" x14ac:dyDescent="0.25">
      <c r="A948" s="45" t="s">
        <v>175</v>
      </c>
      <c r="B948" s="454" t="s">
        <v>857</v>
      </c>
      <c r="C948" s="461" t="s">
        <v>118</v>
      </c>
      <c r="D948" s="461" t="s">
        <v>140</v>
      </c>
      <c r="E948" s="2"/>
      <c r="F948" s="2"/>
      <c r="G948" s="451">
        <f>G949</f>
        <v>87.1</v>
      </c>
      <c r="H948" s="451">
        <f t="shared" si="486"/>
        <v>13.16</v>
      </c>
      <c r="I948" s="451">
        <f t="shared" si="469"/>
        <v>15.109070034443169</v>
      </c>
    </row>
    <row r="949" spans="1:14" ht="31.5" x14ac:dyDescent="0.25">
      <c r="A949" s="45" t="s">
        <v>131</v>
      </c>
      <c r="B949" s="454" t="s">
        <v>857</v>
      </c>
      <c r="C949" s="461" t="s">
        <v>118</v>
      </c>
      <c r="D949" s="461" t="s">
        <v>140</v>
      </c>
      <c r="E949" s="2">
        <v>200</v>
      </c>
      <c r="F949" s="2"/>
      <c r="G949" s="451">
        <f>G950</f>
        <v>87.1</v>
      </c>
      <c r="H949" s="451">
        <f t="shared" si="486"/>
        <v>13.16</v>
      </c>
      <c r="I949" s="451">
        <f t="shared" si="469"/>
        <v>15.109070034443169</v>
      </c>
    </row>
    <row r="950" spans="1:14" ht="31.5" x14ac:dyDescent="0.25">
      <c r="A950" s="45" t="s">
        <v>133</v>
      </c>
      <c r="B950" s="454" t="s">
        <v>857</v>
      </c>
      <c r="C950" s="461" t="s">
        <v>118</v>
      </c>
      <c r="D950" s="461" t="s">
        <v>140</v>
      </c>
      <c r="E950" s="2">
        <v>240</v>
      </c>
      <c r="F950" s="2"/>
      <c r="G950" s="451">
        <f>'Пр.4 ведом.21'!G157</f>
        <v>87.1</v>
      </c>
      <c r="H950" s="451">
        <f>'Пр.4 ведом.21'!H157</f>
        <v>13.16</v>
      </c>
      <c r="I950" s="451">
        <f t="shared" si="469"/>
        <v>15.109070034443169</v>
      </c>
    </row>
    <row r="951" spans="1:14" ht="23.25" customHeight="1" x14ac:dyDescent="0.25">
      <c r="A951" s="29" t="s">
        <v>148</v>
      </c>
      <c r="B951" s="454" t="s">
        <v>857</v>
      </c>
      <c r="C951" s="461" t="s">
        <v>118</v>
      </c>
      <c r="D951" s="461" t="s">
        <v>140</v>
      </c>
      <c r="E951" s="2">
        <v>240</v>
      </c>
      <c r="F951" s="2">
        <v>902</v>
      </c>
      <c r="G951" s="451">
        <f>G944</f>
        <v>87.1</v>
      </c>
      <c r="H951" s="451">
        <f t="shared" ref="H951" si="487">H944</f>
        <v>13.16</v>
      </c>
      <c r="I951" s="451">
        <f t="shared" si="469"/>
        <v>15.109070034443169</v>
      </c>
    </row>
    <row r="952" spans="1:14" s="200" customFormat="1" ht="47.25" hidden="1" x14ac:dyDescent="0.25">
      <c r="A952" s="456" t="s">
        <v>1536</v>
      </c>
      <c r="B952" s="457" t="s">
        <v>1142</v>
      </c>
      <c r="C952" s="461"/>
      <c r="D952" s="461"/>
      <c r="E952" s="2"/>
      <c r="F952" s="2"/>
      <c r="G952" s="450">
        <f t="shared" ref="G952:H958" si="488">G953</f>
        <v>0</v>
      </c>
      <c r="H952" s="450">
        <f t="shared" si="488"/>
        <v>0</v>
      </c>
      <c r="I952" s="451" t="e">
        <f t="shared" si="469"/>
        <v>#DIV/0!</v>
      </c>
    </row>
    <row r="953" spans="1:14" s="200" customFormat="1" ht="31.5" hidden="1" x14ac:dyDescent="0.25">
      <c r="A953" s="456" t="s">
        <v>1143</v>
      </c>
      <c r="B953" s="457" t="s">
        <v>1144</v>
      </c>
      <c r="C953" s="461"/>
      <c r="D953" s="461"/>
      <c r="E953" s="2"/>
      <c r="F953" s="2"/>
      <c r="G953" s="450">
        <f t="shared" si="488"/>
        <v>0</v>
      </c>
      <c r="H953" s="450">
        <f t="shared" si="488"/>
        <v>0</v>
      </c>
      <c r="I953" s="451" t="e">
        <f t="shared" si="469"/>
        <v>#DIV/0!</v>
      </c>
    </row>
    <row r="954" spans="1:14" s="200" customFormat="1" ht="15.75" hidden="1" x14ac:dyDescent="0.25">
      <c r="A954" s="29" t="s">
        <v>390</v>
      </c>
      <c r="B954" s="454" t="s">
        <v>1144</v>
      </c>
      <c r="C954" s="461" t="s">
        <v>234</v>
      </c>
      <c r="D954" s="461"/>
      <c r="E954" s="2"/>
      <c r="F954" s="2"/>
      <c r="G954" s="451">
        <f t="shared" si="488"/>
        <v>0</v>
      </c>
      <c r="H954" s="451">
        <f t="shared" si="488"/>
        <v>0</v>
      </c>
      <c r="I954" s="451" t="e">
        <f t="shared" si="469"/>
        <v>#DIV/0!</v>
      </c>
    </row>
    <row r="955" spans="1:14" s="200" customFormat="1" ht="15.75" hidden="1" x14ac:dyDescent="0.25">
      <c r="A955" s="29" t="s">
        <v>517</v>
      </c>
      <c r="B955" s="454" t="s">
        <v>1144</v>
      </c>
      <c r="C955" s="461" t="s">
        <v>234</v>
      </c>
      <c r="D955" s="461" t="s">
        <v>213</v>
      </c>
      <c r="E955" s="2"/>
      <c r="F955" s="2"/>
      <c r="G955" s="451">
        <f t="shared" si="488"/>
        <v>0</v>
      </c>
      <c r="H955" s="451">
        <f t="shared" si="488"/>
        <v>0</v>
      </c>
      <c r="I955" s="451" t="e">
        <f t="shared" si="469"/>
        <v>#DIV/0!</v>
      </c>
    </row>
    <row r="956" spans="1:14" s="200" customFormat="1" ht="15.75" hidden="1" x14ac:dyDescent="0.25">
      <c r="A956" s="29" t="s">
        <v>1146</v>
      </c>
      <c r="B956" s="454" t="s">
        <v>1145</v>
      </c>
      <c r="C956" s="461" t="s">
        <v>234</v>
      </c>
      <c r="D956" s="461" t="s">
        <v>213</v>
      </c>
      <c r="E956" s="2"/>
      <c r="F956" s="2"/>
      <c r="G956" s="451">
        <f t="shared" si="488"/>
        <v>0</v>
      </c>
      <c r="H956" s="451">
        <f t="shared" si="488"/>
        <v>0</v>
      </c>
      <c r="I956" s="451" t="e">
        <f t="shared" si="469"/>
        <v>#DIV/0!</v>
      </c>
    </row>
    <row r="957" spans="1:14" s="200" customFormat="1" ht="31.5" hidden="1" x14ac:dyDescent="0.25">
      <c r="A957" s="45" t="s">
        <v>131</v>
      </c>
      <c r="B957" s="454" t="s">
        <v>1145</v>
      </c>
      <c r="C957" s="461" t="s">
        <v>234</v>
      </c>
      <c r="D957" s="461" t="s">
        <v>213</v>
      </c>
      <c r="E957" s="2">
        <v>200</v>
      </c>
      <c r="F957" s="2"/>
      <c r="G957" s="451">
        <f t="shared" si="488"/>
        <v>0</v>
      </c>
      <c r="H957" s="451">
        <f t="shared" si="488"/>
        <v>0</v>
      </c>
      <c r="I957" s="451" t="e">
        <f t="shared" si="469"/>
        <v>#DIV/0!</v>
      </c>
    </row>
    <row r="958" spans="1:14" s="200" customFormat="1" ht="31.5" hidden="1" x14ac:dyDescent="0.25">
      <c r="A958" s="45" t="s">
        <v>133</v>
      </c>
      <c r="B958" s="454" t="s">
        <v>1145</v>
      </c>
      <c r="C958" s="461" t="s">
        <v>234</v>
      </c>
      <c r="D958" s="461" t="s">
        <v>213</v>
      </c>
      <c r="E958" s="2">
        <v>240</v>
      </c>
      <c r="F958" s="2"/>
      <c r="G958" s="451">
        <f t="shared" si="488"/>
        <v>0</v>
      </c>
      <c r="H958" s="451">
        <f t="shared" si="488"/>
        <v>0</v>
      </c>
      <c r="I958" s="451" t="e">
        <f t="shared" si="469"/>
        <v>#DIV/0!</v>
      </c>
    </row>
    <row r="959" spans="1:14" s="200" customFormat="1" ht="31.5" hidden="1" x14ac:dyDescent="0.25">
      <c r="A959" s="45" t="s">
        <v>623</v>
      </c>
      <c r="B959" s="454" t="s">
        <v>1145</v>
      </c>
      <c r="C959" s="461" t="s">
        <v>234</v>
      </c>
      <c r="D959" s="461" t="s">
        <v>213</v>
      </c>
      <c r="E959" s="2">
        <v>240</v>
      </c>
      <c r="F959" s="2">
        <v>908</v>
      </c>
      <c r="G959" s="451">
        <f>'Пр.4 ведом.21'!G1001</f>
        <v>0</v>
      </c>
      <c r="H959" s="451">
        <f>'Пр.4 ведом.21'!H1001</f>
        <v>0</v>
      </c>
      <c r="I959" s="451" t="e">
        <f t="shared" si="469"/>
        <v>#DIV/0!</v>
      </c>
    </row>
    <row r="960" spans="1:14" ht="15.75" x14ac:dyDescent="0.25">
      <c r="A960" s="72" t="s">
        <v>657</v>
      </c>
      <c r="B960" s="72"/>
      <c r="C960" s="72"/>
      <c r="D960" s="72"/>
      <c r="E960" s="72"/>
      <c r="F960" s="72"/>
      <c r="G960" s="120">
        <f>G944+G936+G928+G913+G844+G817+G752+G679+G648+G500+G431+G423+G389+G381+G144+G31+G10+G767+G952</f>
        <v>565675.84000000008</v>
      </c>
      <c r="H960" s="120">
        <f t="shared" ref="H960" si="489">H944+H936+H928+H913+H844+H817+H752+H679+H648+H500+H431+H423+H389+H381+H144+H31+H10+H767+H952</f>
        <v>390125.18927000003</v>
      </c>
      <c r="I960" s="450">
        <f t="shared" si="469"/>
        <v>68.966210271592999</v>
      </c>
      <c r="N960" s="227"/>
    </row>
    <row r="962" spans="7:9" x14ac:dyDescent="0.25">
      <c r="G962" s="115">
        <f>'Пр.4 ведом.21'!G1203</f>
        <v>565675.84</v>
      </c>
      <c r="H962" s="115">
        <f>'Пр.4 ведом.21'!H1203</f>
        <v>390125.18926999986</v>
      </c>
      <c r="I962" s="115" t="e">
        <f>'Пр.4 ведом.21'!I1203</f>
        <v>#DIV/0!</v>
      </c>
    </row>
    <row r="963" spans="7:9" x14ac:dyDescent="0.25">
      <c r="G963" s="115">
        <f>G962-G960</f>
        <v>0</v>
      </c>
      <c r="H963" s="115">
        <f t="shared" ref="H963:I963" si="490">H962-H960</f>
        <v>0</v>
      </c>
      <c r="I963" s="115" t="e">
        <f t="shared" si="490"/>
        <v>#DIV/0!</v>
      </c>
    </row>
  </sheetData>
  <mergeCells count="6">
    <mergeCell ref="H1:I1"/>
    <mergeCell ref="H3:I3"/>
    <mergeCell ref="A7:I7"/>
    <mergeCell ref="H5:I5"/>
    <mergeCell ref="H4:I4"/>
    <mergeCell ref="H2:I2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576" t="s">
        <v>714</v>
      </c>
      <c r="B5" s="576"/>
      <c r="C5" s="576"/>
      <c r="D5" s="576"/>
      <c r="E5" s="576"/>
      <c r="F5" s="576"/>
      <c r="G5" s="576"/>
    </row>
    <row r="6" spans="1:8" ht="16.5" x14ac:dyDescent="0.25">
      <c r="A6" s="171"/>
      <c r="B6" s="171"/>
      <c r="C6" s="171"/>
      <c r="D6" s="171"/>
      <c r="E6" s="171"/>
      <c r="F6" s="171"/>
      <c r="G6" s="171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'Пр.4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'Пр.4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'Пр.4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'Пр.4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'Пр.4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'Пр.4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'Пр.4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'Пр.4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'Пр.4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'Пр.4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'Пр.4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'Пр.4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'Пр.4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'Пр.4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'Пр.4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'Пр.4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7" t="e">
        <f>'Пр.4 ведом.21'!#REF!</f>
        <v>#REF!</v>
      </c>
      <c r="H131" s="158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'Пр.4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'Пр.4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'Пр.4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'Пр.4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'Пр.4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'Пр.4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'Пр.4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'Пр.4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2" t="s">
        <v>156</v>
      </c>
      <c r="C217" s="7"/>
      <c r="D217" s="172"/>
      <c r="E217" s="172"/>
      <c r="F217" s="172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'Пр.4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2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'Пр.4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'Пр.4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'Пр.4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'Пр.4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'Пр.4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2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'Пр.4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2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2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'Пр.4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2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'Пр.4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2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'Пр.4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'Пр.4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'Пр.4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'Пр.4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7" t="e">
        <f>'Пр.4 ведом.21'!#REF!</f>
        <v>#REF!</v>
      </c>
      <c r="H307" s="158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2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'Пр.4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'Пр.4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'Пр.4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'Пр.4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'Пр.4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'Пр.4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'Пр.4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'Пр.4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'Пр.4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'Пр.4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'Пр.4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'Пр.4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'Пр.4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'Пр.4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'Пр.4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'Пр.4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'Пр.4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'Пр.4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'Пр.4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'Пр.4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2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'Пр.4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'Пр.4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'Пр.4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'Пр.4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'Пр.4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'Пр.4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'Пр.4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'Пр.4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'Пр.4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'Пр.4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'Пр.4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'Пр.4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'Пр.4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'Пр.4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'Пр.4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'Пр.4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'Пр.4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J904" sqref="J90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1"/>
      <c r="B1" s="201"/>
      <c r="C1" s="201"/>
      <c r="D1" s="201"/>
      <c r="E1" s="201"/>
      <c r="F1" s="201"/>
      <c r="G1" s="577" t="s">
        <v>1528</v>
      </c>
      <c r="H1" s="577"/>
    </row>
    <row r="2" spans="1:8" ht="15.75" x14ac:dyDescent="0.25">
      <c r="A2" s="201"/>
      <c r="B2" s="201"/>
      <c r="C2" s="201"/>
      <c r="D2" s="201"/>
      <c r="E2" s="201"/>
      <c r="F2" s="201"/>
      <c r="G2" s="577" t="s">
        <v>1527</v>
      </c>
      <c r="H2" s="577"/>
    </row>
    <row r="3" spans="1:8" ht="15.75" x14ac:dyDescent="0.25">
      <c r="A3" s="201"/>
      <c r="B3" s="201"/>
      <c r="C3" s="201"/>
      <c r="D3" s="201"/>
      <c r="E3" s="201"/>
      <c r="F3" s="62"/>
      <c r="G3" s="554" t="s">
        <v>1521</v>
      </c>
      <c r="H3" s="554"/>
    </row>
    <row r="4" spans="1:8" s="200" customFormat="1" ht="15.75" x14ac:dyDescent="0.25">
      <c r="A4" s="201"/>
      <c r="B4" s="201"/>
      <c r="C4" s="201"/>
      <c r="D4" s="201"/>
      <c r="E4" s="201"/>
      <c r="F4" s="62"/>
      <c r="G4" s="115"/>
      <c r="H4" s="267"/>
    </row>
    <row r="5" spans="1:8" ht="44.45" customHeight="1" x14ac:dyDescent="0.25">
      <c r="A5" s="576" t="s">
        <v>1329</v>
      </c>
      <c r="B5" s="576"/>
      <c r="C5" s="576"/>
      <c r="D5" s="576"/>
      <c r="E5" s="576"/>
      <c r="F5" s="576"/>
      <c r="G5" s="576"/>
      <c r="H5" s="576"/>
    </row>
    <row r="6" spans="1:8" ht="16.5" x14ac:dyDescent="0.25">
      <c r="A6" s="237"/>
      <c r="B6" s="237"/>
      <c r="C6" s="237"/>
      <c r="D6" s="237"/>
      <c r="E6" s="237"/>
      <c r="F6" s="237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68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76" t="s">
        <v>1027</v>
      </c>
      <c r="H8" s="366" t="s">
        <v>1291</v>
      </c>
    </row>
    <row r="9" spans="1:8" ht="47.25" x14ac:dyDescent="0.25">
      <c r="A9" s="58" t="s">
        <v>1373</v>
      </c>
      <c r="B9" s="7" t="s">
        <v>510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'пр.6.1.ведом.22-23'!G865</f>
        <v>0</v>
      </c>
      <c r="H15" s="6">
        <f>'пр.6.1.ведом.22-23'!H865</f>
        <v>0</v>
      </c>
    </row>
    <row r="16" spans="1:8" ht="47.25" hidden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1061</v>
      </c>
      <c r="B17" s="24" t="s">
        <v>959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G24+G27+G21</f>
        <v>2319</v>
      </c>
      <c r="H20" s="6">
        <f>H24+H27+H21</f>
        <v>2319</v>
      </c>
    </row>
    <row r="21" spans="1:8" s="200" customFormat="1" ht="94.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200" customFormat="1" ht="31.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'пр.6.1.ведом.22-23'!G869</f>
        <v>1807</v>
      </c>
      <c r="H22" s="6">
        <f>'пр.6.1.ведом.22-23'!H869</f>
        <v>1807</v>
      </c>
    </row>
    <row r="23" spans="1:8" s="200" customFormat="1" ht="47.2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'пр.6.1.ведом.22-23'!G871</f>
        <v>512</v>
      </c>
      <c r="H25" s="6">
        <f>'пр.6.1.ведом.22-23'!H871</f>
        <v>512</v>
      </c>
    </row>
    <row r="26" spans="1:8" ht="47.2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'пр.6.1.ведом.22-23'!G873</f>
        <v>0</v>
      </c>
      <c r="H28" s="6">
        <f>'пр.6.1.ведом.22-23'!H873</f>
        <v>0</v>
      </c>
    </row>
    <row r="29" spans="1:8" ht="47.2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1385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06" t="s">
        <v>1029</v>
      </c>
      <c r="B32" s="24" t="s">
        <v>892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1035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'пр.6.1.ведом.22-23'!G343</f>
        <v>280</v>
      </c>
      <c r="H37" s="10">
        <f>'пр.6.1.ведом.22-23'!H343</f>
        <v>280</v>
      </c>
    </row>
    <row r="38" spans="1:8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1030</v>
      </c>
      <c r="B39" s="20" t="s">
        <v>1047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1047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1047</v>
      </c>
      <c r="C41" s="40" t="s">
        <v>264</v>
      </c>
      <c r="D41" s="40" t="s">
        <v>264</v>
      </c>
      <c r="E41" s="40" t="s">
        <v>134</v>
      </c>
      <c r="F41" s="40"/>
      <c r="G41" s="10">
        <f>'пр.6.1.ведом.22-23'!G346</f>
        <v>0</v>
      </c>
      <c r="H41" s="10">
        <f>'пр.6.1.ведом.22-23'!H346</f>
        <v>0</v>
      </c>
    </row>
    <row r="42" spans="1:8" ht="47.25" hidden="1" x14ac:dyDescent="0.25">
      <c r="A42" s="45" t="s">
        <v>261</v>
      </c>
      <c r="B42" s="20" t="s">
        <v>1047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1031</v>
      </c>
      <c r="B43" s="24" t="s">
        <v>894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1032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'пр.6.1.ведом.22-23'!G350</f>
        <v>40</v>
      </c>
      <c r="H48" s="10">
        <f>'пр.6.1.ведом.22-23'!H350</f>
        <v>40</v>
      </c>
    </row>
    <row r="49" spans="1:8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'пр.6.1.ведом.22-23'!G352</f>
        <v>415</v>
      </c>
      <c r="H51" s="6">
        <f>'пр.6.1.ведом.22-23'!H352</f>
        <v>480</v>
      </c>
    </row>
    <row r="52" spans="1:8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1037</v>
      </c>
      <c r="B53" s="24" t="s">
        <v>1033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1033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1033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26" t="s">
        <v>1034</v>
      </c>
      <c r="B56" s="20" t="s">
        <v>1048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1048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1197</v>
      </c>
      <c r="B58" s="20" t="s">
        <v>1048</v>
      </c>
      <c r="C58" s="40" t="s">
        <v>264</v>
      </c>
      <c r="D58" s="40" t="s">
        <v>264</v>
      </c>
      <c r="E58" s="20" t="s">
        <v>349</v>
      </c>
      <c r="F58" s="40"/>
      <c r="G58" s="10">
        <f>'пр.6.1.ведом.22-23'!G356</f>
        <v>25</v>
      </c>
      <c r="H58" s="10">
        <f>'пр.6.1.ведом.22-23'!H356</f>
        <v>25</v>
      </c>
    </row>
    <row r="59" spans="1:8" ht="47.25" x14ac:dyDescent="0.25">
      <c r="A59" s="45" t="s">
        <v>261</v>
      </c>
      <c r="B59" s="20" t="s">
        <v>1048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1386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'пр.6.1.ведом.22-23'!G452</f>
        <v>294.61</v>
      </c>
      <c r="H66" s="10">
        <f>'пр.6.1.ведом.22-23'!H452</f>
        <v>289.11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200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0" customFormat="1" ht="47.25" hidden="1" x14ac:dyDescent="0.25">
      <c r="A69" s="210" t="s">
        <v>1043</v>
      </c>
      <c r="B69" s="24" t="s">
        <v>907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0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0" customFormat="1" ht="31.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0" customFormat="1" ht="63" hidden="1" x14ac:dyDescent="0.25">
      <c r="A72" s="25" t="s">
        <v>375</v>
      </c>
      <c r="B72" s="20" t="s">
        <v>1317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0" customFormat="1" ht="31.5" hidden="1" x14ac:dyDescent="0.25">
      <c r="A73" s="25" t="s">
        <v>248</v>
      </c>
      <c r="B73" s="20" t="s">
        <v>1317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200" customFormat="1" ht="47.25" hidden="1" x14ac:dyDescent="0.25">
      <c r="A74" s="25" t="s">
        <v>250</v>
      </c>
      <c r="B74" s="20" t="s">
        <v>1317</v>
      </c>
      <c r="C74" s="40" t="s">
        <v>150</v>
      </c>
      <c r="D74" s="40" t="s">
        <v>238</v>
      </c>
      <c r="E74" s="40" t="s">
        <v>251</v>
      </c>
      <c r="F74" s="40"/>
      <c r="G74" s="10">
        <f>'пр.6.1.ведом.22-23'!G280</f>
        <v>0</v>
      </c>
      <c r="H74" s="10">
        <f>'пр.6.1.ведом.22-23'!H280</f>
        <v>0</v>
      </c>
    </row>
    <row r="75" spans="1:8" s="200" customFormat="1" ht="47.25" hidden="1" x14ac:dyDescent="0.25">
      <c r="A75" s="45" t="s">
        <v>261</v>
      </c>
      <c r="B75" s="20" t="s">
        <v>1317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200" customFormat="1" ht="47.25" x14ac:dyDescent="0.25">
      <c r="A76" s="23" t="s">
        <v>1041</v>
      </c>
      <c r="B76" s="7" t="s">
        <v>1200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0" customFormat="1" ht="15.75" x14ac:dyDescent="0.25">
      <c r="A77" s="45" t="s">
        <v>232</v>
      </c>
      <c r="B77" s="40" t="s">
        <v>1200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0" customFormat="1" ht="31.5" x14ac:dyDescent="0.25">
      <c r="A78" s="45" t="s">
        <v>237</v>
      </c>
      <c r="B78" s="40" t="s">
        <v>1200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0" customFormat="1" ht="126" x14ac:dyDescent="0.25">
      <c r="A79" s="25" t="s">
        <v>1509</v>
      </c>
      <c r="B79" s="20" t="s">
        <v>1201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0" customFormat="1" ht="47.25" x14ac:dyDescent="0.25">
      <c r="A80" s="25" t="s">
        <v>272</v>
      </c>
      <c r="B80" s="20" t="s">
        <v>1201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200" customFormat="1" ht="78.75" x14ac:dyDescent="0.25">
      <c r="A81" s="25" t="s">
        <v>1090</v>
      </c>
      <c r="B81" s="20" t="s">
        <v>1201</v>
      </c>
      <c r="C81" s="40" t="s">
        <v>150</v>
      </c>
      <c r="D81" s="40" t="s">
        <v>238</v>
      </c>
      <c r="E81" s="40" t="s">
        <v>372</v>
      </c>
      <c r="F81" s="40"/>
      <c r="G81" s="10">
        <f>'пр.6.1.ведом.22-23'!G284</f>
        <v>260</v>
      </c>
      <c r="H81" s="10">
        <f>'пр.6.1.ведом.22-23'!H284</f>
        <v>260</v>
      </c>
    </row>
    <row r="82" spans="1:8" s="200" customFormat="1" ht="47.25" x14ac:dyDescent="0.25">
      <c r="A82" s="45" t="s">
        <v>261</v>
      </c>
      <c r="B82" s="20" t="s">
        <v>1201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200" customFormat="1" ht="31.5" hidden="1" x14ac:dyDescent="0.25">
      <c r="A83" s="23" t="s">
        <v>995</v>
      </c>
      <c r="B83" s="24" t="s">
        <v>1310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0" customFormat="1" ht="15.75" hidden="1" x14ac:dyDescent="0.25">
      <c r="A84" s="45" t="s">
        <v>232</v>
      </c>
      <c r="B84" s="40" t="s">
        <v>1310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0" customFormat="1" ht="31.5" hidden="1" x14ac:dyDescent="0.25">
      <c r="A85" s="45" t="s">
        <v>237</v>
      </c>
      <c r="B85" s="40" t="s">
        <v>1310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0" customFormat="1" ht="47.25" hidden="1" x14ac:dyDescent="0.25">
      <c r="A86" s="247" t="s">
        <v>1044</v>
      </c>
      <c r="B86" s="20" t="s">
        <v>1311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0" customFormat="1" ht="31.5" hidden="1" x14ac:dyDescent="0.25">
      <c r="A87" s="25" t="s">
        <v>131</v>
      </c>
      <c r="B87" s="20" t="s">
        <v>1311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200" customFormat="1" ht="47.25" hidden="1" x14ac:dyDescent="0.25">
      <c r="A88" s="25" t="s">
        <v>133</v>
      </c>
      <c r="B88" s="20" t="s">
        <v>1311</v>
      </c>
      <c r="C88" s="40" t="s">
        <v>150</v>
      </c>
      <c r="D88" s="40" t="s">
        <v>238</v>
      </c>
      <c r="E88" s="40" t="s">
        <v>134</v>
      </c>
      <c r="F88" s="40"/>
      <c r="G88" s="10">
        <f>'пр.6.1.ведом.22-23'!G288</f>
        <v>0</v>
      </c>
      <c r="H88" s="10">
        <f>'пр.6.1.ведом.22-23'!H288</f>
        <v>0</v>
      </c>
    </row>
    <row r="89" spans="1:8" s="200" customFormat="1" ht="47.25" hidden="1" x14ac:dyDescent="0.25">
      <c r="A89" s="45" t="s">
        <v>261</v>
      </c>
      <c r="B89" s="20" t="s">
        <v>1311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200" customFormat="1" ht="47.25" hidden="1" x14ac:dyDescent="0.25">
      <c r="A90" s="207" t="s">
        <v>1103</v>
      </c>
      <c r="B90" s="24" t="s">
        <v>1202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0" customFormat="1" ht="15.75" hidden="1" x14ac:dyDescent="0.25">
      <c r="A91" s="45" t="s">
        <v>232</v>
      </c>
      <c r="B91" s="40" t="s">
        <v>1202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0" customFormat="1" ht="31.5" hidden="1" x14ac:dyDescent="0.25">
      <c r="A92" s="45" t="s">
        <v>237</v>
      </c>
      <c r="B92" s="40" t="s">
        <v>1202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0" customFormat="1" ht="31.5" hidden="1" x14ac:dyDescent="0.25">
      <c r="A93" s="226" t="s">
        <v>1104</v>
      </c>
      <c r="B93" s="20" t="s">
        <v>1203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0" customFormat="1" ht="31.5" hidden="1" x14ac:dyDescent="0.25">
      <c r="A94" s="25" t="s">
        <v>131</v>
      </c>
      <c r="B94" s="20" t="s">
        <v>1203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200" customFormat="1" ht="47.25" hidden="1" x14ac:dyDescent="0.25">
      <c r="A95" s="25" t="s">
        <v>133</v>
      </c>
      <c r="B95" s="20" t="s">
        <v>1203</v>
      </c>
      <c r="C95" s="40" t="s">
        <v>150</v>
      </c>
      <c r="D95" s="40" t="s">
        <v>238</v>
      </c>
      <c r="E95" s="40" t="s">
        <v>134</v>
      </c>
      <c r="F95" s="40"/>
      <c r="G95" s="10">
        <f>'пр.6.1.ведом.22-23'!G292</f>
        <v>0</v>
      </c>
      <c r="H95" s="10">
        <f>'пр.6.1.ведом.22-23'!H292</f>
        <v>0</v>
      </c>
    </row>
    <row r="96" spans="1:8" s="200" customFormat="1" ht="47.25" hidden="1" x14ac:dyDescent="0.25">
      <c r="A96" s="45" t="s">
        <v>261</v>
      </c>
      <c r="B96" s="20" t="s">
        <v>1203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200" customFormat="1" ht="94.5" x14ac:dyDescent="0.25">
      <c r="A97" s="41" t="s">
        <v>1351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0" customFormat="1" ht="63" x14ac:dyDescent="0.25">
      <c r="A98" s="245" t="s">
        <v>1045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0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0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200" customFormat="1" ht="47.25" x14ac:dyDescent="0.25">
      <c r="A101" s="98" t="s">
        <v>1046</v>
      </c>
      <c r="B101" s="40" t="s">
        <v>1199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0" customFormat="1" ht="31.5" x14ac:dyDescent="0.25">
      <c r="A102" s="29" t="s">
        <v>131</v>
      </c>
      <c r="B102" s="40" t="s">
        <v>1199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200" customFormat="1" ht="47.25" x14ac:dyDescent="0.25">
      <c r="A103" s="29" t="s">
        <v>133</v>
      </c>
      <c r="B103" s="40" t="s">
        <v>1199</v>
      </c>
      <c r="C103" s="40" t="s">
        <v>118</v>
      </c>
      <c r="D103" s="40" t="s">
        <v>140</v>
      </c>
      <c r="E103" s="40" t="s">
        <v>134</v>
      </c>
      <c r="F103" s="9"/>
      <c r="G103" s="10">
        <f>'пр.6.1.ведом.22-23'!G250</f>
        <v>200</v>
      </c>
      <c r="H103" s="10">
        <f>'пр.6.1.ведом.22-23'!H250</f>
        <v>500</v>
      </c>
    </row>
    <row r="104" spans="1:8" s="200" customFormat="1" ht="47.25" x14ac:dyDescent="0.25">
      <c r="A104" s="45" t="s">
        <v>261</v>
      </c>
      <c r="B104" s="40" t="s">
        <v>1199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200" customFormat="1" ht="47.25" hidden="1" x14ac:dyDescent="0.25">
      <c r="A105" s="35" t="s">
        <v>886</v>
      </c>
      <c r="B105" s="20" t="s">
        <v>1298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0" customFormat="1" ht="31.5" hidden="1" x14ac:dyDescent="0.25">
      <c r="A106" s="25" t="s">
        <v>131</v>
      </c>
      <c r="B106" s="20" t="s">
        <v>1298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200" customFormat="1" ht="47.25" hidden="1" x14ac:dyDescent="0.25">
      <c r="A107" s="25" t="s">
        <v>133</v>
      </c>
      <c r="B107" s="20" t="s">
        <v>1298</v>
      </c>
      <c r="C107" s="40" t="s">
        <v>118</v>
      </c>
      <c r="D107" s="40" t="s">
        <v>140</v>
      </c>
      <c r="E107" s="40" t="s">
        <v>134</v>
      </c>
      <c r="F107" s="9"/>
      <c r="G107" s="10" t="e">
        <f>'пр.6.1.ведом.22-23'!#REF!</f>
        <v>#REF!</v>
      </c>
      <c r="H107" s="10" t="e">
        <f>'пр.6.1.ведом.22-23'!#REF!</f>
        <v>#REF!</v>
      </c>
    </row>
    <row r="108" spans="1:8" s="200" customFormat="1" ht="47.25" hidden="1" x14ac:dyDescent="0.25">
      <c r="A108" s="45" t="s">
        <v>261</v>
      </c>
      <c r="B108" s="20" t="s">
        <v>1298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23" t="s">
        <v>1038</v>
      </c>
      <c r="B110" s="24" t="s">
        <v>913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1039</v>
      </c>
      <c r="B113" s="20" t="s">
        <v>1225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1225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1225</v>
      </c>
      <c r="C115" s="40" t="s">
        <v>244</v>
      </c>
      <c r="D115" s="40" t="s">
        <v>215</v>
      </c>
      <c r="E115" s="40" t="s">
        <v>349</v>
      </c>
      <c r="F115" s="40"/>
      <c r="G115" s="10">
        <f>'пр.6.1.ведом.22-23'!G457</f>
        <v>630</v>
      </c>
      <c r="H115" s="10">
        <f>'пр.6.1.ведом.22-23'!H457</f>
        <v>630</v>
      </c>
    </row>
    <row r="116" spans="1:8" ht="47.25" x14ac:dyDescent="0.25">
      <c r="A116" s="45" t="s">
        <v>261</v>
      </c>
      <c r="B116" s="20" t="s">
        <v>1225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1229</v>
      </c>
      <c r="B117" s="24" t="s">
        <v>1227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1227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1227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1226</v>
      </c>
      <c r="B120" s="20" t="s">
        <v>1228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1228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1228</v>
      </c>
      <c r="C122" s="40" t="s">
        <v>244</v>
      </c>
      <c r="D122" s="40" t="s">
        <v>215</v>
      </c>
      <c r="E122" s="40" t="s">
        <v>134</v>
      </c>
      <c r="F122" s="40"/>
      <c r="G122" s="10">
        <f>'пр.6.1.ведом.22-23'!G461</f>
        <v>400</v>
      </c>
      <c r="H122" s="10">
        <f>'пр.6.1.ведом.22-23'!H461</f>
        <v>400</v>
      </c>
    </row>
    <row r="123" spans="1:8" ht="47.25" x14ac:dyDescent="0.25">
      <c r="A123" s="45" t="s">
        <v>261</v>
      </c>
      <c r="B123" s="20" t="s">
        <v>1228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1228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1228</v>
      </c>
      <c r="C125" s="40" t="s">
        <v>244</v>
      </c>
      <c r="D125" s="40" t="s">
        <v>215</v>
      </c>
      <c r="E125" s="40" t="s">
        <v>349</v>
      </c>
      <c r="F125" s="40"/>
      <c r="G125" s="10">
        <f>'пр.6.1.ведом.22-23'!G463</f>
        <v>257</v>
      </c>
      <c r="H125" s="10">
        <f>'пр.6.1.ведом.22-23'!H463</f>
        <v>257</v>
      </c>
    </row>
    <row r="126" spans="1:8" ht="47.25" x14ac:dyDescent="0.25">
      <c r="A126" s="45" t="s">
        <v>261</v>
      </c>
      <c r="B126" s="20" t="s">
        <v>1228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997</v>
      </c>
      <c r="B127" s="24" t="s">
        <v>1222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1222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1222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996</v>
      </c>
      <c r="B130" s="20" t="s">
        <v>1223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1223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200" customFormat="1" ht="47.25" x14ac:dyDescent="0.25">
      <c r="A132" s="25" t="s">
        <v>133</v>
      </c>
      <c r="B132" s="20" t="s">
        <v>1223</v>
      </c>
      <c r="C132" s="40" t="s">
        <v>299</v>
      </c>
      <c r="D132" s="40" t="s">
        <v>150</v>
      </c>
      <c r="E132" s="40" t="s">
        <v>134</v>
      </c>
      <c r="F132" s="40"/>
      <c r="G132" s="10">
        <f>'пр.6.1.ведом.22-23'!G439</f>
        <v>260</v>
      </c>
      <c r="H132" s="10">
        <f>'пр.6.1.ведом.22-23'!H439</f>
        <v>285</v>
      </c>
    </row>
    <row r="133" spans="1:8" s="200" customFormat="1" ht="47.25" x14ac:dyDescent="0.25">
      <c r="A133" s="45" t="s">
        <v>261</v>
      </c>
      <c r="B133" s="20" t="s">
        <v>1223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200" customFormat="1" ht="15.75" x14ac:dyDescent="0.25">
      <c r="A134" s="45" t="s">
        <v>243</v>
      </c>
      <c r="B134" s="20" t="s">
        <v>1222</v>
      </c>
      <c r="C134" s="40" t="s">
        <v>244</v>
      </c>
      <c r="D134" s="40"/>
      <c r="E134" s="40"/>
      <c r="F134" s="40"/>
      <c r="G134" s="10">
        <f t="shared" ref="G134:H137" si="18">G135</f>
        <v>420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1222</v>
      </c>
      <c r="C135" s="40" t="s">
        <v>244</v>
      </c>
      <c r="D135" s="40" t="s">
        <v>215</v>
      </c>
      <c r="E135" s="40"/>
      <c r="F135" s="40"/>
      <c r="G135" s="10">
        <f t="shared" si="18"/>
        <v>420</v>
      </c>
      <c r="H135" s="10">
        <f t="shared" si="18"/>
        <v>450</v>
      </c>
    </row>
    <row r="136" spans="1:8" ht="15.75" x14ac:dyDescent="0.25">
      <c r="A136" s="25" t="s">
        <v>1036</v>
      </c>
      <c r="B136" s="20" t="s">
        <v>1224</v>
      </c>
      <c r="C136" s="40" t="s">
        <v>244</v>
      </c>
      <c r="D136" s="40" t="s">
        <v>215</v>
      </c>
      <c r="E136" s="40"/>
      <c r="F136" s="40"/>
      <c r="G136" s="10">
        <f t="shared" si="18"/>
        <v>420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1224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420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1224</v>
      </c>
      <c r="C138" s="40" t="s">
        <v>244</v>
      </c>
      <c r="D138" s="40" t="s">
        <v>215</v>
      </c>
      <c r="E138" s="40" t="s">
        <v>349</v>
      </c>
      <c r="F138" s="40"/>
      <c r="G138" s="10">
        <f>'Пр.4 ведом.21'!G487</f>
        <v>420</v>
      </c>
      <c r="H138" s="10">
        <f>'пр.6.1.ведом.22-23'!H467</f>
        <v>450</v>
      </c>
    </row>
    <row r="139" spans="1:8" ht="47.25" x14ac:dyDescent="0.25">
      <c r="A139" s="45" t="s">
        <v>261</v>
      </c>
      <c r="B139" s="20" t="s">
        <v>1224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1361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325580.29999999993</v>
      </c>
      <c r="H140" s="59">
        <f>H141+H158+H215+H248+H255+H284+H291+H298+H305+H312+H330+H323+H337</f>
        <v>348610.15</v>
      </c>
    </row>
    <row r="141" spans="1:8" ht="47.25" x14ac:dyDescent="0.25">
      <c r="A141" s="23" t="s">
        <v>937</v>
      </c>
      <c r="B141" s="24" t="s">
        <v>1231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1231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1231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1230</v>
      </c>
      <c r="B144" s="20" t="s">
        <v>1232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1232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1232</v>
      </c>
      <c r="C146" s="40" t="s">
        <v>264</v>
      </c>
      <c r="D146" s="40" t="s">
        <v>118</v>
      </c>
      <c r="E146" s="40" t="s">
        <v>275</v>
      </c>
      <c r="F146" s="40"/>
      <c r="G146" s="6">
        <f>'пр.6.1.ведом.22-23'!G554</f>
        <v>14795.6</v>
      </c>
      <c r="H146" s="6">
        <f>'пр.6.1.ведом.22-23'!H554</f>
        <v>14795.6</v>
      </c>
    </row>
    <row r="147" spans="1:8" ht="31.5" x14ac:dyDescent="0.25">
      <c r="A147" s="29" t="s">
        <v>403</v>
      </c>
      <c r="B147" s="20" t="s">
        <v>1232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1231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1250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1250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1250</v>
      </c>
      <c r="C151" s="40" t="s">
        <v>264</v>
      </c>
      <c r="D151" s="40" t="s">
        <v>213</v>
      </c>
      <c r="E151" s="40" t="s">
        <v>275</v>
      </c>
      <c r="F151" s="40"/>
      <c r="G151" s="6">
        <f>'пр.6.1.ведом.22-23'!G614</f>
        <v>28690.799999999999</v>
      </c>
      <c r="H151" s="6">
        <f>'пр.6.1.ведом.22-23'!H614</f>
        <v>28690.799999999999</v>
      </c>
    </row>
    <row r="152" spans="1:8" ht="31.5" x14ac:dyDescent="0.25">
      <c r="A152" s="29" t="s">
        <v>403</v>
      </c>
      <c r="B152" s="20" t="s">
        <v>1250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1231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1261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1261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1261</v>
      </c>
      <c r="C156" s="40" t="s">
        <v>264</v>
      </c>
      <c r="D156" s="40" t="s">
        <v>215</v>
      </c>
      <c r="E156" s="40" t="s">
        <v>275</v>
      </c>
      <c r="F156" s="40"/>
      <c r="G156" s="6">
        <f>'пр.6.1.ведом.22-23'!G696</f>
        <v>37056.300000000003</v>
      </c>
      <c r="H156" s="6">
        <f>'пр.6.1.ведом.22-23'!H696</f>
        <v>37056.300000000003</v>
      </c>
    </row>
    <row r="157" spans="1:8" ht="31.5" x14ac:dyDescent="0.25">
      <c r="A157" s="29" t="s">
        <v>403</v>
      </c>
      <c r="B157" s="20" t="s">
        <v>1261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900</v>
      </c>
      <c r="B158" s="24" t="s">
        <v>1233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1233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1233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0" customFormat="1" ht="110.25" x14ac:dyDescent="0.25">
      <c r="A161" s="31" t="s">
        <v>293</v>
      </c>
      <c r="B161" s="20" t="s">
        <v>1393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200" customFormat="1" ht="47.25" x14ac:dyDescent="0.25">
      <c r="A162" s="25" t="s">
        <v>272</v>
      </c>
      <c r="B162" s="20" t="s">
        <v>1393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200" customFormat="1" ht="15.75" x14ac:dyDescent="0.25">
      <c r="A163" s="25" t="s">
        <v>274</v>
      </c>
      <c r="B163" s="20" t="s">
        <v>1393</v>
      </c>
      <c r="C163" s="40" t="s">
        <v>264</v>
      </c>
      <c r="D163" s="40" t="s">
        <v>118</v>
      </c>
      <c r="E163" s="40" t="s">
        <v>275</v>
      </c>
      <c r="F163" s="40"/>
      <c r="G163" s="6">
        <f>'пр.6.1.ведом.22-23'!G558</f>
        <v>3230</v>
      </c>
      <c r="H163" s="6">
        <f>'пр.6.1.ведом.22-23'!H558</f>
        <v>3230</v>
      </c>
    </row>
    <row r="164" spans="1:8" s="200" customFormat="1" ht="31.5" x14ac:dyDescent="0.25">
      <c r="A164" s="29" t="s">
        <v>403</v>
      </c>
      <c r="B164" s="20" t="s">
        <v>1393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1234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1234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1234</v>
      </c>
      <c r="C167" s="40" t="s">
        <v>264</v>
      </c>
      <c r="D167" s="40" t="s">
        <v>118</v>
      </c>
      <c r="E167" s="40" t="s">
        <v>275</v>
      </c>
      <c r="F167" s="40"/>
      <c r="G167" s="6">
        <f>'пр.6.1.ведом.22-23'!G561</f>
        <v>589</v>
      </c>
      <c r="H167" s="6">
        <f>'пр.6.1.ведом.22-23'!H561</f>
        <v>589</v>
      </c>
    </row>
    <row r="168" spans="1:8" ht="31.5" x14ac:dyDescent="0.25">
      <c r="A168" s="29" t="s">
        <v>403</v>
      </c>
      <c r="B168" s="20" t="s">
        <v>1234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1235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1235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1235</v>
      </c>
      <c r="C171" s="40" t="s">
        <v>264</v>
      </c>
      <c r="D171" s="40" t="s">
        <v>118</v>
      </c>
      <c r="E171" s="40" t="s">
        <v>275</v>
      </c>
      <c r="F171" s="40"/>
      <c r="G171" s="6">
        <f>'пр.6.1.ведом.22-23'!G564</f>
        <v>1629.3</v>
      </c>
      <c r="H171" s="6">
        <f>'пр.6.1.ведом.22-23'!H564</f>
        <v>1629.3</v>
      </c>
    </row>
    <row r="172" spans="1:8" ht="31.5" x14ac:dyDescent="0.25">
      <c r="A172" s="29" t="s">
        <v>403</v>
      </c>
      <c r="B172" s="20" t="s">
        <v>1235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1184</v>
      </c>
      <c r="B173" s="20" t="s">
        <v>1236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1236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1236</v>
      </c>
      <c r="C175" s="40" t="s">
        <v>264</v>
      </c>
      <c r="D175" s="40" t="s">
        <v>118</v>
      </c>
      <c r="E175" s="40" t="s">
        <v>275</v>
      </c>
      <c r="F175" s="40"/>
      <c r="G175" s="6">
        <f>'пр.6.1.ведом.22-23'!G567</f>
        <v>70113.2</v>
      </c>
      <c r="H175" s="6">
        <f>'пр.6.1.ведом.22-23'!H567</f>
        <v>74475.8</v>
      </c>
    </row>
    <row r="176" spans="1:8" ht="31.5" x14ac:dyDescent="0.25">
      <c r="A176" s="29" t="s">
        <v>403</v>
      </c>
      <c r="B176" s="20" t="s">
        <v>1236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1233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0" customFormat="1" ht="78.75" x14ac:dyDescent="0.25">
      <c r="A178" s="25" t="s">
        <v>1395</v>
      </c>
      <c r="B178" s="20" t="s">
        <v>1396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200" customFormat="1" ht="47.25" x14ac:dyDescent="0.25">
      <c r="A179" s="25" t="s">
        <v>272</v>
      </c>
      <c r="B179" s="20" t="s">
        <v>1396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200" customFormat="1" ht="15.75" x14ac:dyDescent="0.25">
      <c r="A180" s="25" t="s">
        <v>274</v>
      </c>
      <c r="B180" s="20" t="s">
        <v>1396</v>
      </c>
      <c r="C180" s="40" t="s">
        <v>264</v>
      </c>
      <c r="D180" s="40" t="s">
        <v>213</v>
      </c>
      <c r="E180" s="40" t="s">
        <v>275</v>
      </c>
      <c r="F180" s="40"/>
      <c r="G180" s="10">
        <f>'пр.6.1.ведом.22-23'!G618</f>
        <v>7226.1</v>
      </c>
      <c r="H180" s="10">
        <f>'пр.6.1.ведом.22-23'!H618</f>
        <v>7226.1</v>
      </c>
    </row>
    <row r="181" spans="1:8" s="200" customFormat="1" ht="31.5" x14ac:dyDescent="0.25">
      <c r="A181" s="45" t="s">
        <v>403</v>
      </c>
      <c r="B181" s="20" t="s">
        <v>1396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200" customFormat="1" ht="110.25" x14ac:dyDescent="0.25">
      <c r="A182" s="31" t="s">
        <v>464</v>
      </c>
      <c r="B182" s="20" t="s">
        <v>1393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200" customFormat="1" ht="47.25" x14ac:dyDescent="0.25">
      <c r="A183" s="25" t="s">
        <v>272</v>
      </c>
      <c r="B183" s="20" t="s">
        <v>1393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200" customFormat="1" ht="15.75" x14ac:dyDescent="0.25">
      <c r="A184" s="25" t="s">
        <v>274</v>
      </c>
      <c r="B184" s="20" t="s">
        <v>1393</v>
      </c>
      <c r="C184" s="40" t="s">
        <v>264</v>
      </c>
      <c r="D184" s="40" t="s">
        <v>213</v>
      </c>
      <c r="E184" s="40" t="s">
        <v>275</v>
      </c>
      <c r="F184" s="40"/>
      <c r="G184" s="6">
        <f>'пр.6.1.ведом.22-23'!G621</f>
        <v>4610</v>
      </c>
      <c r="H184" s="6">
        <f>'пр.6.1.ведом.22-23'!H621</f>
        <v>4610</v>
      </c>
    </row>
    <row r="185" spans="1:8" s="200" customFormat="1" ht="31.5" x14ac:dyDescent="0.25">
      <c r="A185" s="29" t="s">
        <v>403</v>
      </c>
      <c r="B185" s="20" t="s">
        <v>1393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1185</v>
      </c>
      <c r="B186" s="20" t="s">
        <v>1251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1251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1251</v>
      </c>
      <c r="C188" s="40" t="s">
        <v>264</v>
      </c>
      <c r="D188" s="40" t="s">
        <v>213</v>
      </c>
      <c r="E188" s="40" t="s">
        <v>275</v>
      </c>
      <c r="F188" s="40"/>
      <c r="G188" s="6">
        <f>'пр.6.1.ведом.22-23'!G624</f>
        <v>115047.8</v>
      </c>
      <c r="H188" s="6">
        <f>'пр.6.1.ведом.22-23'!H624</f>
        <v>134211.70000000001</v>
      </c>
    </row>
    <row r="189" spans="1:8" ht="31.5" x14ac:dyDescent="0.25">
      <c r="A189" s="29" t="s">
        <v>403</v>
      </c>
      <c r="B189" s="20" t="s">
        <v>1251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1234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1234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1234</v>
      </c>
      <c r="C192" s="40" t="s">
        <v>264</v>
      </c>
      <c r="D192" s="40" t="s">
        <v>213</v>
      </c>
      <c r="E192" s="40" t="s">
        <v>275</v>
      </c>
      <c r="F192" s="40"/>
      <c r="G192" s="6">
        <f>'пр.6.1.ведом.22-23'!G627</f>
        <v>1311</v>
      </c>
      <c r="H192" s="6">
        <f>'пр.6.1.ведом.22-23'!H627</f>
        <v>1311</v>
      </c>
    </row>
    <row r="193" spans="1:8" ht="31.5" x14ac:dyDescent="0.25">
      <c r="A193" s="29" t="s">
        <v>403</v>
      </c>
      <c r="B193" s="20" t="s">
        <v>1234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1235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1235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1235</v>
      </c>
      <c r="C196" s="40" t="s">
        <v>264</v>
      </c>
      <c r="D196" s="40" t="s">
        <v>213</v>
      </c>
      <c r="E196" s="40" t="s">
        <v>275</v>
      </c>
      <c r="F196" s="40"/>
      <c r="G196" s="6">
        <f>'пр.6.1.ведом.22-23'!G630</f>
        <v>2266.6999999999998</v>
      </c>
      <c r="H196" s="6">
        <f>'пр.6.1.ведом.22-23'!H630</f>
        <v>2266.6999999999998</v>
      </c>
    </row>
    <row r="197" spans="1:8" ht="31.5" x14ac:dyDescent="0.25">
      <c r="A197" s="29" t="s">
        <v>403</v>
      </c>
      <c r="B197" s="20" t="s">
        <v>1235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1252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1252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1252</v>
      </c>
      <c r="C200" s="40" t="s">
        <v>264</v>
      </c>
      <c r="D200" s="40" t="s">
        <v>213</v>
      </c>
      <c r="E200" s="40" t="s">
        <v>275</v>
      </c>
      <c r="F200" s="40"/>
      <c r="G200" s="6">
        <f>'пр.6.1.ведом.22-23'!G633</f>
        <v>909.3</v>
      </c>
      <c r="H200" s="6">
        <f>'пр.6.1.ведом.22-23'!H633</f>
        <v>909.3</v>
      </c>
    </row>
    <row r="201" spans="1:8" ht="31.5" x14ac:dyDescent="0.25">
      <c r="A201" s="29" t="s">
        <v>403</v>
      </c>
      <c r="B201" s="20" t="s">
        <v>1252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1233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0" customFormat="1" ht="110.25" x14ac:dyDescent="0.25">
      <c r="A203" s="31" t="s">
        <v>293</v>
      </c>
      <c r="B203" s="20" t="s">
        <v>1393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200" customFormat="1" ht="47.25" x14ac:dyDescent="0.25">
      <c r="A204" s="25" t="s">
        <v>272</v>
      </c>
      <c r="B204" s="20" t="s">
        <v>1393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200" customFormat="1" ht="15.75" x14ac:dyDescent="0.25">
      <c r="A205" s="25" t="s">
        <v>274</v>
      </c>
      <c r="B205" s="20" t="s">
        <v>1393</v>
      </c>
      <c r="C205" s="40" t="s">
        <v>264</v>
      </c>
      <c r="D205" s="40" t="s">
        <v>215</v>
      </c>
      <c r="E205" s="40" t="s">
        <v>275</v>
      </c>
      <c r="F205" s="40"/>
      <c r="G205" s="6">
        <f>'пр.6.1.ведом.22-23'!G700</f>
        <v>1400</v>
      </c>
      <c r="H205" s="6">
        <f>'пр.6.1.ведом.22-23'!H700</f>
        <v>1400</v>
      </c>
    </row>
    <row r="206" spans="1:8" s="200" customFormat="1" ht="31.5" x14ac:dyDescent="0.25">
      <c r="A206" s="29" t="s">
        <v>403</v>
      </c>
      <c r="B206" s="20" t="s">
        <v>1393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1234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1234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1234</v>
      </c>
      <c r="C209" s="40" t="s">
        <v>264</v>
      </c>
      <c r="D209" s="40" t="s">
        <v>215</v>
      </c>
      <c r="E209" s="40" t="s">
        <v>275</v>
      </c>
      <c r="F209" s="40"/>
      <c r="G209" s="6">
        <f>'пр.6.1.ведом.22-23'!G703</f>
        <v>179</v>
      </c>
      <c r="H209" s="6">
        <f>'пр.6.1.ведом.22-23'!H703</f>
        <v>179</v>
      </c>
    </row>
    <row r="210" spans="1:8" ht="31.5" x14ac:dyDescent="0.25">
      <c r="A210" s="29" t="s">
        <v>403</v>
      </c>
      <c r="B210" s="20" t="s">
        <v>1234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1235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1235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1235</v>
      </c>
      <c r="C213" s="40" t="s">
        <v>264</v>
      </c>
      <c r="D213" s="40" t="s">
        <v>215</v>
      </c>
      <c r="E213" s="40" t="s">
        <v>275</v>
      </c>
      <c r="F213" s="40"/>
      <c r="G213" s="6">
        <f>'пр.6.1.ведом.22-23'!G706</f>
        <v>549.5</v>
      </c>
      <c r="H213" s="6">
        <f>'пр.6.1.ведом.22-23'!H706</f>
        <v>549.5</v>
      </c>
    </row>
    <row r="214" spans="1:8" ht="31.5" x14ac:dyDescent="0.25">
      <c r="A214" s="29" t="s">
        <v>403</v>
      </c>
      <c r="B214" s="20" t="s">
        <v>1235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1293</v>
      </c>
      <c r="B215" s="24" t="s">
        <v>1238</v>
      </c>
      <c r="C215" s="7"/>
      <c r="D215" s="7"/>
      <c r="E215" s="7"/>
      <c r="F215" s="7"/>
      <c r="G215" s="59">
        <f>G216+G230</f>
        <v>5686</v>
      </c>
      <c r="H215" s="59">
        <f>H216+H230</f>
        <v>5686</v>
      </c>
    </row>
    <row r="216" spans="1:8" ht="15.75" x14ac:dyDescent="0.25">
      <c r="A216" s="29" t="s">
        <v>263</v>
      </c>
      <c r="B216" s="20" t="s">
        <v>1238</v>
      </c>
      <c r="C216" s="40" t="s">
        <v>264</v>
      </c>
      <c r="D216" s="40"/>
      <c r="E216" s="40"/>
      <c r="F216" s="40"/>
      <c r="G216" s="10">
        <f t="shared" ref="G216:H216" si="22">G217</f>
        <v>4987</v>
      </c>
      <c r="H216" s="10">
        <f t="shared" si="22"/>
        <v>4987</v>
      </c>
    </row>
    <row r="217" spans="1:8" ht="15.75" x14ac:dyDescent="0.25">
      <c r="A217" s="45" t="s">
        <v>404</v>
      </c>
      <c r="B217" s="20" t="s">
        <v>1238</v>
      </c>
      <c r="C217" s="40" t="s">
        <v>264</v>
      </c>
      <c r="D217" s="40" t="s">
        <v>118</v>
      </c>
      <c r="E217" s="40"/>
      <c r="F217" s="40"/>
      <c r="G217" s="10">
        <f>G218+G222+G226</f>
        <v>4987</v>
      </c>
      <c r="H217" s="10">
        <f>H218+H222+H226</f>
        <v>4987</v>
      </c>
    </row>
    <row r="218" spans="1:8" ht="47.25" hidden="1" x14ac:dyDescent="0.25">
      <c r="A218" s="29" t="s">
        <v>278</v>
      </c>
      <c r="B218" s="20" t="s">
        <v>1319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200</v>
      </c>
      <c r="H218" s="10">
        <f t="shared" si="23"/>
        <v>200</v>
      </c>
    </row>
    <row r="219" spans="1:8" ht="47.25" hidden="1" x14ac:dyDescent="0.25">
      <c r="A219" s="29" t="s">
        <v>272</v>
      </c>
      <c r="B219" s="20" t="s">
        <v>1319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200</v>
      </c>
      <c r="H219" s="10">
        <f t="shared" si="23"/>
        <v>200</v>
      </c>
    </row>
    <row r="220" spans="1:8" ht="15.75" hidden="1" x14ac:dyDescent="0.25">
      <c r="A220" s="29" t="s">
        <v>274</v>
      </c>
      <c r="B220" s="20" t="s">
        <v>1319</v>
      </c>
      <c r="C220" s="40" t="s">
        <v>264</v>
      </c>
      <c r="D220" s="40" t="s">
        <v>118</v>
      </c>
      <c r="E220" s="40" t="s">
        <v>275</v>
      </c>
      <c r="F220" s="40"/>
      <c r="G220" s="10">
        <f>'пр.6.1.ведом.22-23'!G571</f>
        <v>200</v>
      </c>
      <c r="H220" s="10">
        <f>'пр.6.1.ведом.22-23'!H571</f>
        <v>200</v>
      </c>
    </row>
    <row r="221" spans="1:8" ht="31.5" hidden="1" x14ac:dyDescent="0.25">
      <c r="A221" s="29" t="s">
        <v>403</v>
      </c>
      <c r="B221" s="20" t="s">
        <v>1319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200</v>
      </c>
      <c r="H221" s="10">
        <f>H220</f>
        <v>200</v>
      </c>
    </row>
    <row r="222" spans="1:8" ht="31.5" hidden="1" x14ac:dyDescent="0.25">
      <c r="A222" s="29" t="s">
        <v>280</v>
      </c>
      <c r="B222" s="20" t="s">
        <v>1320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357</v>
      </c>
      <c r="H222" s="10">
        <f t="shared" si="24"/>
        <v>357</v>
      </c>
    </row>
    <row r="223" spans="1:8" ht="47.25" hidden="1" x14ac:dyDescent="0.25">
      <c r="A223" s="29" t="s">
        <v>272</v>
      </c>
      <c r="B223" s="20" t="s">
        <v>1320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357</v>
      </c>
      <c r="H223" s="10">
        <f t="shared" si="24"/>
        <v>357</v>
      </c>
    </row>
    <row r="224" spans="1:8" ht="15.75" hidden="1" x14ac:dyDescent="0.25">
      <c r="A224" s="29" t="s">
        <v>274</v>
      </c>
      <c r="B224" s="20" t="s">
        <v>1320</v>
      </c>
      <c r="C224" s="40" t="s">
        <v>264</v>
      </c>
      <c r="D224" s="40" t="s">
        <v>118</v>
      </c>
      <c r="E224" s="40" t="s">
        <v>275</v>
      </c>
      <c r="F224" s="40"/>
      <c r="G224" s="10">
        <f>'пр.6.1.ведом.22-23'!G574</f>
        <v>357</v>
      </c>
      <c r="H224" s="10">
        <f>'пр.6.1.ведом.22-23'!H574</f>
        <v>357</v>
      </c>
    </row>
    <row r="225" spans="1:8" ht="31.5" hidden="1" x14ac:dyDescent="0.25">
      <c r="A225" s="29" t="s">
        <v>403</v>
      </c>
      <c r="B225" s="20" t="s">
        <v>1320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357</v>
      </c>
      <c r="H225" s="10">
        <f>H224</f>
        <v>357</v>
      </c>
    </row>
    <row r="226" spans="1:8" ht="47.25" x14ac:dyDescent="0.25">
      <c r="A226" s="29" t="s">
        <v>415</v>
      </c>
      <c r="B226" s="20" t="s">
        <v>1239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1239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1239</v>
      </c>
      <c r="C228" s="40" t="s">
        <v>264</v>
      </c>
      <c r="D228" s="40" t="s">
        <v>118</v>
      </c>
      <c r="E228" s="40" t="s">
        <v>275</v>
      </c>
      <c r="F228" s="40"/>
      <c r="G228" s="6">
        <f>'пр.6.1.ведом.22-23'!G577</f>
        <v>4430</v>
      </c>
      <c r="H228" s="6">
        <f>'пр.6.1.ведом.22-23'!H577</f>
        <v>4430</v>
      </c>
    </row>
    <row r="229" spans="1:8" ht="31.5" x14ac:dyDescent="0.25">
      <c r="A229" s="29" t="s">
        <v>403</v>
      </c>
      <c r="B229" s="20" t="s">
        <v>1239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200" customFormat="1" ht="15.75" x14ac:dyDescent="0.25">
      <c r="A230" s="29" t="s">
        <v>263</v>
      </c>
      <c r="B230" s="40" t="s">
        <v>1238</v>
      </c>
      <c r="C230" s="40" t="s">
        <v>264</v>
      </c>
      <c r="D230" s="40"/>
      <c r="E230" s="40"/>
      <c r="F230" s="40"/>
      <c r="G230" s="10">
        <f t="shared" ref="G230:H230" si="26">G231</f>
        <v>699</v>
      </c>
      <c r="H230" s="10">
        <f t="shared" si="26"/>
        <v>699</v>
      </c>
    </row>
    <row r="231" spans="1:8" s="200" customFormat="1" ht="15.75" x14ac:dyDescent="0.25">
      <c r="A231" s="29" t="s">
        <v>425</v>
      </c>
      <c r="B231" s="40" t="s">
        <v>1238</v>
      </c>
      <c r="C231" s="40" t="s">
        <v>264</v>
      </c>
      <c r="D231" s="40" t="s">
        <v>213</v>
      </c>
      <c r="E231" s="40"/>
      <c r="F231" s="40"/>
      <c r="G231" s="10">
        <f>G232+G236+G240+G244</f>
        <v>699</v>
      </c>
      <c r="H231" s="10">
        <f>H232+H236+H240+H244</f>
        <v>699</v>
      </c>
    </row>
    <row r="232" spans="1:8" s="200" customFormat="1" ht="47.25" hidden="1" x14ac:dyDescent="0.25">
      <c r="A232" s="25" t="s">
        <v>789</v>
      </c>
      <c r="B232" s="20" t="s">
        <v>1318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200" customFormat="1" ht="47.25" hidden="1" x14ac:dyDescent="0.25">
      <c r="A233" s="25" t="s">
        <v>272</v>
      </c>
      <c r="B233" s="20" t="s">
        <v>1318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200" customFormat="1" ht="15.75" hidden="1" x14ac:dyDescent="0.25">
      <c r="A234" s="25" t="s">
        <v>274</v>
      </c>
      <c r="B234" s="20" t="s">
        <v>1318</v>
      </c>
      <c r="C234" s="40" t="s">
        <v>264</v>
      </c>
      <c r="D234" s="40" t="s">
        <v>213</v>
      </c>
      <c r="E234" s="40" t="s">
        <v>275</v>
      </c>
      <c r="F234" s="40"/>
      <c r="G234" s="6">
        <f>'пр.6.1.ведом.22-23'!G637</f>
        <v>0</v>
      </c>
      <c r="H234" s="6">
        <f>'пр.6.1.ведом.22-23'!H637</f>
        <v>0</v>
      </c>
    </row>
    <row r="235" spans="1:8" s="200" customFormat="1" ht="31.5" hidden="1" x14ac:dyDescent="0.25">
      <c r="A235" s="29" t="s">
        <v>403</v>
      </c>
      <c r="B235" s="20" t="s">
        <v>1318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200" customFormat="1" ht="47.25" hidden="1" x14ac:dyDescent="0.25">
      <c r="A236" s="25" t="s">
        <v>278</v>
      </c>
      <c r="B236" s="20" t="s">
        <v>1319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355</v>
      </c>
      <c r="H236" s="6">
        <f t="shared" si="27"/>
        <v>355</v>
      </c>
    </row>
    <row r="237" spans="1:8" s="200" customFormat="1" ht="47.25" hidden="1" x14ac:dyDescent="0.25">
      <c r="A237" s="25" t="s">
        <v>272</v>
      </c>
      <c r="B237" s="20" t="s">
        <v>1319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355</v>
      </c>
      <c r="H237" s="6">
        <f t="shared" si="27"/>
        <v>355</v>
      </c>
    </row>
    <row r="238" spans="1:8" s="200" customFormat="1" ht="15.75" hidden="1" x14ac:dyDescent="0.25">
      <c r="A238" s="25" t="s">
        <v>274</v>
      </c>
      <c r="B238" s="20" t="s">
        <v>1319</v>
      </c>
      <c r="C238" s="40" t="s">
        <v>264</v>
      </c>
      <c r="D238" s="40" t="s">
        <v>213</v>
      </c>
      <c r="E238" s="40" t="s">
        <v>275</v>
      </c>
      <c r="F238" s="40"/>
      <c r="G238" s="6">
        <f>'пр.6.1.ведом.22-23'!G640</f>
        <v>355</v>
      </c>
      <c r="H238" s="6">
        <f>'пр.6.1.ведом.22-23'!H640</f>
        <v>355</v>
      </c>
    </row>
    <row r="239" spans="1:8" s="200" customFormat="1" ht="31.5" hidden="1" x14ac:dyDescent="0.25">
      <c r="A239" s="29" t="s">
        <v>403</v>
      </c>
      <c r="B239" s="20" t="s">
        <v>1319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355</v>
      </c>
      <c r="H239" s="10">
        <f>H238</f>
        <v>355</v>
      </c>
    </row>
    <row r="240" spans="1:8" s="200" customFormat="1" ht="31.5" hidden="1" x14ac:dyDescent="0.25">
      <c r="A240" s="25" t="s">
        <v>280</v>
      </c>
      <c r="B240" s="20" t="s">
        <v>1320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120</v>
      </c>
      <c r="H240" s="6">
        <f t="shared" si="28"/>
        <v>120</v>
      </c>
    </row>
    <row r="241" spans="1:8" s="200" customFormat="1" ht="47.25" hidden="1" x14ac:dyDescent="0.25">
      <c r="A241" s="25" t="s">
        <v>272</v>
      </c>
      <c r="B241" s="20" t="s">
        <v>1320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120</v>
      </c>
      <c r="H241" s="6">
        <f t="shared" si="28"/>
        <v>120</v>
      </c>
    </row>
    <row r="242" spans="1:8" s="200" customFormat="1" ht="15.75" hidden="1" x14ac:dyDescent="0.25">
      <c r="A242" s="25" t="s">
        <v>274</v>
      </c>
      <c r="B242" s="20" t="s">
        <v>1320</v>
      </c>
      <c r="C242" s="40" t="s">
        <v>264</v>
      </c>
      <c r="D242" s="40" t="s">
        <v>213</v>
      </c>
      <c r="E242" s="40" t="s">
        <v>275</v>
      </c>
      <c r="F242" s="40"/>
      <c r="G242" s="6">
        <f>'пр.6.1.ведом.22-23'!G643</f>
        <v>120</v>
      </c>
      <c r="H242" s="6">
        <f>'пр.6.1.ведом.22-23'!H643</f>
        <v>120</v>
      </c>
    </row>
    <row r="243" spans="1:8" s="200" customFormat="1" ht="31.5" hidden="1" x14ac:dyDescent="0.25">
      <c r="A243" s="29" t="s">
        <v>403</v>
      </c>
      <c r="B243" s="20" t="s">
        <v>1320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120</v>
      </c>
      <c r="H243" s="10">
        <f>H242</f>
        <v>120</v>
      </c>
    </row>
    <row r="244" spans="1:8" s="200" customFormat="1" ht="47.25" x14ac:dyDescent="0.25">
      <c r="A244" s="29" t="s">
        <v>282</v>
      </c>
      <c r="B244" s="20" t="s">
        <v>1254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0" customFormat="1" ht="47.25" x14ac:dyDescent="0.25">
      <c r="A245" s="29" t="s">
        <v>272</v>
      </c>
      <c r="B245" s="20" t="s">
        <v>1254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200" customFormat="1" ht="15.75" x14ac:dyDescent="0.25">
      <c r="A246" s="29" t="s">
        <v>274</v>
      </c>
      <c r="B246" s="20" t="s">
        <v>1254</v>
      </c>
      <c r="C246" s="40" t="s">
        <v>264</v>
      </c>
      <c r="D246" s="40" t="s">
        <v>213</v>
      </c>
      <c r="E246" s="40" t="s">
        <v>275</v>
      </c>
      <c r="F246" s="40"/>
      <c r="G246" s="10">
        <f>'пр.6.1.ведом.22-23'!G646</f>
        <v>224</v>
      </c>
      <c r="H246" s="10">
        <f>'пр.6.1.ведом.22-23'!H646</f>
        <v>224</v>
      </c>
    </row>
    <row r="247" spans="1:8" s="200" customFormat="1" ht="31.5" x14ac:dyDescent="0.25">
      <c r="A247" s="29" t="s">
        <v>403</v>
      </c>
      <c r="B247" s="20" t="s">
        <v>1254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200" customFormat="1" ht="31.5" x14ac:dyDescent="0.25">
      <c r="A248" s="23" t="s">
        <v>943</v>
      </c>
      <c r="B248" s="24" t="s">
        <v>1240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0" customFormat="1" ht="15.75" x14ac:dyDescent="0.25">
      <c r="A249" s="29" t="s">
        <v>263</v>
      </c>
      <c r="B249" s="20" t="s">
        <v>1240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0" customFormat="1" ht="22.7" customHeight="1" x14ac:dyDescent="0.25">
      <c r="A250" s="29" t="s">
        <v>466</v>
      </c>
      <c r="B250" s="20" t="s">
        <v>1240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200" customFormat="1" ht="47.25" x14ac:dyDescent="0.25">
      <c r="A251" s="31" t="s">
        <v>1060</v>
      </c>
      <c r="B251" s="20" t="s">
        <v>1262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0" customFormat="1" ht="47.25" x14ac:dyDescent="0.25">
      <c r="A252" s="25" t="s">
        <v>272</v>
      </c>
      <c r="B252" s="20" t="s">
        <v>1262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200" customFormat="1" ht="15.75" x14ac:dyDescent="0.25">
      <c r="A253" s="25" t="s">
        <v>274</v>
      </c>
      <c r="B253" s="20" t="s">
        <v>1262</v>
      </c>
      <c r="C253" s="40" t="s">
        <v>264</v>
      </c>
      <c r="D253" s="40" t="s">
        <v>264</v>
      </c>
      <c r="E253" s="40" t="s">
        <v>275</v>
      </c>
      <c r="F253" s="40"/>
      <c r="G253" s="10">
        <f>'пр.6.1.ведом.22-23'!G725</f>
        <v>5745.1</v>
      </c>
      <c r="H253" s="10">
        <f>'пр.6.1.ведом.22-23'!H725</f>
        <v>5745.1</v>
      </c>
    </row>
    <row r="254" spans="1:8" s="200" customFormat="1" ht="31.5" x14ac:dyDescent="0.25">
      <c r="A254" s="29" t="s">
        <v>403</v>
      </c>
      <c r="B254" s="20" t="s">
        <v>1262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4" t="s">
        <v>948</v>
      </c>
      <c r="B255" s="24" t="s">
        <v>1241</v>
      </c>
      <c r="C255" s="7"/>
      <c r="D255" s="7"/>
      <c r="E255" s="7"/>
      <c r="F255" s="7"/>
      <c r="G255" s="4">
        <f>G256</f>
        <v>9344</v>
      </c>
      <c r="H255" s="4">
        <f>H256</f>
        <v>9344</v>
      </c>
    </row>
    <row r="256" spans="1:8" ht="15.75" x14ac:dyDescent="0.25">
      <c r="A256" s="29" t="s">
        <v>263</v>
      </c>
      <c r="B256" s="20" t="s">
        <v>1241</v>
      </c>
      <c r="C256" s="40" t="s">
        <v>264</v>
      </c>
      <c r="D256" s="40"/>
      <c r="E256" s="40"/>
      <c r="F256" s="40"/>
      <c r="G256" s="10">
        <f>G257+G270+G279</f>
        <v>9344</v>
      </c>
      <c r="H256" s="10">
        <f>H257+H270+H279</f>
        <v>9344</v>
      </c>
    </row>
    <row r="257" spans="1:8" ht="15.75" x14ac:dyDescent="0.25">
      <c r="A257" s="45" t="s">
        <v>404</v>
      </c>
      <c r="B257" s="20" t="s">
        <v>1241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1259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1259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1259</v>
      </c>
      <c r="C260" s="40" t="s">
        <v>264</v>
      </c>
      <c r="D260" s="40" t="s">
        <v>118</v>
      </c>
      <c r="E260" s="40" t="s">
        <v>275</v>
      </c>
      <c r="F260" s="40"/>
      <c r="G260" s="10">
        <f>'пр.6.1.ведом.22-23'!G581</f>
        <v>0</v>
      </c>
      <c r="H260" s="10">
        <f>'пр.6.1.ведом.22-23'!H581</f>
        <v>0</v>
      </c>
    </row>
    <row r="261" spans="1:8" ht="31.5" hidden="1" x14ac:dyDescent="0.25">
      <c r="A261" s="29" t="s">
        <v>403</v>
      </c>
      <c r="B261" s="20" t="s">
        <v>1259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1242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1242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2" t="s">
        <v>274</v>
      </c>
      <c r="B264" s="20" t="s">
        <v>1242</v>
      </c>
      <c r="C264" s="20" t="s">
        <v>264</v>
      </c>
      <c r="D264" s="20" t="s">
        <v>118</v>
      </c>
      <c r="E264" s="20" t="s">
        <v>275</v>
      </c>
      <c r="F264" s="20"/>
      <c r="G264" s="10">
        <f>'пр.6.1.ведом.22-23'!G584</f>
        <v>3088</v>
      </c>
      <c r="H264" s="10">
        <f>'пр.6.1.ведом.22-23'!H584</f>
        <v>3088</v>
      </c>
    </row>
    <row r="265" spans="1:8" ht="31.5" x14ac:dyDescent="0.25">
      <c r="A265" s="29" t="s">
        <v>403</v>
      </c>
      <c r="B265" s="20" t="s">
        <v>1242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1243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1243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2" t="s">
        <v>274</v>
      </c>
      <c r="B268" s="20" t="s">
        <v>1243</v>
      </c>
      <c r="C268" s="20" t="s">
        <v>264</v>
      </c>
      <c r="D268" s="20" t="s">
        <v>118</v>
      </c>
      <c r="E268" s="20" t="s">
        <v>275</v>
      </c>
      <c r="F268" s="20"/>
      <c r="G268" s="10">
        <f>'пр.6.1.ведом.22-23'!G587</f>
        <v>1760</v>
      </c>
      <c r="H268" s="10">
        <f>'пр.6.1.ведом.22-23'!H587</f>
        <v>1760</v>
      </c>
    </row>
    <row r="269" spans="1:8" ht="31.5" x14ac:dyDescent="0.25">
      <c r="A269" s="29" t="s">
        <v>403</v>
      </c>
      <c r="B269" s="20" t="s">
        <v>1243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'пр.6.1.ведом.22-23'!H587</f>
        <v>1760</v>
      </c>
    </row>
    <row r="270" spans="1:8" s="200" customFormat="1" ht="15.75" x14ac:dyDescent="0.25">
      <c r="A270" s="29" t="s">
        <v>425</v>
      </c>
      <c r="B270" s="40" t="s">
        <v>1241</v>
      </c>
      <c r="C270" s="40" t="s">
        <v>264</v>
      </c>
      <c r="D270" s="40" t="s">
        <v>213</v>
      </c>
      <c r="E270" s="40"/>
      <c r="F270" s="40"/>
      <c r="G270" s="10">
        <f>G271+G275</f>
        <v>2932</v>
      </c>
      <c r="H270" s="10">
        <f>H271+H275</f>
        <v>2932</v>
      </c>
    </row>
    <row r="271" spans="1:8" s="200" customFormat="1" ht="31.5" hidden="1" x14ac:dyDescent="0.25">
      <c r="A271" s="29" t="s">
        <v>284</v>
      </c>
      <c r="B271" s="20" t="s">
        <v>1259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44</v>
      </c>
      <c r="H271" s="10">
        <f t="shared" si="34"/>
        <v>44</v>
      </c>
    </row>
    <row r="272" spans="1:8" s="200" customFormat="1" ht="47.25" hidden="1" x14ac:dyDescent="0.25">
      <c r="A272" s="29" t="s">
        <v>272</v>
      </c>
      <c r="B272" s="20" t="s">
        <v>1259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44</v>
      </c>
      <c r="H272" s="10">
        <f t="shared" si="34"/>
        <v>44</v>
      </c>
    </row>
    <row r="273" spans="1:8" s="200" customFormat="1" ht="15.75" hidden="1" x14ac:dyDescent="0.25">
      <c r="A273" s="29" t="s">
        <v>274</v>
      </c>
      <c r="B273" s="20" t="s">
        <v>1259</v>
      </c>
      <c r="C273" s="40" t="s">
        <v>264</v>
      </c>
      <c r="D273" s="40" t="s">
        <v>213</v>
      </c>
      <c r="E273" s="40" t="s">
        <v>275</v>
      </c>
      <c r="F273" s="40"/>
      <c r="G273" s="10">
        <f>'пр.6.1.ведом.22-23'!G650</f>
        <v>44</v>
      </c>
      <c r="H273" s="10">
        <f>'пр.6.1.ведом.22-23'!H650</f>
        <v>44</v>
      </c>
    </row>
    <row r="274" spans="1:8" s="200" customFormat="1" ht="31.5" hidden="1" x14ac:dyDescent="0.25">
      <c r="A274" s="29" t="s">
        <v>403</v>
      </c>
      <c r="B274" s="20" t="s">
        <v>1259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44</v>
      </c>
      <c r="H274" s="10">
        <f>H273</f>
        <v>44</v>
      </c>
    </row>
    <row r="275" spans="1:8" s="200" customFormat="1" ht="47.25" x14ac:dyDescent="0.25">
      <c r="A275" s="60" t="s">
        <v>764</v>
      </c>
      <c r="B275" s="20" t="s">
        <v>1242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0" customFormat="1" ht="47.25" x14ac:dyDescent="0.25">
      <c r="A276" s="29" t="s">
        <v>272</v>
      </c>
      <c r="B276" s="20" t="s">
        <v>1242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200" customFormat="1" ht="15.75" x14ac:dyDescent="0.25">
      <c r="A277" s="182" t="s">
        <v>274</v>
      </c>
      <c r="B277" s="20" t="s">
        <v>1242</v>
      </c>
      <c r="C277" s="40" t="s">
        <v>264</v>
      </c>
      <c r="D277" s="40" t="s">
        <v>213</v>
      </c>
      <c r="E277" s="40" t="s">
        <v>275</v>
      </c>
      <c r="F277" s="40"/>
      <c r="G277" s="10">
        <f>'пр.6.1.ведом.22-23'!G653</f>
        <v>2888</v>
      </c>
      <c r="H277" s="10">
        <f>'пр.6.1.ведом.22-23'!H653</f>
        <v>2888</v>
      </c>
    </row>
    <row r="278" spans="1:8" s="200" customFormat="1" ht="31.5" x14ac:dyDescent="0.25">
      <c r="A278" s="29" t="s">
        <v>403</v>
      </c>
      <c r="B278" s="20" t="s">
        <v>1242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200" customFormat="1" ht="15.75" x14ac:dyDescent="0.25">
      <c r="A279" s="29" t="s">
        <v>265</v>
      </c>
      <c r="B279" s="40" t="s">
        <v>1241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200" customFormat="1" ht="47.25" x14ac:dyDescent="0.25">
      <c r="A280" s="45" t="s">
        <v>764</v>
      </c>
      <c r="B280" s="20" t="s">
        <v>1242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0" customFormat="1" ht="47.25" x14ac:dyDescent="0.25">
      <c r="A281" s="29" t="s">
        <v>272</v>
      </c>
      <c r="B281" s="20" t="s">
        <v>1242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200" customFormat="1" ht="15.75" x14ac:dyDescent="0.25">
      <c r="A282" s="31" t="s">
        <v>274</v>
      </c>
      <c r="B282" s="20" t="s">
        <v>1242</v>
      </c>
      <c r="C282" s="20" t="s">
        <v>264</v>
      </c>
      <c r="D282" s="20" t="s">
        <v>215</v>
      </c>
      <c r="E282" s="20" t="s">
        <v>275</v>
      </c>
      <c r="F282" s="20"/>
      <c r="G282" s="10">
        <f>'пр.6.1.ведом.22-23'!G714</f>
        <v>1564</v>
      </c>
      <c r="H282" s="10">
        <f>'пр.6.1.ведом.22-23'!H714</f>
        <v>1564</v>
      </c>
    </row>
    <row r="283" spans="1:8" s="200" customFormat="1" ht="31.5" x14ac:dyDescent="0.25">
      <c r="A283" s="29" t="s">
        <v>403</v>
      </c>
      <c r="B283" s="20" t="s">
        <v>1242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933</v>
      </c>
      <c r="B284" s="24" t="s">
        <v>1244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1244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1244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1515</v>
      </c>
      <c r="B287" s="20" t="s">
        <v>1245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1245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1245</v>
      </c>
      <c r="C289" s="20" t="s">
        <v>264</v>
      </c>
      <c r="D289" s="20" t="s">
        <v>118</v>
      </c>
      <c r="E289" s="20" t="s">
        <v>275</v>
      </c>
      <c r="F289" s="20"/>
      <c r="G289" s="10">
        <f>'пр.6.1.ведом.22-23'!G591</f>
        <v>297.70000000000005</v>
      </c>
      <c r="H289" s="10">
        <f>'пр.6.1.ведом.22-23'!H591</f>
        <v>297.70000000000005</v>
      </c>
    </row>
    <row r="290" spans="1:8" ht="31.5" x14ac:dyDescent="0.25">
      <c r="A290" s="29" t="s">
        <v>403</v>
      </c>
      <c r="B290" s="20" t="s">
        <v>1245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200" customFormat="1" ht="47.25" x14ac:dyDescent="0.25">
      <c r="A291" s="23" t="s">
        <v>938</v>
      </c>
      <c r="B291" s="24" t="s">
        <v>1255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0" customFormat="1" ht="15.75" x14ac:dyDescent="0.25">
      <c r="A292" s="29" t="s">
        <v>263</v>
      </c>
      <c r="B292" s="20" t="s">
        <v>1255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0" customFormat="1" ht="15.75" x14ac:dyDescent="0.25">
      <c r="A293" s="29" t="s">
        <v>425</v>
      </c>
      <c r="B293" s="20" t="s">
        <v>1255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200" customFormat="1" ht="47.25" x14ac:dyDescent="0.25">
      <c r="A294" s="29" t="s">
        <v>602</v>
      </c>
      <c r="B294" s="20" t="s">
        <v>1256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0" customFormat="1" ht="47.25" x14ac:dyDescent="0.25">
      <c r="A295" s="29" t="s">
        <v>272</v>
      </c>
      <c r="B295" s="20" t="s">
        <v>1256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200" customFormat="1" ht="15.75" x14ac:dyDescent="0.25">
      <c r="A296" s="29" t="s">
        <v>274</v>
      </c>
      <c r="B296" s="20" t="s">
        <v>1256</v>
      </c>
      <c r="C296" s="40" t="s">
        <v>264</v>
      </c>
      <c r="D296" s="40" t="s">
        <v>213</v>
      </c>
      <c r="E296" s="40" t="s">
        <v>275</v>
      </c>
      <c r="F296" s="40"/>
      <c r="G296" s="6">
        <f>'пр.6.1.ведом.22-23'!G657</f>
        <v>3931.8</v>
      </c>
      <c r="H296" s="6">
        <f>'пр.6.1.ведом.22-23'!H657</f>
        <v>3865.2</v>
      </c>
    </row>
    <row r="297" spans="1:8" s="200" customFormat="1" ht="31.5" x14ac:dyDescent="0.25">
      <c r="A297" s="29" t="s">
        <v>403</v>
      </c>
      <c r="B297" s="20" t="s">
        <v>1256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200" customFormat="1" ht="31.5" x14ac:dyDescent="0.25">
      <c r="A298" s="23" t="s">
        <v>939</v>
      </c>
      <c r="B298" s="24" t="s">
        <v>1257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0" customFormat="1" ht="15.75" x14ac:dyDescent="0.25">
      <c r="A299" s="29" t="s">
        <v>263</v>
      </c>
      <c r="B299" s="20" t="s">
        <v>1257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0" customFormat="1" ht="15.75" x14ac:dyDescent="0.25">
      <c r="A300" s="29" t="s">
        <v>425</v>
      </c>
      <c r="B300" s="20" t="s">
        <v>1257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0" customFormat="1" ht="63" x14ac:dyDescent="0.25">
      <c r="A301" s="25" t="s">
        <v>438</v>
      </c>
      <c r="B301" s="20" t="s">
        <v>1258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0" customFormat="1" ht="47.25" x14ac:dyDescent="0.25">
      <c r="A302" s="25" t="s">
        <v>272</v>
      </c>
      <c r="B302" s="20" t="s">
        <v>1258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200" customFormat="1" ht="15.75" x14ac:dyDescent="0.25">
      <c r="A303" s="25" t="s">
        <v>274</v>
      </c>
      <c r="B303" s="20" t="s">
        <v>1258</v>
      </c>
      <c r="C303" s="40" t="s">
        <v>264</v>
      </c>
      <c r="D303" s="40" t="s">
        <v>213</v>
      </c>
      <c r="E303" s="40" t="s">
        <v>275</v>
      </c>
      <c r="F303" s="40"/>
      <c r="G303" s="10">
        <f>'пр.6.1.ведом.22-23'!G661</f>
        <v>1384.6</v>
      </c>
      <c r="H303" s="10">
        <f>'пр.6.1.ведом.22-23'!H661</f>
        <v>1384.6</v>
      </c>
    </row>
    <row r="304" spans="1:8" s="200" customFormat="1" ht="31.5" x14ac:dyDescent="0.25">
      <c r="A304" s="29" t="s">
        <v>403</v>
      </c>
      <c r="B304" s="20" t="s">
        <v>1258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200" customFormat="1" ht="47.25" x14ac:dyDescent="0.25">
      <c r="A305" s="212" t="s">
        <v>940</v>
      </c>
      <c r="B305" s="24" t="s">
        <v>1260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0" customFormat="1" ht="15.75" x14ac:dyDescent="0.25">
      <c r="A306" s="29" t="s">
        <v>263</v>
      </c>
      <c r="B306" s="20" t="s">
        <v>1260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0" customFormat="1" ht="15.75" x14ac:dyDescent="0.25">
      <c r="A307" s="29" t="s">
        <v>425</v>
      </c>
      <c r="B307" s="20" t="s">
        <v>1260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0" customFormat="1" ht="63" x14ac:dyDescent="0.25">
      <c r="A308" s="182" t="s">
        <v>828</v>
      </c>
      <c r="B308" s="20" t="s">
        <v>1429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0" customFormat="1" ht="47.25" x14ac:dyDescent="0.25">
      <c r="A309" s="29" t="s">
        <v>272</v>
      </c>
      <c r="B309" s="20" t="s">
        <v>1429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200" customFormat="1" ht="15.75" x14ac:dyDescent="0.25">
      <c r="A310" s="182" t="s">
        <v>274</v>
      </c>
      <c r="B310" s="20" t="s">
        <v>1429</v>
      </c>
      <c r="C310" s="40" t="s">
        <v>264</v>
      </c>
      <c r="D310" s="40" t="s">
        <v>213</v>
      </c>
      <c r="E310" s="40" t="s">
        <v>275</v>
      </c>
      <c r="F310" s="40"/>
      <c r="G310" s="10">
        <f>'пр.6.1.ведом.22-23'!G665</f>
        <v>755.8</v>
      </c>
      <c r="H310" s="10">
        <f>'пр.6.1.ведом.22-23'!H665</f>
        <v>759</v>
      </c>
    </row>
    <row r="311" spans="1:8" s="200" customFormat="1" ht="31.5" x14ac:dyDescent="0.25">
      <c r="A311" s="29" t="s">
        <v>403</v>
      </c>
      <c r="B311" s="20" t="s">
        <v>1429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200" customFormat="1" ht="126" x14ac:dyDescent="0.25">
      <c r="A312" s="23" t="s">
        <v>1167</v>
      </c>
      <c r="B312" s="24" t="s">
        <v>1247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0" customFormat="1" ht="15.75" x14ac:dyDescent="0.25">
      <c r="A313" s="29" t="s">
        <v>263</v>
      </c>
      <c r="B313" s="20" t="s">
        <v>1247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0" customFormat="1" ht="15.75" x14ac:dyDescent="0.25">
      <c r="A314" s="45" t="s">
        <v>404</v>
      </c>
      <c r="B314" s="20" t="s">
        <v>1247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0" customFormat="1" ht="94.5" hidden="1" x14ac:dyDescent="0.25">
      <c r="A315" s="149" t="s">
        <v>1186</v>
      </c>
      <c r="B315" s="20" t="s">
        <v>1248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200" customFormat="1" ht="47.25" hidden="1" x14ac:dyDescent="0.25">
      <c r="A316" s="25" t="s">
        <v>272</v>
      </c>
      <c r="B316" s="20" t="s">
        <v>1248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200" customFormat="1" ht="15.75" hidden="1" x14ac:dyDescent="0.25">
      <c r="A317" s="25" t="s">
        <v>274</v>
      </c>
      <c r="B317" s="20" t="s">
        <v>1248</v>
      </c>
      <c r="C317" s="40" t="s">
        <v>264</v>
      </c>
      <c r="D317" s="40" t="s">
        <v>118</v>
      </c>
      <c r="E317" s="40" t="s">
        <v>275</v>
      </c>
      <c r="F317" s="40"/>
      <c r="G317" s="10">
        <f>'пр.6.1.ведом.22-23'!G595</f>
        <v>0</v>
      </c>
      <c r="H317" s="10">
        <f>'пр.6.1.ведом.22-23'!H595</f>
        <v>0</v>
      </c>
    </row>
    <row r="318" spans="1:8" s="200" customFormat="1" ht="31.5" hidden="1" x14ac:dyDescent="0.25">
      <c r="A318" s="29" t="s">
        <v>403</v>
      </c>
      <c r="B318" s="20" t="s">
        <v>1248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200" customFormat="1" ht="110.25" x14ac:dyDescent="0.25">
      <c r="A319" s="149" t="s">
        <v>1498</v>
      </c>
      <c r="B319" s="20" t="s">
        <v>1248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200" customFormat="1" ht="47.25" x14ac:dyDescent="0.25">
      <c r="A320" s="25" t="s">
        <v>272</v>
      </c>
      <c r="B320" s="20" t="s">
        <v>1248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200" customFormat="1" ht="15.75" x14ac:dyDescent="0.25">
      <c r="A321" s="25" t="s">
        <v>274</v>
      </c>
      <c r="B321" s="20" t="s">
        <v>1248</v>
      </c>
      <c r="C321" s="40" t="s">
        <v>264</v>
      </c>
      <c r="D321" s="40" t="s">
        <v>118</v>
      </c>
      <c r="E321" s="40" t="s">
        <v>275</v>
      </c>
      <c r="F321" s="40"/>
      <c r="G321" s="10">
        <f>'пр.6.1.ведом.22-23'!G598</f>
        <v>1666.6</v>
      </c>
      <c r="H321" s="10">
        <f>'пр.6.1.ведом.22-23'!H598</f>
        <v>915</v>
      </c>
    </row>
    <row r="322" spans="1:8" s="200" customFormat="1" ht="31.5" x14ac:dyDescent="0.25">
      <c r="A322" s="29" t="s">
        <v>403</v>
      </c>
      <c r="B322" s="20" t="s">
        <v>1248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200" customFormat="1" ht="47.25" x14ac:dyDescent="0.25">
      <c r="A323" s="288" t="s">
        <v>1408</v>
      </c>
      <c r="B323" s="24" t="s">
        <v>1407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0" customFormat="1" ht="15.75" x14ac:dyDescent="0.25">
      <c r="A324" s="182" t="s">
        <v>263</v>
      </c>
      <c r="B324" s="20" t="s">
        <v>1407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0" customFormat="1" ht="15.75" x14ac:dyDescent="0.25">
      <c r="A325" s="182" t="s">
        <v>425</v>
      </c>
      <c r="B325" s="20" t="s">
        <v>1407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0" customFormat="1" ht="78.75" x14ac:dyDescent="0.25">
      <c r="A326" s="287" t="s">
        <v>1394</v>
      </c>
      <c r="B326" s="20" t="s">
        <v>1454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0" customFormat="1" ht="47.25" x14ac:dyDescent="0.25">
      <c r="A327" s="31" t="s">
        <v>272</v>
      </c>
      <c r="B327" s="20" t="s">
        <v>1454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0" customFormat="1" ht="15.75" x14ac:dyDescent="0.25">
      <c r="A328" s="31" t="s">
        <v>274</v>
      </c>
      <c r="B328" s="20" t="s">
        <v>1454</v>
      </c>
      <c r="C328" s="20" t="s">
        <v>264</v>
      </c>
      <c r="D328" s="20" t="s">
        <v>213</v>
      </c>
      <c r="E328" s="20" t="s">
        <v>275</v>
      </c>
      <c r="F328" s="40"/>
      <c r="G328" s="10">
        <f>'пр.6.1.ведом.22-23'!G672</f>
        <v>5415.6500000000005</v>
      </c>
      <c r="H328" s="10">
        <f>'пр.6.1.ведом.22-23'!H672</f>
        <v>5142.4500000000007</v>
      </c>
    </row>
    <row r="329" spans="1:8" s="200" customFormat="1" ht="31.5" x14ac:dyDescent="0.25">
      <c r="A329" s="182" t="s">
        <v>403</v>
      </c>
      <c r="B329" s="20" t="s">
        <v>1454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200" customFormat="1" ht="63" hidden="1" x14ac:dyDescent="0.25">
      <c r="A330" s="212" t="s">
        <v>1173</v>
      </c>
      <c r="B330" s="24" t="s">
        <v>1321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0" customFormat="1" ht="15.75" hidden="1" x14ac:dyDescent="0.25">
      <c r="A331" s="29" t="s">
        <v>263</v>
      </c>
      <c r="B331" s="20" t="s">
        <v>1321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0" customFormat="1" ht="15.75" hidden="1" x14ac:dyDescent="0.25">
      <c r="A332" s="29" t="s">
        <v>425</v>
      </c>
      <c r="B332" s="20" t="s">
        <v>1321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0" customFormat="1" ht="63" hidden="1" x14ac:dyDescent="0.25">
      <c r="A333" s="182" t="s">
        <v>1181</v>
      </c>
      <c r="B333" s="20" t="s">
        <v>1322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0" customFormat="1" ht="47.25" hidden="1" x14ac:dyDescent="0.25">
      <c r="A334" s="31" t="s">
        <v>272</v>
      </c>
      <c r="B334" s="20" t="s">
        <v>1322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200" customFormat="1" ht="15.75" hidden="1" x14ac:dyDescent="0.25">
      <c r="A335" s="31" t="s">
        <v>274</v>
      </c>
      <c r="B335" s="20" t="s">
        <v>1322</v>
      </c>
      <c r="C335" s="40" t="s">
        <v>264</v>
      </c>
      <c r="D335" s="40" t="s">
        <v>213</v>
      </c>
      <c r="E335" s="40" t="s">
        <v>275</v>
      </c>
      <c r="F335" s="40"/>
      <c r="G335" s="10">
        <f>'пр.6.1.ведом.22-23'!G676</f>
        <v>0</v>
      </c>
      <c r="H335" s="10">
        <f>'пр.6.1.ведом.22-23'!H675</f>
        <v>0</v>
      </c>
    </row>
    <row r="336" spans="1:8" s="200" customFormat="1" ht="31.5" hidden="1" x14ac:dyDescent="0.25">
      <c r="A336" s="29" t="s">
        <v>403</v>
      </c>
      <c r="B336" s="20" t="s">
        <v>1322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200" customFormat="1" ht="31.5" x14ac:dyDescent="0.25">
      <c r="A337" s="34" t="s">
        <v>1477</v>
      </c>
      <c r="B337" s="24" t="s">
        <v>1475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0" customFormat="1" ht="15.75" x14ac:dyDescent="0.25">
      <c r="A338" s="29" t="s">
        <v>263</v>
      </c>
      <c r="B338" s="20" t="s">
        <v>1475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0" customFormat="1" ht="15.75" x14ac:dyDescent="0.25">
      <c r="A339" s="29" t="s">
        <v>425</v>
      </c>
      <c r="B339" s="20" t="s">
        <v>1475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0" customFormat="1" ht="63" x14ac:dyDescent="0.25">
      <c r="A340" s="31" t="s">
        <v>1529</v>
      </c>
      <c r="B340" s="20" t="s">
        <v>1476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0" customFormat="1" ht="47.25" x14ac:dyDescent="0.25">
      <c r="A341" s="31" t="s">
        <v>272</v>
      </c>
      <c r="B341" s="20" t="s">
        <v>1476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0" customFormat="1" ht="15.75" x14ac:dyDescent="0.25">
      <c r="A342" s="31" t="s">
        <v>274</v>
      </c>
      <c r="B342" s="20" t="s">
        <v>1476</v>
      </c>
      <c r="C342" s="40" t="s">
        <v>264</v>
      </c>
      <c r="D342" s="40" t="s">
        <v>213</v>
      </c>
      <c r="E342" s="40" t="s">
        <v>275</v>
      </c>
      <c r="F342" s="40"/>
      <c r="G342" s="10">
        <f>'пр.6.1.ведом.22-23'!G680</f>
        <v>1749.4499999999998</v>
      </c>
      <c r="H342" s="10">
        <f>'пр.6.1.ведом.22-23'!H680</f>
        <v>2341</v>
      </c>
    </row>
    <row r="343" spans="1:8" s="200" customFormat="1" ht="31.5" x14ac:dyDescent="0.25">
      <c r="A343" s="29" t="s">
        <v>403</v>
      </c>
      <c r="B343" s="20" t="s">
        <v>1476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1387</v>
      </c>
      <c r="B344" s="193" t="s">
        <v>156</v>
      </c>
      <c r="C344" s="7"/>
      <c r="D344" s="193"/>
      <c r="E344" s="193"/>
      <c r="F344" s="193"/>
      <c r="G344" s="59">
        <f>G346</f>
        <v>150</v>
      </c>
      <c r="H344" s="59">
        <f>H346</f>
        <v>150</v>
      </c>
    </row>
    <row r="345" spans="1:8" ht="47.25" x14ac:dyDescent="0.25">
      <c r="A345" s="23" t="s">
        <v>1065</v>
      </c>
      <c r="B345" s="24" t="s">
        <v>1062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1062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1062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1066</v>
      </c>
      <c r="B348" s="20" t="s">
        <v>1063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1063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1063</v>
      </c>
      <c r="C350" s="40" t="s">
        <v>150</v>
      </c>
      <c r="D350" s="40" t="s">
        <v>238</v>
      </c>
      <c r="E350" s="40" t="s">
        <v>134</v>
      </c>
      <c r="F350" s="40"/>
      <c r="G350" s="10">
        <f>'пр.6.1.ведом.22-23'!G217</f>
        <v>150</v>
      </c>
      <c r="H350" s="10">
        <f>'пр.6.1.ведом.22-23'!H217</f>
        <v>150</v>
      </c>
    </row>
    <row r="351" spans="1:8" ht="31.5" x14ac:dyDescent="0.25">
      <c r="A351" s="29" t="s">
        <v>148</v>
      </c>
      <c r="B351" s="20" t="s">
        <v>1063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1064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1064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1064</v>
      </c>
      <c r="C354" s="40" t="s">
        <v>150</v>
      </c>
      <c r="D354" s="40" t="s">
        <v>238</v>
      </c>
      <c r="E354" s="40" t="s">
        <v>160</v>
      </c>
      <c r="F354" s="40"/>
      <c r="G354" s="10" t="e">
        <f>'пр.6.1.ведом.22-23'!#REF!</f>
        <v>#REF!</v>
      </c>
      <c r="H354" s="10" t="e">
        <f>'пр.6.1.ведом.22-23'!#REF!</f>
        <v>#REF!</v>
      </c>
    </row>
    <row r="355" spans="1:8" ht="31.5" hidden="1" x14ac:dyDescent="0.25">
      <c r="A355" s="29" t="s">
        <v>148</v>
      </c>
      <c r="B355" s="20" t="s">
        <v>1064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1367</v>
      </c>
      <c r="B356" s="193" t="s">
        <v>162</v>
      </c>
      <c r="C356" s="7"/>
      <c r="D356" s="7"/>
      <c r="E356" s="7"/>
      <c r="F356" s="7"/>
      <c r="G356" s="59">
        <f>G357+G364+G387</f>
        <v>725.14</v>
      </c>
      <c r="H356" s="59">
        <f>H357+H364+H387</f>
        <v>724</v>
      </c>
    </row>
    <row r="357" spans="1:8" ht="78.75" x14ac:dyDescent="0.25">
      <c r="A357" s="289" t="s">
        <v>1342</v>
      </c>
      <c r="B357" s="7" t="s">
        <v>849</v>
      </c>
      <c r="C357" s="7"/>
      <c r="D357" s="8"/>
      <c r="E357" s="193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849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1309</v>
      </c>
      <c r="B360" s="40" t="s">
        <v>841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841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841</v>
      </c>
      <c r="C362" s="40" t="s">
        <v>118</v>
      </c>
      <c r="D362" s="9" t="s">
        <v>150</v>
      </c>
      <c r="E362" s="40" t="s">
        <v>134</v>
      </c>
      <c r="F362" s="40"/>
      <c r="G362" s="10">
        <f>'пр.6.1.ведом.22-23'!G93</f>
        <v>606</v>
      </c>
      <c r="H362" s="10">
        <f>'пр.6.1.ведом.22-23'!H93</f>
        <v>606</v>
      </c>
    </row>
    <row r="363" spans="1:8" ht="31.5" x14ac:dyDescent="0.25">
      <c r="A363" s="29" t="s">
        <v>148</v>
      </c>
      <c r="B363" s="40" t="s">
        <v>841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15" t="s">
        <v>843</v>
      </c>
      <c r="B364" s="7" t="s">
        <v>850</v>
      </c>
      <c r="C364" s="7"/>
      <c r="D364" s="8"/>
      <c r="E364" s="193"/>
      <c r="F364" s="7"/>
      <c r="G364" s="59">
        <f>G365</f>
        <v>118.64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0" t="s">
        <v>118</v>
      </c>
      <c r="D365" s="5"/>
      <c r="E365" s="5"/>
      <c r="F365" s="40"/>
      <c r="G365" s="10">
        <f>G371+G366</f>
        <v>118.64</v>
      </c>
      <c r="H365" s="10">
        <f>H371+H366</f>
        <v>117.5</v>
      </c>
    </row>
    <row r="366" spans="1:8" s="200" customFormat="1" ht="47.25" x14ac:dyDescent="0.25">
      <c r="A366" s="25" t="s">
        <v>575</v>
      </c>
      <c r="B366" s="5" t="s">
        <v>850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41.64</v>
      </c>
      <c r="H366" s="10">
        <f t="shared" si="51"/>
        <v>40.5</v>
      </c>
    </row>
    <row r="367" spans="1:8" s="200" customFormat="1" ht="63" x14ac:dyDescent="0.25">
      <c r="A367" s="31" t="s">
        <v>695</v>
      </c>
      <c r="B367" s="40" t="s">
        <v>993</v>
      </c>
      <c r="C367" s="20" t="s">
        <v>118</v>
      </c>
      <c r="D367" s="9" t="s">
        <v>213</v>
      </c>
      <c r="E367" s="5"/>
      <c r="F367" s="40"/>
      <c r="G367" s="10">
        <f t="shared" si="51"/>
        <v>41.64</v>
      </c>
      <c r="H367" s="10">
        <f t="shared" si="51"/>
        <v>40.5</v>
      </c>
    </row>
    <row r="368" spans="1:8" s="200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41.64</v>
      </c>
      <c r="H368" s="10">
        <f t="shared" si="51"/>
        <v>40.5</v>
      </c>
    </row>
    <row r="369" spans="1:8" s="200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'Пр.4 ведом.21'!G49</f>
        <v>41.64</v>
      </c>
      <c r="H369" s="10">
        <f>H370</f>
        <v>40.5</v>
      </c>
    </row>
    <row r="370" spans="1:8" s="200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41.64</v>
      </c>
      <c r="H370" s="10">
        <f>'пр.6.1.ведом.22-23'!H48</f>
        <v>40.5</v>
      </c>
    </row>
    <row r="371" spans="1:8" ht="78.75" x14ac:dyDescent="0.25">
      <c r="A371" s="29" t="s">
        <v>149</v>
      </c>
      <c r="B371" s="5" t="s">
        <v>850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0" t="s">
        <v>842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842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842</v>
      </c>
      <c r="C374" s="40" t="s">
        <v>118</v>
      </c>
      <c r="D374" s="9" t="s">
        <v>150</v>
      </c>
      <c r="E374" s="40" t="s">
        <v>130</v>
      </c>
      <c r="F374" s="40"/>
      <c r="G374" s="10">
        <f>'пр.6.1.ведом.22-23'!G97</f>
        <v>37</v>
      </c>
      <c r="H374" s="10">
        <f>'пр.6.1.ведом.22-23'!H97</f>
        <v>37</v>
      </c>
    </row>
    <row r="375" spans="1:8" ht="31.5" x14ac:dyDescent="0.25">
      <c r="A375" s="29" t="s">
        <v>1323</v>
      </c>
      <c r="B375" s="40" t="s">
        <v>842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842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842</v>
      </c>
      <c r="C377" s="40" t="s">
        <v>118</v>
      </c>
      <c r="D377" s="9" t="s">
        <v>150</v>
      </c>
      <c r="E377" s="40" t="s">
        <v>134</v>
      </c>
      <c r="F377" s="40"/>
      <c r="G377" s="10">
        <f>'пр.6.1.ведом.22-23'!G99</f>
        <v>40</v>
      </c>
      <c r="H377" s="10">
        <f>'пр.6.1.ведом.22-23'!H99</f>
        <v>40</v>
      </c>
    </row>
    <row r="378" spans="1:8" ht="31.5" x14ac:dyDescent="0.25">
      <c r="A378" s="29" t="s">
        <v>148</v>
      </c>
      <c r="B378" s="40" t="s">
        <v>842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993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993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993</v>
      </c>
      <c r="C381" s="40" t="s">
        <v>118</v>
      </c>
      <c r="D381" s="9" t="s">
        <v>150</v>
      </c>
      <c r="E381" s="5">
        <v>240</v>
      </c>
      <c r="F381" s="40"/>
      <c r="G381" s="10">
        <f>'Пр.4 ведом.21'!G101</f>
        <v>0</v>
      </c>
      <c r="H381" s="10">
        <f>'пр.6.1.ведом.22-23'!H102</f>
        <v>0</v>
      </c>
    </row>
    <row r="382" spans="1:8" ht="31.5" hidden="1" x14ac:dyDescent="0.25">
      <c r="A382" s="29" t="s">
        <v>148</v>
      </c>
      <c r="B382" s="40" t="s">
        <v>993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992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992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992</v>
      </c>
      <c r="C385" s="40" t="s">
        <v>118</v>
      </c>
      <c r="D385" s="9" t="s">
        <v>150</v>
      </c>
      <c r="E385" s="5">
        <v>240</v>
      </c>
      <c r="F385" s="40"/>
      <c r="G385" s="10">
        <f>'пр.6.1.ведом.22-23'!G105</f>
        <v>0</v>
      </c>
      <c r="H385" s="10">
        <f>'пр.6.1.ведом.22-23'!H105</f>
        <v>0</v>
      </c>
    </row>
    <row r="386" spans="1:8" ht="31.5" hidden="1" x14ac:dyDescent="0.25">
      <c r="A386" s="29" t="s">
        <v>148</v>
      </c>
      <c r="B386" s="20" t="s">
        <v>992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16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0" customFormat="1" ht="15.75" x14ac:dyDescent="0.25">
      <c r="A388" s="45" t="s">
        <v>117</v>
      </c>
      <c r="B388" s="40" t="s">
        <v>851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0" customFormat="1" ht="78.75" x14ac:dyDescent="0.25">
      <c r="A389" s="29" t="s">
        <v>149</v>
      </c>
      <c r="B389" s="40" t="s">
        <v>851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844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844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844</v>
      </c>
      <c r="C392" s="40" t="s">
        <v>118</v>
      </c>
      <c r="D392" s="9" t="s">
        <v>150</v>
      </c>
      <c r="E392" s="40" t="s">
        <v>134</v>
      </c>
      <c r="F392" s="40"/>
      <c r="G392" s="10">
        <f>'пр.6.1.ведом.22-23'!G109</f>
        <v>0.5</v>
      </c>
      <c r="H392" s="10">
        <f>'пр.6.1.ведом.22-23'!H109</f>
        <v>0.5</v>
      </c>
    </row>
    <row r="393" spans="1:8" ht="31.5" x14ac:dyDescent="0.25">
      <c r="A393" s="29" t="s">
        <v>148</v>
      </c>
      <c r="B393" s="40" t="s">
        <v>844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845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845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845</v>
      </c>
      <c r="C396" s="40" t="s">
        <v>118</v>
      </c>
      <c r="D396" s="9" t="s">
        <v>150</v>
      </c>
      <c r="E396" s="40" t="s">
        <v>134</v>
      </c>
      <c r="F396" s="40"/>
      <c r="G396" s="10">
        <f>'пр.6.1.ведом.22-23'!G112</f>
        <v>0</v>
      </c>
      <c r="H396" s="10">
        <f>'пр.6.1.ведом.22-23'!H112</f>
        <v>0</v>
      </c>
    </row>
    <row r="397" spans="1:8" ht="31.5" hidden="1" x14ac:dyDescent="0.25">
      <c r="A397" s="29" t="s">
        <v>148</v>
      </c>
      <c r="B397" s="20" t="s">
        <v>845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1349</v>
      </c>
      <c r="B398" s="193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884</v>
      </c>
      <c r="B399" s="24" t="s">
        <v>882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882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882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883</v>
      </c>
      <c r="B402" s="20" t="s">
        <v>1189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1189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1189</v>
      </c>
      <c r="C404" s="40" t="s">
        <v>244</v>
      </c>
      <c r="D404" s="40" t="s">
        <v>215</v>
      </c>
      <c r="E404" s="40" t="s">
        <v>251</v>
      </c>
      <c r="F404" s="40"/>
      <c r="G404" s="10">
        <f>'пр.6.1.ведом.22-23'!G230</f>
        <v>10</v>
      </c>
      <c r="H404" s="10">
        <f>'пр.6.1.ведом.22-23'!H230</f>
        <v>10</v>
      </c>
    </row>
    <row r="405" spans="1:8" ht="31.5" x14ac:dyDescent="0.25">
      <c r="A405" s="29" t="s">
        <v>148</v>
      </c>
      <c r="B405" s="20" t="s">
        <v>1189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1372</v>
      </c>
      <c r="B406" s="3" t="s">
        <v>482</v>
      </c>
      <c r="C406" s="68"/>
      <c r="D406" s="68"/>
      <c r="E406" s="68"/>
      <c r="F406" s="68"/>
      <c r="G406" s="4">
        <f>G407+G414+G429+G440+G447</f>
        <v>53179.7</v>
      </c>
      <c r="H406" s="4">
        <f>H407+H414+H429+H440+H447</f>
        <v>53179.7</v>
      </c>
    </row>
    <row r="407" spans="1:8" ht="47.25" x14ac:dyDescent="0.25">
      <c r="A407" s="23" t="s">
        <v>937</v>
      </c>
      <c r="B407" s="24" t="s">
        <v>1264</v>
      </c>
      <c r="C407" s="7"/>
      <c r="D407" s="7"/>
      <c r="E407" s="218"/>
      <c r="F407" s="193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1264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1264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1294</v>
      </c>
      <c r="B410" s="20" t="s">
        <v>1265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1265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1265</v>
      </c>
      <c r="C412" s="40" t="s">
        <v>491</v>
      </c>
      <c r="D412" s="40" t="s">
        <v>118</v>
      </c>
      <c r="E412" s="40" t="s">
        <v>275</v>
      </c>
      <c r="F412" s="5"/>
      <c r="G412" s="10">
        <f>'пр.6.1.ведом.22-23'!G770</f>
        <v>47819.6</v>
      </c>
      <c r="H412" s="10">
        <f>'пр.6.1.ведом.22-23'!H770</f>
        <v>47819.6</v>
      </c>
    </row>
    <row r="413" spans="1:8" ht="47.25" x14ac:dyDescent="0.25">
      <c r="A413" s="45" t="s">
        <v>480</v>
      </c>
      <c r="B413" s="20" t="s">
        <v>1265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945</v>
      </c>
      <c r="B414" s="24" t="s">
        <v>1266</v>
      </c>
      <c r="C414" s="7"/>
      <c r="D414" s="7"/>
      <c r="E414" s="7"/>
      <c r="F414" s="193"/>
      <c r="G414" s="59">
        <f>G415</f>
        <v>268.89999999999998</v>
      </c>
      <c r="H414" s="59">
        <f>H415</f>
        <v>268.89999999999998</v>
      </c>
    </row>
    <row r="415" spans="1:8" ht="15.75" x14ac:dyDescent="0.25">
      <c r="A415" s="29" t="s">
        <v>490</v>
      </c>
      <c r="B415" s="20" t="s">
        <v>1266</v>
      </c>
      <c r="C415" s="2">
        <v>11</v>
      </c>
      <c r="D415" s="68"/>
      <c r="E415" s="68"/>
      <c r="F415" s="68"/>
      <c r="G415" s="10">
        <f t="shared" ref="G415:H415" si="57">G416</f>
        <v>268.89999999999998</v>
      </c>
      <c r="H415" s="10">
        <f t="shared" si="57"/>
        <v>268.89999999999998</v>
      </c>
    </row>
    <row r="416" spans="1:8" ht="16.5" x14ac:dyDescent="0.25">
      <c r="A416" s="29" t="s">
        <v>492</v>
      </c>
      <c r="B416" s="20" t="s">
        <v>1266</v>
      </c>
      <c r="C416" s="40" t="s">
        <v>491</v>
      </c>
      <c r="D416" s="40" t="s">
        <v>118</v>
      </c>
      <c r="E416" s="71"/>
      <c r="F416" s="5"/>
      <c r="G416" s="10">
        <f>G417+G421+G425</f>
        <v>268.89999999999998</v>
      </c>
      <c r="H416" s="10">
        <f>H417+H421+H425</f>
        <v>268.89999999999998</v>
      </c>
    </row>
    <row r="417" spans="1:8" ht="47.25" hidden="1" x14ac:dyDescent="0.25">
      <c r="A417" s="29" t="s">
        <v>278</v>
      </c>
      <c r="B417" s="20" t="s">
        <v>1324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232.9</v>
      </c>
      <c r="H417" s="10">
        <f t="shared" si="58"/>
        <v>232.9</v>
      </c>
    </row>
    <row r="418" spans="1:8" ht="47.25" hidden="1" x14ac:dyDescent="0.25">
      <c r="A418" s="29" t="s">
        <v>272</v>
      </c>
      <c r="B418" s="20" t="s">
        <v>1324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232.9</v>
      </c>
      <c r="H418" s="10">
        <f t="shared" si="58"/>
        <v>232.9</v>
      </c>
    </row>
    <row r="419" spans="1:8" ht="15.75" hidden="1" x14ac:dyDescent="0.25">
      <c r="A419" s="29" t="s">
        <v>274</v>
      </c>
      <c r="B419" s="20" t="s">
        <v>1324</v>
      </c>
      <c r="C419" s="40" t="s">
        <v>491</v>
      </c>
      <c r="D419" s="40" t="s">
        <v>118</v>
      </c>
      <c r="E419" s="40" t="s">
        <v>275</v>
      </c>
      <c r="F419" s="5"/>
      <c r="G419" s="10">
        <f>'пр.6.1.ведом.22-23'!G774</f>
        <v>232.9</v>
      </c>
      <c r="H419" s="10">
        <f>'пр.6.1.ведом.22-23'!H774</f>
        <v>232.9</v>
      </c>
    </row>
    <row r="420" spans="1:8" ht="47.25" hidden="1" x14ac:dyDescent="0.25">
      <c r="A420" s="45" t="s">
        <v>480</v>
      </c>
      <c r="B420" s="20" t="s">
        <v>1324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232.9</v>
      </c>
      <c r="H420" s="10">
        <f>H419</f>
        <v>232.9</v>
      </c>
    </row>
    <row r="421" spans="1:8" ht="31.5" hidden="1" x14ac:dyDescent="0.25">
      <c r="A421" s="29" t="s">
        <v>280</v>
      </c>
      <c r="B421" s="20" t="s">
        <v>1325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1325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1325</v>
      </c>
      <c r="C423" s="40" t="s">
        <v>491</v>
      </c>
      <c r="D423" s="40" t="s">
        <v>118</v>
      </c>
      <c r="E423" s="40" t="s">
        <v>275</v>
      </c>
      <c r="F423" s="5"/>
      <c r="G423" s="10">
        <f>'пр.6.1.ведом.22-23'!G777</f>
        <v>0</v>
      </c>
      <c r="H423" s="10">
        <f>'пр.6.1.ведом.22-23'!H777</f>
        <v>0</v>
      </c>
    </row>
    <row r="424" spans="1:8" ht="47.25" hidden="1" x14ac:dyDescent="0.25">
      <c r="A424" s="45" t="s">
        <v>480</v>
      </c>
      <c r="B424" s="20" t="s">
        <v>1325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830</v>
      </c>
      <c r="B425" s="20" t="s">
        <v>1267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1267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1267</v>
      </c>
      <c r="C427" s="40" t="s">
        <v>491</v>
      </c>
      <c r="D427" s="40" t="s">
        <v>118</v>
      </c>
      <c r="E427" s="40" t="s">
        <v>275</v>
      </c>
      <c r="F427" s="5"/>
      <c r="G427" s="10">
        <f>'пр.6.1.ведом.22-23'!G781</f>
        <v>36</v>
      </c>
      <c r="H427" s="10">
        <f>'пр.6.1.ведом.22-23'!H781</f>
        <v>36</v>
      </c>
    </row>
    <row r="428" spans="1:8" ht="47.25" x14ac:dyDescent="0.25">
      <c r="A428" s="45" t="s">
        <v>480</v>
      </c>
      <c r="B428" s="20" t="s">
        <v>1267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947</v>
      </c>
      <c r="B429" s="24" t="s">
        <v>1268</v>
      </c>
      <c r="C429" s="7"/>
      <c r="D429" s="7"/>
      <c r="E429" s="7"/>
      <c r="F429" s="193"/>
      <c r="G429" s="59">
        <f>G430</f>
        <v>1277.7</v>
      </c>
      <c r="H429" s="59">
        <f>H430</f>
        <v>1277.7</v>
      </c>
    </row>
    <row r="430" spans="1:8" ht="15.75" x14ac:dyDescent="0.25">
      <c r="A430" s="29" t="s">
        <v>490</v>
      </c>
      <c r="B430" s="20" t="s">
        <v>1268</v>
      </c>
      <c r="C430" s="2">
        <v>11</v>
      </c>
      <c r="D430" s="68"/>
      <c r="E430" s="68"/>
      <c r="F430" s="68"/>
      <c r="G430" s="10">
        <f t="shared" ref="G430:H430" si="60">G431</f>
        <v>1277.7</v>
      </c>
      <c r="H430" s="10">
        <f t="shared" si="60"/>
        <v>1277.7</v>
      </c>
    </row>
    <row r="431" spans="1:8" ht="16.5" x14ac:dyDescent="0.25">
      <c r="A431" s="29" t="s">
        <v>492</v>
      </c>
      <c r="B431" s="20" t="s">
        <v>1268</v>
      </c>
      <c r="C431" s="40" t="s">
        <v>491</v>
      </c>
      <c r="D431" s="40" t="s">
        <v>118</v>
      </c>
      <c r="E431" s="71"/>
      <c r="F431" s="5"/>
      <c r="G431" s="10">
        <f>G432+G436</f>
        <v>1277.7</v>
      </c>
      <c r="H431" s="10">
        <f>H432+H436</f>
        <v>1277.7</v>
      </c>
    </row>
    <row r="432" spans="1:8" ht="31.5" hidden="1" x14ac:dyDescent="0.25">
      <c r="A432" s="29" t="s">
        <v>284</v>
      </c>
      <c r="B432" s="20" t="s">
        <v>1306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73.7</v>
      </c>
      <c r="H432" s="10">
        <f t="shared" si="61"/>
        <v>73.7</v>
      </c>
    </row>
    <row r="433" spans="1:8" ht="47.25" hidden="1" x14ac:dyDescent="0.25">
      <c r="A433" s="29" t="s">
        <v>272</v>
      </c>
      <c r="B433" s="20" t="s">
        <v>1306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73.7</v>
      </c>
      <c r="H433" s="10">
        <f t="shared" si="61"/>
        <v>73.7</v>
      </c>
    </row>
    <row r="434" spans="1:8" ht="15.75" hidden="1" x14ac:dyDescent="0.25">
      <c r="A434" s="29" t="s">
        <v>274</v>
      </c>
      <c r="B434" s="20" t="s">
        <v>1306</v>
      </c>
      <c r="C434" s="40" t="s">
        <v>491</v>
      </c>
      <c r="D434" s="40" t="s">
        <v>118</v>
      </c>
      <c r="E434" s="40" t="s">
        <v>275</v>
      </c>
      <c r="F434" s="5"/>
      <c r="G434" s="10">
        <f>'пр.6.1.ведом.22-23'!G785</f>
        <v>73.7</v>
      </c>
      <c r="H434" s="10">
        <f>'пр.6.1.ведом.22-23'!H785</f>
        <v>73.7</v>
      </c>
    </row>
    <row r="435" spans="1:8" ht="47.25" hidden="1" x14ac:dyDescent="0.25">
      <c r="A435" s="45" t="s">
        <v>480</v>
      </c>
      <c r="B435" s="20" t="s">
        <v>1306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73.7</v>
      </c>
      <c r="H435" s="10">
        <f>H434</f>
        <v>73.7</v>
      </c>
    </row>
    <row r="436" spans="1:8" ht="47.25" x14ac:dyDescent="0.25">
      <c r="A436" s="45" t="s">
        <v>764</v>
      </c>
      <c r="B436" s="20" t="s">
        <v>1269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1269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1269</v>
      </c>
      <c r="C438" s="40" t="s">
        <v>491</v>
      </c>
      <c r="D438" s="40" t="s">
        <v>118</v>
      </c>
      <c r="E438" s="40" t="s">
        <v>275</v>
      </c>
      <c r="F438" s="5"/>
      <c r="G438" s="10">
        <f>'пр.6.1.ведом.22-23'!G788</f>
        <v>1204</v>
      </c>
      <c r="H438" s="10">
        <f>'пр.6.1.ведом.22-23'!H788</f>
        <v>1204</v>
      </c>
    </row>
    <row r="439" spans="1:8" ht="47.25" x14ac:dyDescent="0.25">
      <c r="A439" s="45" t="s">
        <v>480</v>
      </c>
      <c r="B439" s="20" t="s">
        <v>1269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900</v>
      </c>
      <c r="B440" s="24" t="s">
        <v>1270</v>
      </c>
      <c r="C440" s="7"/>
      <c r="D440" s="7"/>
      <c r="E440" s="7"/>
      <c r="F440" s="193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1270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1270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1405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1405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1405</v>
      </c>
      <c r="C445" s="40" t="s">
        <v>491</v>
      </c>
      <c r="D445" s="40" t="s">
        <v>118</v>
      </c>
      <c r="E445" s="40" t="s">
        <v>275</v>
      </c>
      <c r="F445" s="5"/>
      <c r="G445" s="10">
        <f>'пр.6.1.ведом.22-23'!G792</f>
        <v>813.5</v>
      </c>
      <c r="H445" s="10">
        <f>'пр.6.1.ведом.22-23'!H792</f>
        <v>813.5</v>
      </c>
    </row>
    <row r="446" spans="1:8" ht="47.25" x14ac:dyDescent="0.25">
      <c r="A446" s="45" t="s">
        <v>480</v>
      </c>
      <c r="B446" s="20" t="s">
        <v>1405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1272</v>
      </c>
      <c r="C447" s="7"/>
      <c r="D447" s="7"/>
      <c r="E447" s="7"/>
      <c r="F447" s="193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1272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1272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952</v>
      </c>
      <c r="B450" s="40" t="s">
        <v>1273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1273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1273</v>
      </c>
      <c r="C452" s="40" t="s">
        <v>491</v>
      </c>
      <c r="D452" s="40" t="s">
        <v>234</v>
      </c>
      <c r="E452" s="40" t="s">
        <v>209</v>
      </c>
      <c r="F452" s="5"/>
      <c r="G452" s="6">
        <f>'пр.6.1.ведом.22-23'!G828</f>
        <v>2500</v>
      </c>
      <c r="H452" s="6">
        <f>'пр.6.1.ведом.22-23'!H828</f>
        <v>2500</v>
      </c>
    </row>
    <row r="453" spans="1:12" ht="47.25" x14ac:dyDescent="0.25">
      <c r="A453" s="45" t="s">
        <v>480</v>
      </c>
      <c r="B453" s="40" t="s">
        <v>1273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1273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1273</v>
      </c>
      <c r="C455" s="40" t="s">
        <v>491</v>
      </c>
      <c r="D455" s="40" t="s">
        <v>234</v>
      </c>
      <c r="E455" s="40" t="s">
        <v>134</v>
      </c>
      <c r="F455" s="5"/>
      <c r="G455" s="6">
        <f>'пр.6.1.ведом.22-23'!G830</f>
        <v>500</v>
      </c>
      <c r="H455" s="6">
        <f>'пр.6.1.ведом.22-23'!H830</f>
        <v>500</v>
      </c>
    </row>
    <row r="456" spans="1:12" ht="47.25" x14ac:dyDescent="0.25">
      <c r="A456" s="45" t="s">
        <v>480</v>
      </c>
      <c r="B456" s="40" t="s">
        <v>1273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200" customFormat="1" ht="78.75" hidden="1" x14ac:dyDescent="0.25">
      <c r="A457" s="23" t="s">
        <v>1332</v>
      </c>
      <c r="B457" s="24" t="s">
        <v>1271</v>
      </c>
      <c r="C457" s="7"/>
      <c r="D457" s="7"/>
      <c r="E457" s="7"/>
      <c r="F457" s="193"/>
      <c r="G457" s="59">
        <f>G458</f>
        <v>769.23</v>
      </c>
      <c r="H457" s="10"/>
    </row>
    <row r="458" spans="1:12" s="200" customFormat="1" ht="15.75" hidden="1" x14ac:dyDescent="0.25">
      <c r="A458" s="29" t="s">
        <v>490</v>
      </c>
      <c r="B458" s="20" t="s">
        <v>1271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200" customFormat="1" ht="15.75" hidden="1" x14ac:dyDescent="0.25">
      <c r="A459" s="29" t="s">
        <v>492</v>
      </c>
      <c r="B459" s="20" t="s">
        <v>1271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200" customFormat="1" ht="63" hidden="1" x14ac:dyDescent="0.25">
      <c r="A460" s="25" t="s">
        <v>1194</v>
      </c>
      <c r="B460" s="20" t="s">
        <v>1326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200" customFormat="1" ht="47.25" hidden="1" x14ac:dyDescent="0.25">
      <c r="A461" s="25" t="s">
        <v>272</v>
      </c>
      <c r="B461" s="20" t="s">
        <v>1326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200" customFormat="1" ht="15.75" hidden="1" x14ac:dyDescent="0.25">
      <c r="A462" s="25" t="s">
        <v>274</v>
      </c>
      <c r="B462" s="20" t="s">
        <v>1326</v>
      </c>
      <c r="C462" s="40" t="s">
        <v>491</v>
      </c>
      <c r="D462" s="40" t="s">
        <v>118</v>
      </c>
      <c r="E462" s="40" t="s">
        <v>275</v>
      </c>
      <c r="F462" s="5"/>
      <c r="G462" s="10">
        <f>'Пр.4 ведом.21'!G842</f>
        <v>769.23</v>
      </c>
      <c r="H462" s="10"/>
    </row>
    <row r="463" spans="1:12" s="200" customFormat="1" ht="47.25" hidden="1" x14ac:dyDescent="0.25">
      <c r="A463" s="45" t="s">
        <v>480</v>
      </c>
      <c r="B463" s="20" t="s">
        <v>1326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1354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1.0000000009313226E-2</v>
      </c>
    </row>
    <row r="465" spans="1:8" ht="47.25" x14ac:dyDescent="0.25">
      <c r="A465" s="23" t="s">
        <v>1300</v>
      </c>
      <c r="B465" s="24" t="s">
        <v>1204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0" customFormat="1" ht="15.75" x14ac:dyDescent="0.25">
      <c r="A466" s="25" t="s">
        <v>263</v>
      </c>
      <c r="B466" s="20" t="s">
        <v>1204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0" customFormat="1" ht="15.75" x14ac:dyDescent="0.25">
      <c r="A467" s="25" t="s">
        <v>265</v>
      </c>
      <c r="B467" s="20" t="s">
        <v>1204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200" customFormat="1" ht="31.5" x14ac:dyDescent="0.25">
      <c r="A468" s="25" t="s">
        <v>800</v>
      </c>
      <c r="B468" s="20" t="s">
        <v>1205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0" customFormat="1" ht="94.5" x14ac:dyDescent="0.25">
      <c r="A469" s="25" t="s">
        <v>127</v>
      </c>
      <c r="B469" s="20" t="s">
        <v>1205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200" customFormat="1" ht="31.5" x14ac:dyDescent="0.25">
      <c r="A470" s="46" t="s">
        <v>342</v>
      </c>
      <c r="B470" s="20" t="s">
        <v>1205</v>
      </c>
      <c r="C470" s="40" t="s">
        <v>264</v>
      </c>
      <c r="D470" s="40" t="s">
        <v>215</v>
      </c>
      <c r="E470" s="20" t="s">
        <v>209</v>
      </c>
      <c r="F470" s="2"/>
      <c r="G470" s="10">
        <f>'пр.6.1.ведом.22-23'!G299</f>
        <v>14172.31</v>
      </c>
      <c r="H470" s="10">
        <f>'пр.6.1.ведом.22-23'!H299</f>
        <v>14172.31</v>
      </c>
    </row>
    <row r="471" spans="1:8" s="200" customFormat="1" ht="47.25" x14ac:dyDescent="0.25">
      <c r="A471" s="45" t="s">
        <v>261</v>
      </c>
      <c r="B471" s="20" t="s">
        <v>1205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200" customFormat="1" ht="31.5" x14ac:dyDescent="0.25">
      <c r="A472" s="25" t="s">
        <v>131</v>
      </c>
      <c r="B472" s="20" t="s">
        <v>1205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200" customFormat="1" ht="47.25" x14ac:dyDescent="0.25">
      <c r="A473" s="25" t="s">
        <v>133</v>
      </c>
      <c r="B473" s="20" t="s">
        <v>1205</v>
      </c>
      <c r="C473" s="40" t="s">
        <v>264</v>
      </c>
      <c r="D473" s="40" t="s">
        <v>215</v>
      </c>
      <c r="E473" s="20" t="s">
        <v>134</v>
      </c>
      <c r="F473" s="2"/>
      <c r="G473" s="10">
        <f>'пр.6.1.ведом.22-23'!G301</f>
        <v>1603.7</v>
      </c>
      <c r="H473" s="10">
        <f>'пр.6.1.ведом.22-23'!H301</f>
        <v>1603.7</v>
      </c>
    </row>
    <row r="474" spans="1:8" s="200" customFormat="1" ht="47.25" x14ac:dyDescent="0.25">
      <c r="A474" s="45" t="s">
        <v>261</v>
      </c>
      <c r="B474" s="20" t="s">
        <v>1205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200" customFormat="1" ht="15.75" x14ac:dyDescent="0.25">
      <c r="A475" s="25" t="s">
        <v>135</v>
      </c>
      <c r="B475" s="20" t="s">
        <v>1205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200" customFormat="1" ht="15.75" x14ac:dyDescent="0.25">
      <c r="A476" s="25" t="s">
        <v>704</v>
      </c>
      <c r="B476" s="20" t="s">
        <v>1205</v>
      </c>
      <c r="C476" s="40" t="s">
        <v>264</v>
      </c>
      <c r="D476" s="40" t="s">
        <v>215</v>
      </c>
      <c r="E476" s="20" t="s">
        <v>138</v>
      </c>
      <c r="F476" s="2"/>
      <c r="G476" s="10">
        <f>'пр.6.1.ведом.22-23'!G303</f>
        <v>78</v>
      </c>
      <c r="H476" s="10">
        <f>'пр.6.1.ведом.22-23'!H303</f>
        <v>78</v>
      </c>
    </row>
    <row r="477" spans="1:8" s="200" customFormat="1" ht="47.25" x14ac:dyDescent="0.25">
      <c r="A477" s="45" t="s">
        <v>261</v>
      </c>
      <c r="B477" s="20" t="s">
        <v>1205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1204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1204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1205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1205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1205</v>
      </c>
      <c r="C482" s="40" t="s">
        <v>299</v>
      </c>
      <c r="D482" s="40" t="s">
        <v>118</v>
      </c>
      <c r="E482" s="40" t="s">
        <v>209</v>
      </c>
      <c r="F482" s="2"/>
      <c r="G482" s="10">
        <f>'пр.6.1.ведом.22-23'!G363</f>
        <v>43271.28</v>
      </c>
      <c r="H482" s="10">
        <f>'пр.6.1.ведом.22-23'!H363</f>
        <v>43271.28</v>
      </c>
    </row>
    <row r="483" spans="1:8" ht="47.25" x14ac:dyDescent="0.25">
      <c r="A483" s="45" t="s">
        <v>261</v>
      </c>
      <c r="B483" s="20" t="s">
        <v>1205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1205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1205</v>
      </c>
      <c r="C485" s="40" t="s">
        <v>299</v>
      </c>
      <c r="D485" s="40" t="s">
        <v>118</v>
      </c>
      <c r="E485" s="40" t="s">
        <v>134</v>
      </c>
      <c r="F485" s="2"/>
      <c r="G485" s="10">
        <f>'пр.6.1.ведом.22-23'!G365</f>
        <v>8506.2000000000007</v>
      </c>
      <c r="H485" s="10">
        <f>'пр.6.1.ведом.22-23'!H365</f>
        <v>8506.2000000000007</v>
      </c>
    </row>
    <row r="486" spans="1:8" ht="47.25" x14ac:dyDescent="0.25">
      <c r="A486" s="45" t="s">
        <v>261</v>
      </c>
      <c r="B486" s="20" t="s">
        <v>1205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1205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1205</v>
      </c>
      <c r="C488" s="40" t="s">
        <v>299</v>
      </c>
      <c r="D488" s="40" t="s">
        <v>118</v>
      </c>
      <c r="E488" s="40" t="s">
        <v>138</v>
      </c>
      <c r="F488" s="2"/>
      <c r="G488" s="10">
        <f>'пр.6.1.ведом.22-23'!G367</f>
        <v>63</v>
      </c>
      <c r="H488" s="10">
        <f>'пр.6.1.ведом.22-23'!H367</f>
        <v>63</v>
      </c>
    </row>
    <row r="489" spans="1:8" ht="47.25" x14ac:dyDescent="0.25">
      <c r="A489" s="45" t="s">
        <v>261</v>
      </c>
      <c r="B489" s="20" t="s">
        <v>1205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200" customFormat="1" ht="15.75" x14ac:dyDescent="0.25">
      <c r="A490" s="25" t="s">
        <v>582</v>
      </c>
      <c r="B490" s="20" t="s">
        <v>1204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0" customFormat="1" ht="15.75" x14ac:dyDescent="0.25">
      <c r="A491" s="25" t="s">
        <v>583</v>
      </c>
      <c r="B491" s="20" t="s">
        <v>1204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200" customFormat="1" ht="31.5" x14ac:dyDescent="0.25">
      <c r="A492" s="25" t="s">
        <v>800</v>
      </c>
      <c r="B492" s="20" t="s">
        <v>1205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0" customFormat="1" ht="94.5" x14ac:dyDescent="0.25">
      <c r="A493" s="25" t="s">
        <v>127</v>
      </c>
      <c r="B493" s="20" t="s">
        <v>1205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200" customFormat="1" ht="31.5" x14ac:dyDescent="0.25">
      <c r="A494" s="25" t="s">
        <v>208</v>
      </c>
      <c r="B494" s="20" t="s">
        <v>1205</v>
      </c>
      <c r="C494" s="40" t="s">
        <v>238</v>
      </c>
      <c r="D494" s="40" t="s">
        <v>213</v>
      </c>
      <c r="E494" s="40" t="s">
        <v>209</v>
      </c>
      <c r="F494" s="2"/>
      <c r="G494" s="10">
        <f>'пр.6.1.ведом.22-23'!G474</f>
        <v>4897.2</v>
      </c>
      <c r="H494" s="10">
        <f>'пр.6.1.ведом.22-23'!H474</f>
        <v>4897.2</v>
      </c>
    </row>
    <row r="495" spans="1:8" s="200" customFormat="1" ht="47.25" x14ac:dyDescent="0.25">
      <c r="A495" s="45" t="s">
        <v>261</v>
      </c>
      <c r="B495" s="20" t="s">
        <v>1205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200" customFormat="1" ht="31.5" x14ac:dyDescent="0.25">
      <c r="A496" s="25" t="s">
        <v>131</v>
      </c>
      <c r="B496" s="20" t="s">
        <v>1205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200" customFormat="1" ht="47.25" x14ac:dyDescent="0.25">
      <c r="A497" s="25" t="s">
        <v>133</v>
      </c>
      <c r="B497" s="20" t="s">
        <v>1205</v>
      </c>
      <c r="C497" s="40" t="s">
        <v>238</v>
      </c>
      <c r="D497" s="40" t="s">
        <v>213</v>
      </c>
      <c r="E497" s="40" t="s">
        <v>134</v>
      </c>
      <c r="F497" s="2"/>
      <c r="G497" s="10">
        <f>'пр.6.1.ведом.22-23'!G476</f>
        <v>595.1</v>
      </c>
      <c r="H497" s="10">
        <f>'пр.6.1.ведом.22-23'!H476</f>
        <v>595.1</v>
      </c>
    </row>
    <row r="498" spans="1:8" s="200" customFormat="1" ht="47.25" x14ac:dyDescent="0.25">
      <c r="A498" s="45" t="s">
        <v>261</v>
      </c>
      <c r="B498" s="20" t="s">
        <v>1205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200" customFormat="1" ht="15.75" x14ac:dyDescent="0.25">
      <c r="A499" s="25" t="s">
        <v>135</v>
      </c>
      <c r="B499" s="20" t="s">
        <v>1205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200" customFormat="1" ht="15.75" x14ac:dyDescent="0.25">
      <c r="A500" s="25" t="s">
        <v>137</v>
      </c>
      <c r="B500" s="20" t="s">
        <v>1205</v>
      </c>
      <c r="C500" s="40" t="s">
        <v>238</v>
      </c>
      <c r="D500" s="40" t="s">
        <v>213</v>
      </c>
      <c r="E500" s="40" t="s">
        <v>138</v>
      </c>
      <c r="F500" s="2"/>
      <c r="G500" s="10">
        <f>'пр.6.1.ведом.22-23'!G478</f>
        <v>30</v>
      </c>
      <c r="H500" s="10">
        <f>'пр.6.1.ведом.22-23'!H478</f>
        <v>30</v>
      </c>
    </row>
    <row r="501" spans="1:8" s="200" customFormat="1" ht="47.25" x14ac:dyDescent="0.25">
      <c r="A501" s="45" t="s">
        <v>261</v>
      </c>
      <c r="B501" s="20" t="s">
        <v>1205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2" t="s">
        <v>1327</v>
      </c>
      <c r="B502" s="24" t="s">
        <v>1206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0" customFormat="1" ht="15.75" x14ac:dyDescent="0.25">
      <c r="A503" s="25" t="s">
        <v>263</v>
      </c>
      <c r="B503" s="20" t="s">
        <v>1206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0" customFormat="1" ht="15.75" x14ac:dyDescent="0.25">
      <c r="A504" s="25" t="s">
        <v>265</v>
      </c>
      <c r="B504" s="20" t="s">
        <v>1206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200" customFormat="1" ht="31.5" x14ac:dyDescent="0.25">
      <c r="A505" s="194" t="s">
        <v>799</v>
      </c>
      <c r="B505" s="20" t="s">
        <v>1207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0" customFormat="1" ht="31.5" x14ac:dyDescent="0.25">
      <c r="A506" s="25" t="s">
        <v>248</v>
      </c>
      <c r="B506" s="20" t="s">
        <v>1207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200" customFormat="1" ht="15.75" x14ac:dyDescent="0.25">
      <c r="A507" s="25" t="s">
        <v>820</v>
      </c>
      <c r="B507" s="20" t="s">
        <v>1207</v>
      </c>
      <c r="C507" s="40" t="s">
        <v>264</v>
      </c>
      <c r="D507" s="40" t="s">
        <v>215</v>
      </c>
      <c r="E507" s="20" t="s">
        <v>819</v>
      </c>
      <c r="F507" s="2"/>
      <c r="G507" s="10">
        <f>'пр.6.1.ведом.22-23'!G307</f>
        <v>45</v>
      </c>
      <c r="H507" s="10">
        <f>'пр.6.1.ведом.22-23'!H307</f>
        <v>45</v>
      </c>
    </row>
    <row r="508" spans="1:8" s="200" customFormat="1" ht="47.25" x14ac:dyDescent="0.25">
      <c r="A508" s="45" t="s">
        <v>261</v>
      </c>
      <c r="B508" s="20" t="s">
        <v>1207</v>
      </c>
      <c r="C508" s="40" t="s">
        <v>264</v>
      </c>
      <c r="D508" s="40" t="s">
        <v>215</v>
      </c>
      <c r="E508" s="20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s="200" customFormat="1" ht="47.25" x14ac:dyDescent="0.25">
      <c r="A509" s="31" t="s">
        <v>816</v>
      </c>
      <c r="B509" s="20" t="s">
        <v>1208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200" customFormat="1" ht="94.5" x14ac:dyDescent="0.25">
      <c r="A510" s="25" t="s">
        <v>127</v>
      </c>
      <c r="B510" s="20" t="s">
        <v>1208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200" customFormat="1" ht="31.5" x14ac:dyDescent="0.25">
      <c r="A511" s="46" t="s">
        <v>342</v>
      </c>
      <c r="B511" s="20" t="s">
        <v>1208</v>
      </c>
      <c r="C511" s="40" t="s">
        <v>264</v>
      </c>
      <c r="D511" s="40" t="s">
        <v>215</v>
      </c>
      <c r="E511" s="20" t="s">
        <v>209</v>
      </c>
      <c r="F511" s="2"/>
      <c r="G511" s="10">
        <f>'пр.6.1.ведом.22-23'!G310</f>
        <v>1250</v>
      </c>
      <c r="H511" s="10">
        <f>'пр.6.1.ведом.22-23'!H310</f>
        <v>1250</v>
      </c>
    </row>
    <row r="512" spans="1:8" s="200" customFormat="1" ht="47.25" x14ac:dyDescent="0.25">
      <c r="A512" s="45" t="s">
        <v>261</v>
      </c>
      <c r="B512" s="20" t="s">
        <v>1208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200" customFormat="1" ht="31.5" hidden="1" x14ac:dyDescent="0.25">
      <c r="A513" s="25" t="s">
        <v>131</v>
      </c>
      <c r="B513" s="20" t="s">
        <v>1208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200" customFormat="1" ht="47.25" hidden="1" x14ac:dyDescent="0.25">
      <c r="A514" s="25" t="s">
        <v>133</v>
      </c>
      <c r="B514" s="20" t="s">
        <v>1208</v>
      </c>
      <c r="C514" s="40" t="s">
        <v>264</v>
      </c>
      <c r="D514" s="40" t="s">
        <v>215</v>
      </c>
      <c r="E514" s="20" t="s">
        <v>134</v>
      </c>
      <c r="F514" s="2"/>
      <c r="G514" s="10">
        <f>'пр.6.1.ведом.22-23'!G312</f>
        <v>0</v>
      </c>
      <c r="H514" s="10">
        <f>'пр.6.1.ведом.22-23'!H312</f>
        <v>0</v>
      </c>
    </row>
    <row r="515" spans="1:8" s="200" customFormat="1" ht="47.25" hidden="1" x14ac:dyDescent="0.25">
      <c r="A515" s="45" t="s">
        <v>261</v>
      </c>
      <c r="B515" s="20" t="s">
        <v>1208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1206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1206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816</v>
      </c>
      <c r="B518" s="20" t="s">
        <v>1208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1208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1208</v>
      </c>
      <c r="C520" s="40" t="s">
        <v>299</v>
      </c>
      <c r="D520" s="40" t="s">
        <v>118</v>
      </c>
      <c r="E520" s="40" t="s">
        <v>209</v>
      </c>
      <c r="F520" s="2"/>
      <c r="G520" s="10">
        <f>'пр.6.1.ведом.22-23'!G371</f>
        <v>0</v>
      </c>
      <c r="H520" s="10">
        <f>'пр.6.1.ведом.22-23'!H371</f>
        <v>0</v>
      </c>
    </row>
    <row r="521" spans="1:8" ht="47.25" hidden="1" x14ac:dyDescent="0.25">
      <c r="A521" s="45" t="s">
        <v>261</v>
      </c>
      <c r="B521" s="20" t="s">
        <v>1208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1208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1208</v>
      </c>
      <c r="C523" s="40" t="s">
        <v>299</v>
      </c>
      <c r="D523" s="40" t="s">
        <v>118</v>
      </c>
      <c r="E523" s="40" t="s">
        <v>134</v>
      </c>
      <c r="F523" s="2"/>
      <c r="G523" s="10">
        <f>'пр.6.1.ведом.22-23'!G373</f>
        <v>1380</v>
      </c>
      <c r="H523" s="10">
        <f>'пр.6.1.ведом.22-23'!H373</f>
        <v>1380</v>
      </c>
    </row>
    <row r="524" spans="1:8" ht="47.25" x14ac:dyDescent="0.25">
      <c r="A524" s="45" t="s">
        <v>261</v>
      </c>
      <c r="B524" s="20" t="s">
        <v>1208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947</v>
      </c>
      <c r="B525" s="24" t="s">
        <v>1209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0" customFormat="1" ht="15.75" x14ac:dyDescent="0.25">
      <c r="A526" s="25" t="s">
        <v>263</v>
      </c>
      <c r="B526" s="20" t="s">
        <v>1209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0" customFormat="1" ht="15.75" x14ac:dyDescent="0.25">
      <c r="A527" s="25" t="s">
        <v>265</v>
      </c>
      <c r="B527" s="20" t="s">
        <v>1209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0" customFormat="1" ht="47.25" x14ac:dyDescent="0.25">
      <c r="A528" s="25" t="s">
        <v>839</v>
      </c>
      <c r="B528" s="20" t="s">
        <v>1210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0" customFormat="1" ht="94.5" x14ac:dyDescent="0.25">
      <c r="A529" s="25" t="s">
        <v>127</v>
      </c>
      <c r="B529" s="20" t="s">
        <v>1210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200" customFormat="1" ht="31.5" x14ac:dyDescent="0.25">
      <c r="A530" s="25" t="s">
        <v>129</v>
      </c>
      <c r="B530" s="20" t="s">
        <v>1210</v>
      </c>
      <c r="C530" s="40" t="s">
        <v>264</v>
      </c>
      <c r="D530" s="40" t="s">
        <v>215</v>
      </c>
      <c r="E530" s="20" t="s">
        <v>209</v>
      </c>
      <c r="F530" s="2"/>
      <c r="G530" s="10">
        <f>'пр.6.1.ведом.22-23'!G316</f>
        <v>506</v>
      </c>
      <c r="H530" s="10">
        <f>'пр.6.1.ведом.22-23'!H316</f>
        <v>506</v>
      </c>
    </row>
    <row r="531" spans="1:8" s="200" customFormat="1" ht="47.25" x14ac:dyDescent="0.25">
      <c r="A531" s="45" t="s">
        <v>261</v>
      </c>
      <c r="B531" s="20" t="s">
        <v>1210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1209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1209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839</v>
      </c>
      <c r="B534" s="20" t="s">
        <v>1210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1210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1210</v>
      </c>
      <c r="C536" s="40" t="s">
        <v>299</v>
      </c>
      <c r="D536" s="40" t="s">
        <v>118</v>
      </c>
      <c r="E536" s="40" t="s">
        <v>209</v>
      </c>
      <c r="F536" s="2"/>
      <c r="G536" s="10">
        <f>'пр.6.1.ведом.22-23'!G377</f>
        <v>875</v>
      </c>
      <c r="H536" s="10">
        <f>'пр.6.1.ведом.22-23'!H377</f>
        <v>875</v>
      </c>
    </row>
    <row r="537" spans="1:8" ht="47.25" x14ac:dyDescent="0.25">
      <c r="A537" s="45" t="s">
        <v>261</v>
      </c>
      <c r="B537" s="20" t="s">
        <v>1210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200" customFormat="1" ht="15.75" x14ac:dyDescent="0.25">
      <c r="A538" s="68" t="s">
        <v>582</v>
      </c>
      <c r="B538" s="20" t="s">
        <v>1209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0" customFormat="1" ht="15.75" x14ac:dyDescent="0.25">
      <c r="A539" s="25" t="s">
        <v>583</v>
      </c>
      <c r="B539" s="20" t="s">
        <v>1209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0" customFormat="1" ht="47.25" x14ac:dyDescent="0.25">
      <c r="A540" s="25" t="s">
        <v>839</v>
      </c>
      <c r="B540" s="20" t="s">
        <v>1210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0" customFormat="1" ht="94.5" x14ac:dyDescent="0.25">
      <c r="A541" s="25" t="s">
        <v>127</v>
      </c>
      <c r="B541" s="20" t="s">
        <v>1210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200" customFormat="1" ht="31.5" x14ac:dyDescent="0.25">
      <c r="A542" s="25" t="s">
        <v>129</v>
      </c>
      <c r="B542" s="20" t="s">
        <v>1210</v>
      </c>
      <c r="C542" s="40" t="s">
        <v>238</v>
      </c>
      <c r="D542" s="40" t="s">
        <v>213</v>
      </c>
      <c r="E542" s="40" t="s">
        <v>209</v>
      </c>
      <c r="F542" s="2"/>
      <c r="G542" s="10">
        <f>'пр.6.1.ведом.22-23'!G482</f>
        <v>276</v>
      </c>
      <c r="H542" s="10">
        <f>'пр.6.1.ведом.22-23'!H482</f>
        <v>276</v>
      </c>
    </row>
    <row r="543" spans="1:8" s="200" customFormat="1" ht="47.25" x14ac:dyDescent="0.25">
      <c r="A543" s="45" t="s">
        <v>261</v>
      </c>
      <c r="B543" s="20" t="s">
        <v>1210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3" t="s">
        <v>900</v>
      </c>
      <c r="B544" s="24" t="s">
        <v>1211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0" customFormat="1" ht="15.75" x14ac:dyDescent="0.25">
      <c r="A545" s="25" t="s">
        <v>263</v>
      </c>
      <c r="B545" s="20" t="s">
        <v>1211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0" customFormat="1" ht="15.75" x14ac:dyDescent="0.25">
      <c r="A546" s="25" t="s">
        <v>265</v>
      </c>
      <c r="B546" s="20" t="s">
        <v>1211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0" customFormat="1" ht="110.25" x14ac:dyDescent="0.25">
      <c r="A547" s="31" t="s">
        <v>293</v>
      </c>
      <c r="B547" s="20" t="s">
        <v>1406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200" customFormat="1" ht="94.5" x14ac:dyDescent="0.25">
      <c r="A548" s="25" t="s">
        <v>127</v>
      </c>
      <c r="B548" s="20" t="s">
        <v>1406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200" customFormat="1" ht="31.5" x14ac:dyDescent="0.25">
      <c r="A549" s="46" t="s">
        <v>342</v>
      </c>
      <c r="B549" s="20" t="s">
        <v>1406</v>
      </c>
      <c r="C549" s="40" t="s">
        <v>264</v>
      </c>
      <c r="D549" s="40" t="s">
        <v>215</v>
      </c>
      <c r="E549" s="20" t="s">
        <v>209</v>
      </c>
      <c r="F549" s="2"/>
      <c r="G549" s="10">
        <f>'пр.6.1.ведом.22-23'!G320</f>
        <v>671</v>
      </c>
      <c r="H549" s="10">
        <f>'пр.6.1.ведом.22-23'!H320</f>
        <v>671</v>
      </c>
    </row>
    <row r="550" spans="1:8" s="200" customFormat="1" ht="47.25" x14ac:dyDescent="0.25">
      <c r="A550" s="45" t="s">
        <v>261</v>
      </c>
      <c r="B550" s="20" t="s">
        <v>1406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200" customFormat="1" ht="78.75" x14ac:dyDescent="0.25">
      <c r="A551" s="31" t="s">
        <v>289</v>
      </c>
      <c r="B551" s="20" t="s">
        <v>1212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200" customFormat="1" ht="94.5" x14ac:dyDescent="0.25">
      <c r="A552" s="25" t="s">
        <v>127</v>
      </c>
      <c r="B552" s="20" t="s">
        <v>1212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200" customFormat="1" ht="31.5" x14ac:dyDescent="0.25">
      <c r="A553" s="46" t="s">
        <v>342</v>
      </c>
      <c r="B553" s="20" t="s">
        <v>1212</v>
      </c>
      <c r="C553" s="40" t="s">
        <v>264</v>
      </c>
      <c r="D553" s="40" t="s">
        <v>215</v>
      </c>
      <c r="E553" s="20" t="s">
        <v>209</v>
      </c>
      <c r="F553" s="2"/>
      <c r="G553" s="10">
        <f>'пр.6.1.ведом.22-23'!G323</f>
        <v>106</v>
      </c>
      <c r="H553" s="10">
        <f>'пр.6.1.ведом.22-23'!H323</f>
        <v>106</v>
      </c>
    </row>
    <row r="554" spans="1:8" s="200" customFormat="1" ht="47.25" x14ac:dyDescent="0.25">
      <c r="A554" s="45" t="s">
        <v>261</v>
      </c>
      <c r="B554" s="20" t="s">
        <v>1212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200" customFormat="1" ht="94.5" x14ac:dyDescent="0.25">
      <c r="A555" s="31" t="s">
        <v>291</v>
      </c>
      <c r="B555" s="20" t="s">
        <v>1213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0" customFormat="1" ht="94.5" x14ac:dyDescent="0.25">
      <c r="A556" s="25" t="s">
        <v>127</v>
      </c>
      <c r="B556" s="20" t="s">
        <v>1213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200" customFormat="1" ht="31.5" x14ac:dyDescent="0.25">
      <c r="A557" s="46" t="s">
        <v>342</v>
      </c>
      <c r="B557" s="20" t="s">
        <v>1213</v>
      </c>
      <c r="C557" s="40" t="s">
        <v>264</v>
      </c>
      <c r="D557" s="40" t="s">
        <v>215</v>
      </c>
      <c r="E557" s="20" t="s">
        <v>209</v>
      </c>
      <c r="F557" s="2"/>
      <c r="G557" s="10">
        <f>'пр.6.1.ведом.22-23'!G326</f>
        <v>298.39999999999998</v>
      </c>
      <c r="H557" s="10">
        <f>'пр.6.1.ведом.22-23'!H326</f>
        <v>298.39999999999998</v>
      </c>
    </row>
    <row r="558" spans="1:8" s="200" customFormat="1" ht="47.25" x14ac:dyDescent="0.25">
      <c r="A558" s="45" t="s">
        <v>261</v>
      </c>
      <c r="B558" s="20" t="s">
        <v>1213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1211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1211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200" customFormat="1" ht="110.25" x14ac:dyDescent="0.25">
      <c r="A561" s="31" t="s">
        <v>293</v>
      </c>
      <c r="B561" s="20" t="s">
        <v>1406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200" customFormat="1" ht="94.5" x14ac:dyDescent="0.25">
      <c r="A562" s="25" t="s">
        <v>127</v>
      </c>
      <c r="B562" s="20" t="s">
        <v>1406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200" customFormat="1" ht="31.5" x14ac:dyDescent="0.25">
      <c r="A563" s="25" t="s">
        <v>208</v>
      </c>
      <c r="B563" s="20" t="s">
        <v>1406</v>
      </c>
      <c r="C563" s="40" t="s">
        <v>299</v>
      </c>
      <c r="D563" s="40" t="s">
        <v>118</v>
      </c>
      <c r="E563" s="40" t="s">
        <v>209</v>
      </c>
      <c r="F563" s="2"/>
      <c r="G563" s="10">
        <f>'пр.6.1.ведом.22-23'!G381</f>
        <v>2100.6</v>
      </c>
      <c r="H563" s="10">
        <f>'пр.6.1.ведом.22-23'!H381</f>
        <v>2100.6</v>
      </c>
    </row>
    <row r="564" spans="1:8" s="200" customFormat="1" ht="47.25" x14ac:dyDescent="0.25">
      <c r="A564" s="45" t="s">
        <v>261</v>
      </c>
      <c r="B564" s="20" t="s">
        <v>1406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200" customFormat="1" ht="94.5" x14ac:dyDescent="0.25">
      <c r="A565" s="25" t="s">
        <v>331</v>
      </c>
      <c r="B565" s="20" t="s">
        <v>1292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200" customFormat="1" ht="94.5" x14ac:dyDescent="0.25">
      <c r="A566" s="25" t="s">
        <v>127</v>
      </c>
      <c r="B566" s="20" t="s">
        <v>1292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200" customFormat="1" ht="31.5" x14ac:dyDescent="0.25">
      <c r="A567" s="25" t="s">
        <v>208</v>
      </c>
      <c r="B567" s="20" t="s">
        <v>1292</v>
      </c>
      <c r="C567" s="20" t="s">
        <v>299</v>
      </c>
      <c r="D567" s="20" t="s">
        <v>118</v>
      </c>
      <c r="E567" s="20" t="s">
        <v>209</v>
      </c>
      <c r="F567" s="20"/>
      <c r="G567" s="10">
        <f>'пр.6.1.ведом.22-23'!G384</f>
        <v>341.4</v>
      </c>
      <c r="H567" s="10">
        <f>'пр.6.1.ведом.22-23'!H384</f>
        <v>341.4</v>
      </c>
    </row>
    <row r="568" spans="1:8" s="200" customFormat="1" ht="47.25" x14ac:dyDescent="0.25">
      <c r="A568" s="45" t="s">
        <v>261</v>
      </c>
      <c r="B568" s="20" t="s">
        <v>1292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200" customFormat="1" ht="47.25" x14ac:dyDescent="0.25">
      <c r="A569" s="23" t="s">
        <v>902</v>
      </c>
      <c r="B569" s="24" t="s">
        <v>1216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0" customFormat="1" ht="15.75" x14ac:dyDescent="0.25">
      <c r="A570" s="73" t="s">
        <v>298</v>
      </c>
      <c r="B570" s="20" t="s">
        <v>1216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0" customFormat="1" ht="15.75" x14ac:dyDescent="0.25">
      <c r="A571" s="73" t="s">
        <v>300</v>
      </c>
      <c r="B571" s="20" t="s">
        <v>1216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0" customFormat="1" ht="31.5" x14ac:dyDescent="0.25">
      <c r="A572" s="25" t="s">
        <v>821</v>
      </c>
      <c r="B572" s="20" t="s">
        <v>1217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0" customFormat="1" ht="31.5" x14ac:dyDescent="0.25">
      <c r="A573" s="25" t="s">
        <v>131</v>
      </c>
      <c r="B573" s="20" t="s">
        <v>1217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200" customFormat="1" ht="47.25" x14ac:dyDescent="0.25">
      <c r="A574" s="25" t="s">
        <v>133</v>
      </c>
      <c r="B574" s="20" t="s">
        <v>1217</v>
      </c>
      <c r="C574" s="40" t="s">
        <v>299</v>
      </c>
      <c r="D574" s="40" t="s">
        <v>118</v>
      </c>
      <c r="E574" s="40" t="s">
        <v>134</v>
      </c>
      <c r="F574" s="2"/>
      <c r="G574" s="10">
        <f>'пр.6.1.ведом.22-23'!G388</f>
        <v>50</v>
      </c>
      <c r="H574" s="10">
        <f>'пр.6.1.ведом.22-23'!H388</f>
        <v>50</v>
      </c>
    </row>
    <row r="575" spans="1:8" s="200" customFormat="1" ht="47.25" x14ac:dyDescent="0.25">
      <c r="A575" s="45" t="s">
        <v>261</v>
      </c>
      <c r="B575" s="20" t="s">
        <v>1217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200" customFormat="1" ht="31.5" x14ac:dyDescent="0.25">
      <c r="A576" s="23" t="s">
        <v>1010</v>
      </c>
      <c r="B576" s="24" t="s">
        <v>1218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0" customFormat="1" ht="15.75" x14ac:dyDescent="0.25">
      <c r="A577" s="68" t="s">
        <v>298</v>
      </c>
      <c r="B577" s="20" t="s">
        <v>1218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0" customFormat="1" ht="15.75" x14ac:dyDescent="0.25">
      <c r="A578" s="68" t="s">
        <v>300</v>
      </c>
      <c r="B578" s="20" t="s">
        <v>1218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0" customFormat="1" ht="47.25" x14ac:dyDescent="0.25">
      <c r="A579" s="25" t="s">
        <v>1489</v>
      </c>
      <c r="B579" s="20" t="s">
        <v>1219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0" customFormat="1" ht="31.5" x14ac:dyDescent="0.25">
      <c r="A580" s="25" t="s">
        <v>131</v>
      </c>
      <c r="B580" s="20" t="s">
        <v>1219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200" customFormat="1" ht="47.25" x14ac:dyDescent="0.25">
      <c r="A581" s="25" t="s">
        <v>133</v>
      </c>
      <c r="B581" s="20" t="s">
        <v>1219</v>
      </c>
      <c r="C581" s="40" t="s">
        <v>299</v>
      </c>
      <c r="D581" s="40" t="s">
        <v>118</v>
      </c>
      <c r="E581" s="40" t="s">
        <v>134</v>
      </c>
      <c r="F581" s="2"/>
      <c r="G581" s="10">
        <f>'пр.6.1.ведом.22-23'!G392</f>
        <v>68.7</v>
      </c>
      <c r="H581" s="10">
        <f>'пр.6.1.ведом.22-23'!H392</f>
        <v>68.7</v>
      </c>
    </row>
    <row r="582" spans="1:8" s="200" customFormat="1" ht="47.25" x14ac:dyDescent="0.25">
      <c r="A582" s="45" t="s">
        <v>261</v>
      </c>
      <c r="B582" s="20" t="s">
        <v>1219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200" customFormat="1" ht="36" customHeight="1" x14ac:dyDescent="0.25">
      <c r="A583" s="255" t="s">
        <v>1180</v>
      </c>
      <c r="B583" s="24" t="s">
        <v>1214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1500</v>
      </c>
    </row>
    <row r="584" spans="1:8" s="200" customFormat="1" ht="15.75" x14ac:dyDescent="0.25">
      <c r="A584" s="68" t="s">
        <v>298</v>
      </c>
      <c r="B584" s="20" t="s">
        <v>1214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1500</v>
      </c>
    </row>
    <row r="585" spans="1:8" s="200" customFormat="1" ht="15.75" x14ac:dyDescent="0.25">
      <c r="A585" s="68" t="s">
        <v>300</v>
      </c>
      <c r="B585" s="20" t="s">
        <v>1214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1500</v>
      </c>
    </row>
    <row r="586" spans="1:8" s="200" customFormat="1" ht="31.5" x14ac:dyDescent="0.25">
      <c r="A586" s="98" t="s">
        <v>1187</v>
      </c>
      <c r="B586" s="20" t="s">
        <v>1215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1500</v>
      </c>
    </row>
    <row r="587" spans="1:8" s="200" customFormat="1" ht="31.5" x14ac:dyDescent="0.25">
      <c r="A587" s="25" t="s">
        <v>131</v>
      </c>
      <c r="B587" s="20" t="s">
        <v>1215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1500</v>
      </c>
    </row>
    <row r="588" spans="1:8" s="200" customFormat="1" ht="47.25" x14ac:dyDescent="0.25">
      <c r="A588" s="25" t="s">
        <v>133</v>
      </c>
      <c r="B588" s="20" t="s">
        <v>1215</v>
      </c>
      <c r="C588" s="40" t="s">
        <v>299</v>
      </c>
      <c r="D588" s="40" t="s">
        <v>118</v>
      </c>
      <c r="E588" s="40" t="s">
        <v>134</v>
      </c>
      <c r="F588" s="2"/>
      <c r="G588" s="10">
        <f>'пр.6.1.ведом.22-23'!G396</f>
        <v>300</v>
      </c>
      <c r="H588" s="10">
        <f>'пр.6.1.ведом.22-23'!H396</f>
        <v>1500</v>
      </c>
    </row>
    <row r="589" spans="1:8" s="200" customFormat="1" ht="47.25" x14ac:dyDescent="0.25">
      <c r="A589" s="45" t="s">
        <v>261</v>
      </c>
      <c r="B589" s="20" t="s">
        <v>1215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1" t="s">
        <v>1220</v>
      </c>
      <c r="B590" s="272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72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72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81"/>
      <c r="B593" s="272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72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72"/>
      <c r="C595" s="20" t="s">
        <v>299</v>
      </c>
      <c r="D595" s="20" t="s">
        <v>118</v>
      </c>
      <c r="E595" s="40" t="s">
        <v>134</v>
      </c>
      <c r="F595" s="2"/>
      <c r="G595" s="10">
        <f>'пр.6.1.ведом.22-23'!G400</f>
        <v>0</v>
      </c>
      <c r="H595" s="10">
        <f>'пр.6.1.ведом.22-23'!H400</f>
        <v>0</v>
      </c>
    </row>
    <row r="596" spans="1:8" ht="47.25" hidden="1" x14ac:dyDescent="0.25">
      <c r="A596" s="45" t="s">
        <v>1316</v>
      </c>
      <c r="B596" s="272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1360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0" customFormat="1" ht="15.75" x14ac:dyDescent="0.25">
      <c r="A599" s="31" t="s">
        <v>117</v>
      </c>
      <c r="B599" s="40" t="s">
        <v>934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0" customFormat="1" ht="15.75" x14ac:dyDescent="0.25">
      <c r="A600" s="31" t="s">
        <v>139</v>
      </c>
      <c r="B600" s="40" t="s">
        <v>934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0" customFormat="1" ht="47.25" x14ac:dyDescent="0.25">
      <c r="A601" s="31" t="s">
        <v>1081</v>
      </c>
      <c r="B601" s="20" t="s">
        <v>1026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0" customFormat="1" ht="31.5" x14ac:dyDescent="0.25">
      <c r="A602" s="25" t="s">
        <v>131</v>
      </c>
      <c r="B602" s="20" t="s">
        <v>1026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0" customFormat="1" ht="47.25" x14ac:dyDescent="0.25">
      <c r="A603" s="25" t="s">
        <v>133</v>
      </c>
      <c r="B603" s="20" t="s">
        <v>1026</v>
      </c>
      <c r="C603" s="40" t="s">
        <v>118</v>
      </c>
      <c r="D603" s="40" t="s">
        <v>140</v>
      </c>
      <c r="E603" s="2">
        <v>240</v>
      </c>
      <c r="F603" s="72"/>
      <c r="G603" s="10">
        <f>'пр.6.1.ведом.22-23'!G145</f>
        <v>12</v>
      </c>
      <c r="H603" s="10">
        <f>'пр.6.1.ведом.22-23'!H145</f>
        <v>40</v>
      </c>
    </row>
    <row r="604" spans="1:8" s="200" customFormat="1" ht="47.25" x14ac:dyDescent="0.25">
      <c r="A604" s="45" t="s">
        <v>623</v>
      </c>
      <c r="B604" s="20" t="s">
        <v>1026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934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934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1081</v>
      </c>
      <c r="B607" s="20" t="s">
        <v>1026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1026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1026</v>
      </c>
      <c r="C609" s="40" t="s">
        <v>234</v>
      </c>
      <c r="D609" s="40" t="s">
        <v>234</v>
      </c>
      <c r="E609" s="2">
        <v>240</v>
      </c>
      <c r="F609" s="72"/>
      <c r="G609" s="10">
        <f>'пр.6.1.ведом.22-23'!G1037</f>
        <v>0</v>
      </c>
      <c r="H609" s="10">
        <f>'пр.6.1.ведом.22-23'!H1037</f>
        <v>0</v>
      </c>
    </row>
    <row r="610" spans="1:8" ht="47.25" hidden="1" x14ac:dyDescent="0.25">
      <c r="A610" s="45" t="s">
        <v>623</v>
      </c>
      <c r="B610" s="20" t="s">
        <v>1026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934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934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1082</v>
      </c>
      <c r="B613" s="20" t="s">
        <v>935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935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935</v>
      </c>
      <c r="C615" s="40" t="s">
        <v>264</v>
      </c>
      <c r="D615" s="40" t="s">
        <v>118</v>
      </c>
      <c r="E615" s="40" t="s">
        <v>275</v>
      </c>
      <c r="F615" s="72"/>
      <c r="G615" s="10">
        <f>'пр.6.1.ведом.22-23'!G603</f>
        <v>80</v>
      </c>
      <c r="H615" s="10">
        <f>'пр.6.1.ведом.22-23'!H603</f>
        <v>25</v>
      </c>
    </row>
    <row r="616" spans="1:8" ht="31.5" x14ac:dyDescent="0.25">
      <c r="A616" s="31" t="s">
        <v>403</v>
      </c>
      <c r="B616" s="20" t="s">
        <v>935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934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1082</v>
      </c>
      <c r="B618" s="20" t="s">
        <v>935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935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935</v>
      </c>
      <c r="C620" s="40" t="s">
        <v>264</v>
      </c>
      <c r="D620" s="40" t="s">
        <v>213</v>
      </c>
      <c r="E620" s="40" t="s">
        <v>275</v>
      </c>
      <c r="F620" s="72"/>
      <c r="G620" s="10">
        <f>'пр.6.1.ведом.22-23'!G685</f>
        <v>60</v>
      </c>
      <c r="H620" s="10">
        <f>'пр.6.1.ведом.22-23'!H685</f>
        <v>70</v>
      </c>
    </row>
    <row r="621" spans="1:8" ht="31.5" x14ac:dyDescent="0.25">
      <c r="A621" s="31" t="s">
        <v>403</v>
      </c>
      <c r="B621" s="20" t="s">
        <v>935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200" customFormat="1" ht="15.75" x14ac:dyDescent="0.25">
      <c r="A622" s="29" t="s">
        <v>265</v>
      </c>
      <c r="B622" s="40" t="s">
        <v>934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0" customFormat="1" ht="47.25" x14ac:dyDescent="0.25">
      <c r="A623" s="31" t="s">
        <v>1081</v>
      </c>
      <c r="B623" s="20" t="s">
        <v>1026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0" customFormat="1" ht="47.25" x14ac:dyDescent="0.25">
      <c r="A624" s="31" t="s">
        <v>272</v>
      </c>
      <c r="B624" s="20" t="s">
        <v>1026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200" customFormat="1" ht="15.75" x14ac:dyDescent="0.25">
      <c r="A625" s="31" t="s">
        <v>274</v>
      </c>
      <c r="B625" s="20" t="s">
        <v>1026</v>
      </c>
      <c r="C625" s="40" t="s">
        <v>264</v>
      </c>
      <c r="D625" s="40" t="s">
        <v>215</v>
      </c>
      <c r="E625" s="40" t="s">
        <v>134</v>
      </c>
      <c r="F625" s="72"/>
      <c r="G625" s="10">
        <f>'пр.6.1.ведом.22-23'!G331</f>
        <v>6</v>
      </c>
      <c r="H625" s="10">
        <f>'пр.6.1.ведом.22-23'!H331</f>
        <v>0</v>
      </c>
    </row>
    <row r="626" spans="1:8" s="200" customFormat="1" ht="47.25" x14ac:dyDescent="0.25">
      <c r="A626" s="45" t="s">
        <v>261</v>
      </c>
      <c r="B626" s="20" t="s">
        <v>1026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934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934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1081</v>
      </c>
      <c r="B629" s="20" t="s">
        <v>1026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1026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1026</v>
      </c>
      <c r="C631" s="40" t="s">
        <v>299</v>
      </c>
      <c r="D631" s="40" t="s">
        <v>118</v>
      </c>
      <c r="E631" s="40" t="s">
        <v>134</v>
      </c>
      <c r="F631" s="2"/>
      <c r="G631" s="10">
        <f>'пр.6.1.ведом.22-23'!G405</f>
        <v>10</v>
      </c>
      <c r="H631" s="10">
        <f>'пр.6.1.ведом.22-23'!H405</f>
        <v>0</v>
      </c>
    </row>
    <row r="632" spans="1:8" ht="47.25" x14ac:dyDescent="0.25">
      <c r="A632" s="45" t="s">
        <v>261</v>
      </c>
      <c r="B632" s="20" t="s">
        <v>1026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200" customFormat="1" ht="31.5" x14ac:dyDescent="0.25">
      <c r="A633" s="31" t="s">
        <v>333</v>
      </c>
      <c r="B633" s="20" t="s">
        <v>934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0" customFormat="1" ht="52.35" customHeight="1" x14ac:dyDescent="0.25">
      <c r="A634" s="31" t="s">
        <v>1081</v>
      </c>
      <c r="B634" s="20" t="s">
        <v>1026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0" customFormat="1" ht="31.5" x14ac:dyDescent="0.25">
      <c r="A635" s="25" t="s">
        <v>131</v>
      </c>
      <c r="B635" s="20" t="s">
        <v>1026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200" customFormat="1" ht="47.25" x14ac:dyDescent="0.25">
      <c r="A636" s="25" t="s">
        <v>133</v>
      </c>
      <c r="B636" s="20" t="s">
        <v>1026</v>
      </c>
      <c r="C636" s="40" t="s">
        <v>299</v>
      </c>
      <c r="D636" s="40" t="s">
        <v>150</v>
      </c>
      <c r="E636" s="40" t="s">
        <v>134</v>
      </c>
      <c r="F636" s="2"/>
      <c r="G636" s="10">
        <f>'пр.6.1.ведом.22-23'!G444</f>
        <v>0</v>
      </c>
      <c r="H636" s="10">
        <f>'пр.6.1.ведом.22-23'!H444</f>
        <v>4</v>
      </c>
    </row>
    <row r="637" spans="1:8" s="200" customFormat="1" ht="47.25" x14ac:dyDescent="0.25">
      <c r="A637" s="45" t="s">
        <v>261</v>
      </c>
      <c r="B637" s="20" t="s">
        <v>1026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934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934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1082</v>
      </c>
      <c r="B640" s="40" t="s">
        <v>935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935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935</v>
      </c>
      <c r="C642" s="40" t="s">
        <v>491</v>
      </c>
      <c r="D642" s="40" t="s">
        <v>118</v>
      </c>
      <c r="E642" s="40" t="s">
        <v>275</v>
      </c>
      <c r="F642" s="73"/>
      <c r="G642" s="10">
        <f>'пр.6.1.ведом.22-23'!G797</f>
        <v>0</v>
      </c>
      <c r="H642" s="10">
        <f>'пр.6.1.ведом.22-23'!H797</f>
        <v>8</v>
      </c>
    </row>
    <row r="643" spans="1:8" ht="47.25" x14ac:dyDescent="0.25">
      <c r="A643" s="45" t="s">
        <v>480</v>
      </c>
      <c r="B643" s="40" t="s">
        <v>935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1365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1438</v>
      </c>
      <c r="B645" s="7" t="s">
        <v>1275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1275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1275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1434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1434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1434</v>
      </c>
      <c r="C650" s="40" t="s">
        <v>234</v>
      </c>
      <c r="D650" s="40" t="s">
        <v>215</v>
      </c>
      <c r="E650" s="2">
        <v>240</v>
      </c>
      <c r="F650" s="2"/>
      <c r="G650" s="10">
        <f>'пр.6.1.ведом.22-23'!G967</f>
        <v>365</v>
      </c>
      <c r="H650" s="10">
        <f>'пр.6.1.ведом.22-23'!H967</f>
        <v>365</v>
      </c>
    </row>
    <row r="651" spans="1:8" ht="47.25" x14ac:dyDescent="0.25">
      <c r="A651" s="45" t="s">
        <v>623</v>
      </c>
      <c r="B651" s="20" t="s">
        <v>1434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1422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1422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1422</v>
      </c>
      <c r="C654" s="40" t="s">
        <v>234</v>
      </c>
      <c r="D654" s="40" t="s">
        <v>215</v>
      </c>
      <c r="E654" s="2">
        <v>240</v>
      </c>
      <c r="F654" s="2"/>
      <c r="G654" s="10">
        <f>'пр.6.1.ведом.22-23'!G970</f>
        <v>1080</v>
      </c>
      <c r="H654" s="10">
        <f>'пр.6.1.ведом.22-23'!H970</f>
        <v>1188</v>
      </c>
    </row>
    <row r="655" spans="1:8" ht="47.25" x14ac:dyDescent="0.25">
      <c r="A655" s="45" t="s">
        <v>623</v>
      </c>
      <c r="B655" s="20" t="s">
        <v>1422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1422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836</v>
      </c>
      <c r="B657" s="20" t="s">
        <v>1422</v>
      </c>
      <c r="C657" s="40" t="s">
        <v>234</v>
      </c>
      <c r="D657" s="40" t="s">
        <v>215</v>
      </c>
      <c r="E657" s="2">
        <v>830</v>
      </c>
      <c r="F657" s="2"/>
      <c r="G657" s="10">
        <f>'пр.6.1.ведом.22-23'!G972</f>
        <v>0</v>
      </c>
      <c r="H657" s="10">
        <f>'пр.6.1.ведом.22-23'!H972</f>
        <v>0</v>
      </c>
    </row>
    <row r="658" spans="1:8" ht="47.25" hidden="1" x14ac:dyDescent="0.25">
      <c r="A658" s="45" t="s">
        <v>623</v>
      </c>
      <c r="B658" s="20" t="s">
        <v>1422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1422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1078</v>
      </c>
      <c r="B660" s="20" t="s">
        <v>1422</v>
      </c>
      <c r="C660" s="40" t="s">
        <v>234</v>
      </c>
      <c r="D660" s="40" t="s">
        <v>215</v>
      </c>
      <c r="E660" s="2">
        <v>850</v>
      </c>
      <c r="F660" s="2"/>
      <c r="G660" s="10">
        <f>'пр.6.1.ведом.22-23'!G973</f>
        <v>0</v>
      </c>
      <c r="H660" s="10">
        <f>'пр.6.1.ведом.22-23'!H973</f>
        <v>0</v>
      </c>
    </row>
    <row r="661" spans="1:8" ht="47.25" hidden="1" x14ac:dyDescent="0.25">
      <c r="A661" s="45" t="s">
        <v>623</v>
      </c>
      <c r="B661" s="20" t="s">
        <v>1422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1299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1299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1299</v>
      </c>
      <c r="C664" s="40" t="s">
        <v>234</v>
      </c>
      <c r="D664" s="40" t="s">
        <v>215</v>
      </c>
      <c r="E664" s="2">
        <v>240</v>
      </c>
      <c r="F664" s="2"/>
      <c r="G664" s="10">
        <f>'пр.6.1.ведом.22-23'!G976</f>
        <v>0</v>
      </c>
      <c r="H664" s="10">
        <f>'пр.6.1.ведом.22-23'!H976</f>
        <v>0</v>
      </c>
    </row>
    <row r="665" spans="1:8" ht="47.25" hidden="1" x14ac:dyDescent="0.25">
      <c r="A665" s="45" t="s">
        <v>623</v>
      </c>
      <c r="B665" s="20" t="s">
        <v>1299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1276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1276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1276</v>
      </c>
      <c r="C668" s="40" t="s">
        <v>234</v>
      </c>
      <c r="D668" s="40" t="s">
        <v>215</v>
      </c>
      <c r="E668" s="2">
        <v>240</v>
      </c>
      <c r="F668" s="2"/>
      <c r="G668" s="10">
        <f>'пр.6.1.ведом.22-23'!G979</f>
        <v>50</v>
      </c>
      <c r="H668" s="10">
        <f>'пр.6.1.ведом.22-23'!H979</f>
        <v>55</v>
      </c>
    </row>
    <row r="669" spans="1:8" ht="47.25" x14ac:dyDescent="0.25">
      <c r="A669" s="45" t="s">
        <v>623</v>
      </c>
      <c r="B669" s="20" t="s">
        <v>1276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90" t="s">
        <v>1280</v>
      </c>
      <c r="B670" s="20" t="s">
        <v>1277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1277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1277</v>
      </c>
      <c r="C672" s="40" t="s">
        <v>234</v>
      </c>
      <c r="D672" s="40" t="s">
        <v>215</v>
      </c>
      <c r="E672" s="2">
        <v>240</v>
      </c>
      <c r="F672" s="2"/>
      <c r="G672" s="10">
        <f>'пр.6.1.ведом.22-23'!G982</f>
        <v>300</v>
      </c>
      <c r="H672" s="10">
        <f>'пр.6.1.ведом.22-23'!H982</f>
        <v>300</v>
      </c>
    </row>
    <row r="673" spans="1:8" ht="47.25" x14ac:dyDescent="0.25">
      <c r="A673" s="45" t="s">
        <v>623</v>
      </c>
      <c r="B673" s="20" t="s">
        <v>1277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1277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0" customFormat="1" ht="15.75" x14ac:dyDescent="0.25">
      <c r="A675" s="25" t="s">
        <v>704</v>
      </c>
      <c r="B675" s="20" t="s">
        <v>1277</v>
      </c>
      <c r="C675" s="40" t="s">
        <v>234</v>
      </c>
      <c r="D675" s="40" t="s">
        <v>215</v>
      </c>
      <c r="E675" s="2">
        <v>850</v>
      </c>
      <c r="F675" s="2"/>
      <c r="G675" s="10">
        <f>'пр.6.1.ведом.22-23'!G984</f>
        <v>75</v>
      </c>
      <c r="H675" s="10">
        <f>'пр.6.1.ведом.22-23'!H984</f>
        <v>75</v>
      </c>
    </row>
    <row r="676" spans="1:8" s="200" customFormat="1" ht="47.25" x14ac:dyDescent="0.25">
      <c r="A676" s="45" t="s">
        <v>623</v>
      </c>
      <c r="B676" s="20" t="s">
        <v>1277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0" customFormat="1" ht="31.5" x14ac:dyDescent="0.25">
      <c r="A677" s="45" t="s">
        <v>559</v>
      </c>
      <c r="B677" s="20" t="s">
        <v>1278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0" customFormat="1" ht="31.5" x14ac:dyDescent="0.25">
      <c r="A678" s="25" t="s">
        <v>131</v>
      </c>
      <c r="B678" s="20" t="s">
        <v>1278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1278</v>
      </c>
      <c r="C679" s="40" t="s">
        <v>234</v>
      </c>
      <c r="D679" s="40" t="s">
        <v>215</v>
      </c>
      <c r="E679" s="2">
        <v>240</v>
      </c>
      <c r="F679" s="2"/>
      <c r="G679" s="10">
        <f>'пр.6.1.ведом.22-23'!G987</f>
        <v>0</v>
      </c>
      <c r="H679" s="10">
        <f>'пр.6.1.ведом.22-23'!H987</f>
        <v>130</v>
      </c>
    </row>
    <row r="680" spans="1:8" ht="47.25" x14ac:dyDescent="0.25">
      <c r="A680" s="45" t="s">
        <v>623</v>
      </c>
      <c r="B680" s="20" t="s">
        <v>1278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4" t="s">
        <v>1089</v>
      </c>
      <c r="B681" s="20" t="s">
        <v>1279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1279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1279</v>
      </c>
      <c r="C683" s="40" t="s">
        <v>234</v>
      </c>
      <c r="D683" s="40" t="s">
        <v>215</v>
      </c>
      <c r="E683" s="2">
        <v>240</v>
      </c>
      <c r="F683" s="2"/>
      <c r="G683" s="10">
        <f>'пр.6.1.ведом.22-23'!G990</f>
        <v>50</v>
      </c>
      <c r="H683" s="10">
        <f>'пр.6.1.ведом.22-23'!H990</f>
        <v>60</v>
      </c>
    </row>
    <row r="684" spans="1:8" ht="47.25" x14ac:dyDescent="0.25">
      <c r="A684" s="45" t="s">
        <v>623</v>
      </c>
      <c r="B684" s="20" t="s">
        <v>1279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891</v>
      </c>
      <c r="B685" s="24" t="s">
        <v>1297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1297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1297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1328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1328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1328</v>
      </c>
      <c r="C690" s="40" t="s">
        <v>234</v>
      </c>
      <c r="D690" s="40" t="s">
        <v>215</v>
      </c>
      <c r="E690" s="20" t="s">
        <v>134</v>
      </c>
      <c r="F690" s="2"/>
      <c r="G690" s="10">
        <f>'пр.6.1.ведом.22-23'!G994</f>
        <v>0</v>
      </c>
      <c r="H690" s="10">
        <f>'пр.6.1.ведом.22-23'!H994</f>
        <v>0</v>
      </c>
    </row>
    <row r="691" spans="1:8" ht="47.25" hidden="1" x14ac:dyDescent="0.25">
      <c r="A691" s="45" t="s">
        <v>623</v>
      </c>
      <c r="B691" s="20" t="s">
        <v>1328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1071</v>
      </c>
      <c r="B692" s="20" t="s">
        <v>1296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1296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1296</v>
      </c>
      <c r="C694" s="40" t="s">
        <v>234</v>
      </c>
      <c r="D694" s="40" t="s">
        <v>215</v>
      </c>
      <c r="E694" s="20" t="s">
        <v>134</v>
      </c>
      <c r="F694" s="2"/>
      <c r="G694" s="10">
        <f>'пр.6.1.ведом.22-23'!G997</f>
        <v>0</v>
      </c>
      <c r="H694" s="10">
        <f>'пр.6.1.ведом.22-23'!H997</f>
        <v>0</v>
      </c>
    </row>
    <row r="695" spans="1:8" ht="47.25" hidden="1" x14ac:dyDescent="0.25">
      <c r="A695" s="45" t="s">
        <v>623</v>
      </c>
      <c r="B695" s="20" t="s">
        <v>1296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1347</v>
      </c>
      <c r="B696" s="193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3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877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898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898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898</v>
      </c>
      <c r="C702" s="40" t="s">
        <v>150</v>
      </c>
      <c r="D702" s="40" t="s">
        <v>234</v>
      </c>
      <c r="E702" s="40" t="s">
        <v>160</v>
      </c>
      <c r="F702" s="2"/>
      <c r="G702" s="10">
        <f>'пр.6.1.ведом.22-23'!G197</f>
        <v>274</v>
      </c>
      <c r="H702" s="10">
        <f>'пр.6.1.ведом.22-23'!H197</f>
        <v>274</v>
      </c>
    </row>
    <row r="703" spans="1:8" ht="31.5" x14ac:dyDescent="0.25">
      <c r="A703" s="29" t="s">
        <v>148</v>
      </c>
      <c r="B703" s="20" t="s">
        <v>898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09" t="s">
        <v>1007</v>
      </c>
      <c r="B704" s="24" t="s">
        <v>879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877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877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878</v>
      </c>
      <c r="B707" s="5" t="s">
        <v>899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899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899</v>
      </c>
      <c r="C709" s="40" t="s">
        <v>150</v>
      </c>
      <c r="D709" s="40" t="s">
        <v>234</v>
      </c>
      <c r="E709" s="40" t="s">
        <v>160</v>
      </c>
      <c r="F709" s="2"/>
      <c r="G709" s="10">
        <f>'пр.6.1.ведом.22-23'!G204</f>
        <v>0</v>
      </c>
      <c r="H709" s="10">
        <f>'пр.6.1.ведом.22-23'!H204</f>
        <v>0</v>
      </c>
    </row>
    <row r="710" spans="1:8" ht="31.5" hidden="1" x14ac:dyDescent="0.25">
      <c r="A710" s="29" t="s">
        <v>148</v>
      </c>
      <c r="B710" s="5" t="s">
        <v>899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1534</v>
      </c>
      <c r="B711" s="7" t="s">
        <v>518</v>
      </c>
      <c r="C711" s="7"/>
      <c r="D711" s="7"/>
      <c r="E711" s="72"/>
      <c r="F711" s="3"/>
      <c r="G711" s="59">
        <f>G712+G719+G726+G733+G740+G747+G754</f>
        <v>1785.8000000000002</v>
      </c>
      <c r="H711" s="59">
        <f>H712+H719+H726+H733+H740+H747+H754</f>
        <v>1785.8000000000002</v>
      </c>
    </row>
    <row r="712" spans="1:8" ht="31.5" x14ac:dyDescent="0.25">
      <c r="A712" s="23" t="s">
        <v>963</v>
      </c>
      <c r="B712" s="24" t="s">
        <v>965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965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965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966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966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966</v>
      </c>
      <c r="C717" s="40" t="s">
        <v>234</v>
      </c>
      <c r="D717" s="40" t="s">
        <v>213</v>
      </c>
      <c r="E717" s="40" t="s">
        <v>134</v>
      </c>
      <c r="F717" s="2"/>
      <c r="G717" s="10">
        <f>'пр.6.1.ведом.22-23'!G923</f>
        <v>700</v>
      </c>
      <c r="H717" s="10">
        <f>'пр.6.1.ведом.22-23'!H923</f>
        <v>700</v>
      </c>
    </row>
    <row r="718" spans="1:8" ht="47.25" x14ac:dyDescent="0.25">
      <c r="A718" s="45" t="s">
        <v>623</v>
      </c>
      <c r="B718" s="20" t="s">
        <v>966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967</v>
      </c>
      <c r="B719" s="24" t="s">
        <v>968</v>
      </c>
      <c r="C719" s="40"/>
      <c r="D719" s="40"/>
      <c r="E719" s="40"/>
      <c r="F719" s="2"/>
      <c r="G719" s="59">
        <f>G720</f>
        <v>441</v>
      </c>
      <c r="H719" s="59">
        <f>H720</f>
        <v>441</v>
      </c>
    </row>
    <row r="720" spans="1:8" ht="15.75" hidden="1" x14ac:dyDescent="0.25">
      <c r="A720" s="29" t="s">
        <v>390</v>
      </c>
      <c r="B720" s="40" t="s">
        <v>968</v>
      </c>
      <c r="C720" s="40" t="s">
        <v>234</v>
      </c>
      <c r="D720" s="40"/>
      <c r="E720" s="73"/>
      <c r="F720" s="2"/>
      <c r="G720" s="10">
        <f t="shared" ref="G720:H720" si="100">G721</f>
        <v>441</v>
      </c>
      <c r="H720" s="10">
        <f t="shared" si="100"/>
        <v>441</v>
      </c>
    </row>
    <row r="721" spans="1:8" ht="15.75" hidden="1" x14ac:dyDescent="0.25">
      <c r="A721" s="29" t="s">
        <v>517</v>
      </c>
      <c r="B721" s="40" t="s">
        <v>968</v>
      </c>
      <c r="C721" s="40" t="s">
        <v>234</v>
      </c>
      <c r="D721" s="40" t="s">
        <v>213</v>
      </c>
      <c r="E721" s="73"/>
      <c r="F721" s="2"/>
      <c r="G721" s="10">
        <f>G722</f>
        <v>441</v>
      </c>
      <c r="H721" s="10">
        <f>H722</f>
        <v>441</v>
      </c>
    </row>
    <row r="722" spans="1:8" ht="15.75" hidden="1" x14ac:dyDescent="0.25">
      <c r="A722" s="45" t="s">
        <v>523</v>
      </c>
      <c r="B722" s="20" t="s">
        <v>971</v>
      </c>
      <c r="C722" s="40" t="s">
        <v>234</v>
      </c>
      <c r="D722" s="40" t="s">
        <v>213</v>
      </c>
      <c r="E722" s="40"/>
      <c r="F722" s="2"/>
      <c r="G722" s="10">
        <f>G723</f>
        <v>441</v>
      </c>
      <c r="H722" s="10">
        <f>H723</f>
        <v>441</v>
      </c>
    </row>
    <row r="723" spans="1:8" ht="31.5" hidden="1" x14ac:dyDescent="0.25">
      <c r="A723" s="31" t="s">
        <v>131</v>
      </c>
      <c r="B723" s="20" t="s">
        <v>971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441</v>
      </c>
      <c r="H723" s="10">
        <f t="shared" si="101"/>
        <v>441</v>
      </c>
    </row>
    <row r="724" spans="1:8" ht="47.25" hidden="1" x14ac:dyDescent="0.25">
      <c r="A724" s="31" t="s">
        <v>133</v>
      </c>
      <c r="B724" s="20" t="s">
        <v>971</v>
      </c>
      <c r="C724" s="40" t="s">
        <v>234</v>
      </c>
      <c r="D724" s="40" t="s">
        <v>213</v>
      </c>
      <c r="E724" s="40" t="s">
        <v>134</v>
      </c>
      <c r="F724" s="2"/>
      <c r="G724" s="10">
        <f>'пр.6.1.ведом.22-23'!G927</f>
        <v>441</v>
      </c>
      <c r="H724" s="10">
        <f>'пр.6.1.ведом.22-23'!H927</f>
        <v>441</v>
      </c>
    </row>
    <row r="725" spans="1:8" ht="47.25" hidden="1" x14ac:dyDescent="0.25">
      <c r="A725" s="45" t="s">
        <v>623</v>
      </c>
      <c r="B725" s="20" t="s">
        <v>971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441</v>
      </c>
      <c r="H725" s="6">
        <f>H724</f>
        <v>441</v>
      </c>
    </row>
    <row r="726" spans="1:8" ht="31.5" hidden="1" x14ac:dyDescent="0.25">
      <c r="A726" s="58" t="s">
        <v>969</v>
      </c>
      <c r="B726" s="24" t="s">
        <v>970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970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970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972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972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972</v>
      </c>
      <c r="C731" s="40" t="s">
        <v>234</v>
      </c>
      <c r="D731" s="40" t="s">
        <v>213</v>
      </c>
      <c r="E731" s="40" t="s">
        <v>134</v>
      </c>
      <c r="F731" s="2"/>
      <c r="G731" s="10">
        <f>'пр.6.1.ведом.22-23'!G931</f>
        <v>0</v>
      </c>
      <c r="H731" s="10">
        <f>'пр.6.1.ведом.22-23'!H931</f>
        <v>0</v>
      </c>
    </row>
    <row r="732" spans="1:8" ht="47.25" hidden="1" x14ac:dyDescent="0.25">
      <c r="A732" s="45" t="s">
        <v>623</v>
      </c>
      <c r="B732" s="20" t="s">
        <v>972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973</v>
      </c>
      <c r="B733" s="24" t="s">
        <v>974</v>
      </c>
      <c r="C733" s="40"/>
      <c r="D733" s="40"/>
      <c r="E733" s="40"/>
      <c r="F733" s="2"/>
      <c r="G733" s="59">
        <f t="shared" ref="G733:H735" si="104">G734</f>
        <v>179.9</v>
      </c>
      <c r="H733" s="59">
        <f t="shared" si="104"/>
        <v>179.9</v>
      </c>
    </row>
    <row r="734" spans="1:8" ht="15.75" hidden="1" x14ac:dyDescent="0.25">
      <c r="A734" s="29" t="s">
        <v>390</v>
      </c>
      <c r="B734" s="40" t="s">
        <v>974</v>
      </c>
      <c r="C734" s="40" t="s">
        <v>234</v>
      </c>
      <c r="D734" s="40"/>
      <c r="E734" s="73"/>
      <c r="F734" s="2"/>
      <c r="G734" s="10">
        <f t="shared" si="104"/>
        <v>179.9</v>
      </c>
      <c r="H734" s="10">
        <f t="shared" si="104"/>
        <v>179.9</v>
      </c>
    </row>
    <row r="735" spans="1:8" ht="15.75" hidden="1" x14ac:dyDescent="0.25">
      <c r="A735" s="29" t="s">
        <v>517</v>
      </c>
      <c r="B735" s="40" t="s">
        <v>974</v>
      </c>
      <c r="C735" s="40" t="s">
        <v>234</v>
      </c>
      <c r="D735" s="40" t="s">
        <v>213</v>
      </c>
      <c r="E735" s="73"/>
      <c r="F735" s="2"/>
      <c r="G735" s="10">
        <f t="shared" si="104"/>
        <v>179.9</v>
      </c>
      <c r="H735" s="10">
        <f t="shared" si="104"/>
        <v>179.9</v>
      </c>
    </row>
    <row r="736" spans="1:8" ht="31.5" hidden="1" x14ac:dyDescent="0.25">
      <c r="A736" s="45" t="s">
        <v>527</v>
      </c>
      <c r="B736" s="20" t="s">
        <v>975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179.9</v>
      </c>
      <c r="H736" s="10">
        <f t="shared" si="105"/>
        <v>179.9</v>
      </c>
    </row>
    <row r="737" spans="1:8" ht="31.5" hidden="1" x14ac:dyDescent="0.25">
      <c r="A737" s="31" t="s">
        <v>131</v>
      </c>
      <c r="B737" s="20" t="s">
        <v>975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179.9</v>
      </c>
      <c r="H737" s="10">
        <f t="shared" si="105"/>
        <v>179.9</v>
      </c>
    </row>
    <row r="738" spans="1:8" ht="47.25" hidden="1" x14ac:dyDescent="0.25">
      <c r="A738" s="31" t="s">
        <v>133</v>
      </c>
      <c r="B738" s="20" t="s">
        <v>975</v>
      </c>
      <c r="C738" s="40" t="s">
        <v>234</v>
      </c>
      <c r="D738" s="40" t="s">
        <v>213</v>
      </c>
      <c r="E738" s="40" t="s">
        <v>134</v>
      </c>
      <c r="F738" s="2"/>
      <c r="G738" s="10">
        <f>'пр.6.1.ведом.22-23'!G935</f>
        <v>179.9</v>
      </c>
      <c r="H738" s="10">
        <f>'пр.6.1.ведом.22-23'!H935</f>
        <v>179.9</v>
      </c>
    </row>
    <row r="739" spans="1:8" ht="47.25" hidden="1" x14ac:dyDescent="0.25">
      <c r="A739" s="45" t="s">
        <v>623</v>
      </c>
      <c r="B739" s="20" t="s">
        <v>975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179.9</v>
      </c>
      <c r="H739" s="6">
        <f>H738</f>
        <v>179.9</v>
      </c>
    </row>
    <row r="740" spans="1:8" ht="31.5" hidden="1" x14ac:dyDescent="0.25">
      <c r="A740" s="34" t="s">
        <v>1014</v>
      </c>
      <c r="B740" s="24" t="s">
        <v>1015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1018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1018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1018</v>
      </c>
      <c r="C745" s="40" t="s">
        <v>234</v>
      </c>
      <c r="D745" s="40" t="s">
        <v>213</v>
      </c>
      <c r="E745" s="40" t="s">
        <v>134</v>
      </c>
      <c r="F745" s="2"/>
      <c r="G745" s="10">
        <f>'пр.6.1.ведом.22-23'!G939</f>
        <v>0</v>
      </c>
      <c r="H745" s="10">
        <f>'пр.6.1.ведом.22-23'!H939</f>
        <v>0</v>
      </c>
    </row>
    <row r="746" spans="1:8" ht="47.25" hidden="1" x14ac:dyDescent="0.25">
      <c r="A746" s="45" t="s">
        <v>623</v>
      </c>
      <c r="B746" s="20" t="s">
        <v>1018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15" t="s">
        <v>1016</v>
      </c>
      <c r="B747" s="24" t="s">
        <v>1017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20" t="s">
        <v>1019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1019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1019</v>
      </c>
      <c r="C752" s="40" t="s">
        <v>234</v>
      </c>
      <c r="D752" s="40" t="s">
        <v>213</v>
      </c>
      <c r="E752" s="40" t="s">
        <v>134</v>
      </c>
      <c r="F752" s="2"/>
      <c r="G752" s="10">
        <f>'пр.6.1.ведом.22-23'!G943</f>
        <v>0</v>
      </c>
      <c r="H752" s="10">
        <f>'пр.6.1.ведом.22-23'!H943</f>
        <v>0</v>
      </c>
    </row>
    <row r="753" spans="1:8" ht="47.25" hidden="1" x14ac:dyDescent="0.25">
      <c r="A753" s="45" t="s">
        <v>623</v>
      </c>
      <c r="B753" s="20" t="s">
        <v>1019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15" t="s">
        <v>977</v>
      </c>
      <c r="B754" s="24" t="s">
        <v>978</v>
      </c>
      <c r="C754" s="40"/>
      <c r="D754" s="40"/>
      <c r="E754" s="40"/>
      <c r="F754" s="2"/>
      <c r="G754" s="59">
        <f t="shared" ref="G754:H756" si="110">G755</f>
        <v>464.90000000000003</v>
      </c>
      <c r="H754" s="59">
        <f t="shared" si="110"/>
        <v>464.90000000000003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464.90000000000003</v>
      </c>
      <c r="H755" s="10">
        <f t="shared" si="110"/>
        <v>464.90000000000003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464.90000000000003</v>
      </c>
      <c r="H756" s="10">
        <f t="shared" si="110"/>
        <v>464.90000000000003</v>
      </c>
    </row>
    <row r="757" spans="1:8" ht="15.75" hidden="1" x14ac:dyDescent="0.25">
      <c r="A757" s="174" t="s">
        <v>533</v>
      </c>
      <c r="B757" s="20" t="s">
        <v>976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464.90000000000003</v>
      </c>
      <c r="H757" s="10">
        <f t="shared" si="111"/>
        <v>464.90000000000003</v>
      </c>
    </row>
    <row r="758" spans="1:8" ht="31.5" hidden="1" x14ac:dyDescent="0.3">
      <c r="A758" s="25" t="s">
        <v>131</v>
      </c>
      <c r="B758" s="20" t="s">
        <v>976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464.90000000000003</v>
      </c>
      <c r="H758" s="6">
        <f t="shared" si="111"/>
        <v>464.90000000000003</v>
      </c>
    </row>
    <row r="759" spans="1:8" ht="47.25" hidden="1" x14ac:dyDescent="0.3">
      <c r="A759" s="25" t="s">
        <v>133</v>
      </c>
      <c r="B759" s="20" t="s">
        <v>976</v>
      </c>
      <c r="C759" s="40" t="s">
        <v>234</v>
      </c>
      <c r="D759" s="40" t="s">
        <v>213</v>
      </c>
      <c r="E759" s="2">
        <v>240</v>
      </c>
      <c r="F759" s="77"/>
      <c r="G759" s="6">
        <f>'пр.6.1.ведом.22-23'!G947</f>
        <v>464.90000000000003</v>
      </c>
      <c r="H759" s="6">
        <f>'пр.6.1.ведом.22-23'!H947</f>
        <v>464.90000000000003</v>
      </c>
    </row>
    <row r="760" spans="1:8" ht="47.25" hidden="1" x14ac:dyDescent="0.25">
      <c r="A760" s="45" t="s">
        <v>623</v>
      </c>
      <c r="B760" s="20" t="s">
        <v>976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464.90000000000003</v>
      </c>
      <c r="H760" s="6">
        <f>H759</f>
        <v>464.90000000000003</v>
      </c>
    </row>
    <row r="761" spans="1:8" ht="47.25" x14ac:dyDescent="0.25">
      <c r="A761" s="23" t="s">
        <v>1352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1050</v>
      </c>
      <c r="B762" s="24" t="s">
        <v>1051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1051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1051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0" customFormat="1" ht="31.5" x14ac:dyDescent="0.25">
      <c r="A765" s="25" t="s">
        <v>336</v>
      </c>
      <c r="B765" s="20" t="s">
        <v>1052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0" customFormat="1" ht="31.5" hidden="1" x14ac:dyDescent="0.25">
      <c r="A766" s="25" t="s">
        <v>131</v>
      </c>
      <c r="B766" s="20" t="s">
        <v>1052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0" customFormat="1" ht="47.25" hidden="1" x14ac:dyDescent="0.25">
      <c r="A767" s="25" t="s">
        <v>133</v>
      </c>
      <c r="B767" s="20" t="s">
        <v>1052</v>
      </c>
      <c r="C767" s="40" t="s">
        <v>118</v>
      </c>
      <c r="D767" s="40" t="s">
        <v>140</v>
      </c>
      <c r="E767" s="2">
        <v>240</v>
      </c>
      <c r="F767" s="2"/>
      <c r="G767" s="6">
        <f>'пр.6.1.ведом.22-23'!G255</f>
        <v>0</v>
      </c>
      <c r="H767" s="6">
        <f>'пр.6.1.ведом.22-23'!H255</f>
        <v>100</v>
      </c>
    </row>
    <row r="768" spans="1:8" s="200" customFormat="1" ht="31.5" hidden="1" x14ac:dyDescent="0.25">
      <c r="A768" s="45" t="s">
        <v>403</v>
      </c>
      <c r="B768" s="20" t="s">
        <v>1052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1052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1052</v>
      </c>
      <c r="C770" s="40" t="s">
        <v>118</v>
      </c>
      <c r="D770" s="40" t="s">
        <v>140</v>
      </c>
      <c r="E770" s="2">
        <v>240</v>
      </c>
      <c r="F770" s="2"/>
      <c r="G770" s="6">
        <f>'пр.6.1.ведом.22-23'!G544</f>
        <v>0</v>
      </c>
      <c r="H770" s="6">
        <f>'пр.6.1.ведом.22-23'!H544</f>
        <v>0</v>
      </c>
    </row>
    <row r="771" spans="1:8" ht="31.5" hidden="1" x14ac:dyDescent="0.25">
      <c r="A771" s="45" t="s">
        <v>403</v>
      </c>
      <c r="B771" s="20" t="s">
        <v>1052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1052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1052</v>
      </c>
      <c r="C773" s="40" t="s">
        <v>118</v>
      </c>
      <c r="D773" s="40" t="s">
        <v>140</v>
      </c>
      <c r="E773" s="2">
        <v>240</v>
      </c>
      <c r="F773" s="2"/>
      <c r="G773" s="6">
        <f>'пр.6.1.ведом.22-23'!G763</f>
        <v>100</v>
      </c>
      <c r="H773" s="6">
        <f>'пр.6.1.ведом.22-23'!H763</f>
        <v>0</v>
      </c>
    </row>
    <row r="774" spans="1:8" ht="47.25" x14ac:dyDescent="0.25">
      <c r="A774" s="45" t="s">
        <v>480</v>
      </c>
      <c r="B774" s="20" t="s">
        <v>1052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1057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1057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1057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1057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1053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1053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1053</v>
      </c>
      <c r="C781" s="40" t="s">
        <v>118</v>
      </c>
      <c r="D781" s="40" t="s">
        <v>140</v>
      </c>
      <c r="E781" s="2">
        <v>240</v>
      </c>
      <c r="F781" s="2"/>
      <c r="G781" s="6">
        <f>'пр.6.1.ведом.22-23'!G264</f>
        <v>20</v>
      </c>
      <c r="H781" s="6">
        <f>'пр.6.1.ведом.22-23'!H264</f>
        <v>20</v>
      </c>
    </row>
    <row r="782" spans="1:8" ht="47.25" x14ac:dyDescent="0.25">
      <c r="A782" s="25" t="s">
        <v>1077</v>
      </c>
      <c r="B782" s="20" t="s">
        <v>1053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1054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1054</v>
      </c>
      <c r="C784" s="20" t="s">
        <v>118</v>
      </c>
      <c r="D784" s="20" t="s">
        <v>140</v>
      </c>
      <c r="E784" s="20" t="s">
        <v>132</v>
      </c>
      <c r="F784" s="177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1054</v>
      </c>
      <c r="C785" s="20" t="s">
        <v>118</v>
      </c>
      <c r="D785" s="20" t="s">
        <v>140</v>
      </c>
      <c r="E785" s="20" t="s">
        <v>134</v>
      </c>
      <c r="F785" s="177"/>
      <c r="G785" s="6">
        <f>'пр.6.1.ведом.22-23'!G258</f>
        <v>0</v>
      </c>
      <c r="H785" s="6">
        <f>'пр.6.1.ведом.22-23'!H258</f>
        <v>0</v>
      </c>
    </row>
    <row r="786" spans="1:8" ht="31.5" hidden="1" x14ac:dyDescent="0.25">
      <c r="A786" s="25" t="s">
        <v>403</v>
      </c>
      <c r="B786" s="20" t="s">
        <v>1054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1055</v>
      </c>
      <c r="C787" s="40" t="s">
        <v>118</v>
      </c>
      <c r="D787" s="40" t="s">
        <v>140</v>
      </c>
      <c r="E787" s="2"/>
      <c r="F787" s="177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1055</v>
      </c>
      <c r="C788" s="40" t="s">
        <v>118</v>
      </c>
      <c r="D788" s="40" t="s">
        <v>140</v>
      </c>
      <c r="E788" s="2">
        <v>200</v>
      </c>
      <c r="F788" s="177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1055</v>
      </c>
      <c r="C789" s="40" t="s">
        <v>118</v>
      </c>
      <c r="D789" s="40" t="s">
        <v>140</v>
      </c>
      <c r="E789" s="2">
        <v>240</v>
      </c>
      <c r="F789" s="177"/>
      <c r="G789" s="6">
        <f>'пр.6.1.ведом.22-23'!G261</f>
        <v>0</v>
      </c>
      <c r="H789" s="6">
        <f>'пр.6.1.ведом.22-23'!H261</f>
        <v>0</v>
      </c>
    </row>
    <row r="790" spans="1:8" ht="47.25" hidden="1" x14ac:dyDescent="0.25">
      <c r="A790" s="45" t="s">
        <v>261</v>
      </c>
      <c r="B790" s="20" t="s">
        <v>1055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1056</v>
      </c>
      <c r="C791" s="20" t="s">
        <v>118</v>
      </c>
      <c r="D791" s="20" t="s">
        <v>140</v>
      </c>
      <c r="E791" s="20"/>
      <c r="F791" s="177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1056</v>
      </c>
      <c r="C792" s="20" t="s">
        <v>118</v>
      </c>
      <c r="D792" s="20" t="s">
        <v>140</v>
      </c>
      <c r="E792" s="20" t="s">
        <v>132</v>
      </c>
      <c r="F792" s="177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1056</v>
      </c>
      <c r="C793" s="20" t="s">
        <v>118</v>
      </c>
      <c r="D793" s="20" t="s">
        <v>140</v>
      </c>
      <c r="E793" s="20" t="s">
        <v>134</v>
      </c>
      <c r="F793" s="177"/>
      <c r="G793" s="6">
        <f>'пр.6.1.ведом.22-23'!G267</f>
        <v>0</v>
      </c>
      <c r="H793" s="6">
        <f>'пр.6.1.ведом.22-23'!H267</f>
        <v>0</v>
      </c>
    </row>
    <row r="794" spans="1:8" ht="47.25" hidden="1" x14ac:dyDescent="0.25">
      <c r="A794" s="25" t="s">
        <v>1077</v>
      </c>
      <c r="B794" s="20" t="s">
        <v>1056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1355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06" t="s">
        <v>846</v>
      </c>
      <c r="B796" s="24" t="s">
        <v>852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852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852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847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847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847</v>
      </c>
      <c r="C801" s="40" t="s">
        <v>118</v>
      </c>
      <c r="D801" s="40" t="s">
        <v>140</v>
      </c>
      <c r="E801" s="2">
        <v>240</v>
      </c>
      <c r="F801" s="2"/>
      <c r="G801" s="6">
        <f>'пр.6.1.ведом.22-23'!G150</f>
        <v>28</v>
      </c>
      <c r="H801" s="6">
        <f>'пр.6.1.ведом.22-23'!H150</f>
        <v>28</v>
      </c>
    </row>
    <row r="802" spans="1:8" ht="31.5" x14ac:dyDescent="0.25">
      <c r="A802" s="29" t="s">
        <v>148</v>
      </c>
      <c r="B802" s="20" t="s">
        <v>847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847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847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847</v>
      </c>
      <c r="C805" s="40" t="s">
        <v>118</v>
      </c>
      <c r="D805" s="40" t="s">
        <v>140</v>
      </c>
      <c r="E805" s="2">
        <v>240</v>
      </c>
      <c r="F805" s="2"/>
      <c r="G805" s="6">
        <f>'пр.6.1.ведом.22-23'!G272</f>
        <v>5</v>
      </c>
      <c r="H805" s="6">
        <f>'пр.6.1.ведом.22-23'!H272</f>
        <v>5</v>
      </c>
    </row>
    <row r="806" spans="1:8" ht="47.25" x14ac:dyDescent="0.25">
      <c r="A806" s="45" t="s">
        <v>261</v>
      </c>
      <c r="B806" s="20" t="s">
        <v>847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890</v>
      </c>
      <c r="B807" s="24" t="s">
        <v>888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888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888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936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936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2" t="s">
        <v>274</v>
      </c>
      <c r="B812" s="20" t="s">
        <v>936</v>
      </c>
      <c r="C812" s="40" t="s">
        <v>264</v>
      </c>
      <c r="D812" s="40" t="s">
        <v>118</v>
      </c>
      <c r="E812" s="2">
        <v>610</v>
      </c>
      <c r="F812" s="2"/>
      <c r="G812" s="6">
        <f>'пр.6.1.ведом.22-23'!G608</f>
        <v>570.9</v>
      </c>
      <c r="H812" s="6">
        <f>'пр.6.1.ведом.22-23'!H608</f>
        <v>593.79999999999995</v>
      </c>
    </row>
    <row r="813" spans="1:8" ht="31.5" x14ac:dyDescent="0.25">
      <c r="A813" s="29" t="s">
        <v>403</v>
      </c>
      <c r="B813" s="20" t="s">
        <v>936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888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936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936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2" t="s">
        <v>274</v>
      </c>
      <c r="B817" s="20" t="s">
        <v>936</v>
      </c>
      <c r="C817" s="40" t="s">
        <v>264</v>
      </c>
      <c r="D817" s="40" t="s">
        <v>213</v>
      </c>
      <c r="E817" s="2">
        <v>610</v>
      </c>
      <c r="F817" s="2"/>
      <c r="G817" s="6">
        <f>'пр.6.1.ведом.22-23'!G690</f>
        <v>870.5</v>
      </c>
      <c r="H817" s="6">
        <f>'пр.6.1.ведом.22-23'!H690</f>
        <v>905.3</v>
      </c>
    </row>
    <row r="818" spans="1:8" ht="31.5" x14ac:dyDescent="0.25">
      <c r="A818" s="29" t="s">
        <v>403</v>
      </c>
      <c r="B818" s="20" t="s">
        <v>936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888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200" customFormat="1" ht="47.25" x14ac:dyDescent="0.25">
      <c r="A820" s="98" t="s">
        <v>1004</v>
      </c>
      <c r="B820" s="20" t="s">
        <v>889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200" customFormat="1" ht="31.5" x14ac:dyDescent="0.25">
      <c r="A821" s="25" t="s">
        <v>131</v>
      </c>
      <c r="B821" s="20" t="s">
        <v>889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0" customFormat="1" ht="47.25" x14ac:dyDescent="0.25">
      <c r="A822" s="25" t="s">
        <v>133</v>
      </c>
      <c r="B822" s="20" t="s">
        <v>889</v>
      </c>
      <c r="C822" s="40" t="s">
        <v>264</v>
      </c>
      <c r="D822" s="40" t="s">
        <v>215</v>
      </c>
      <c r="E822" s="2">
        <v>240</v>
      </c>
      <c r="F822" s="2"/>
      <c r="G822" s="6">
        <f>'пр.6.1.ведом.22-23'!G336</f>
        <v>490.2</v>
      </c>
      <c r="H822" s="6">
        <f>'пр.6.1.ведом.22-23'!H336</f>
        <v>509.8</v>
      </c>
    </row>
    <row r="823" spans="1:8" s="200" customFormat="1" ht="47.25" x14ac:dyDescent="0.25">
      <c r="A823" s="45" t="s">
        <v>261</v>
      </c>
      <c r="B823" s="20" t="s">
        <v>889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'пр.6.1.ведом.22-23'!G336</f>
        <v>490.2</v>
      </c>
      <c r="H823" s="6">
        <f>'пр.6.1.ведом.22-23'!H336</f>
        <v>509.8</v>
      </c>
    </row>
    <row r="824" spans="1:8" ht="47.25" x14ac:dyDescent="0.25">
      <c r="A824" s="45" t="s">
        <v>780</v>
      </c>
      <c r="B824" s="20" t="s">
        <v>936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936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2" t="s">
        <v>274</v>
      </c>
      <c r="B826" s="20" t="s">
        <v>936</v>
      </c>
      <c r="C826" s="40" t="s">
        <v>264</v>
      </c>
      <c r="D826" s="40" t="s">
        <v>215</v>
      </c>
      <c r="E826" s="2">
        <v>610</v>
      </c>
      <c r="F826" s="2"/>
      <c r="G826" s="6">
        <f>'пр.6.1.ведом.22-23'!G719</f>
        <v>302.7</v>
      </c>
      <c r="H826" s="6">
        <f>'пр.6.1.ведом.22-23'!H719</f>
        <v>314.89999999999998</v>
      </c>
    </row>
    <row r="827" spans="1:8" ht="31.5" x14ac:dyDescent="0.25">
      <c r="A827" s="29" t="s">
        <v>403</v>
      </c>
      <c r="B827" s="20" t="s">
        <v>936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888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888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889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889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889</v>
      </c>
      <c r="C832" s="40" t="s">
        <v>299</v>
      </c>
      <c r="D832" s="40" t="s">
        <v>118</v>
      </c>
      <c r="E832" s="2">
        <v>240</v>
      </c>
      <c r="F832" s="2"/>
      <c r="G832" s="6">
        <f>'пр.6.1.ведом.22-23'!G410</f>
        <v>878.7</v>
      </c>
      <c r="H832" s="6">
        <f>'пр.6.1.ведом.22-23'!H410</f>
        <v>913.9</v>
      </c>
    </row>
    <row r="833" spans="1:8" ht="47.25" x14ac:dyDescent="0.25">
      <c r="A833" s="45" t="s">
        <v>261</v>
      </c>
      <c r="B833" s="20" t="s">
        <v>889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888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1079</v>
      </c>
      <c r="B835" s="20" t="s">
        <v>888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936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936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2" t="s">
        <v>274</v>
      </c>
      <c r="B838" s="20" t="s">
        <v>936</v>
      </c>
      <c r="C838" s="40" t="s">
        <v>491</v>
      </c>
      <c r="D838" s="40" t="s">
        <v>118</v>
      </c>
      <c r="E838" s="2">
        <v>610</v>
      </c>
      <c r="F838" s="2"/>
      <c r="G838" s="6">
        <f>'пр.6.1.ведом.22-23'!G802</f>
        <v>579.1</v>
      </c>
      <c r="H838" s="6">
        <f>'пр.6.1.ведом.22-23'!H802</f>
        <v>602.29999999999995</v>
      </c>
    </row>
    <row r="839" spans="1:8" ht="47.25" x14ac:dyDescent="0.25">
      <c r="A839" s="45" t="s">
        <v>480</v>
      </c>
      <c r="B839" s="20" t="s">
        <v>936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888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888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889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889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889</v>
      </c>
      <c r="C844" s="40" t="s">
        <v>238</v>
      </c>
      <c r="D844" s="40" t="s">
        <v>213</v>
      </c>
      <c r="E844" s="2">
        <v>240</v>
      </c>
      <c r="F844" s="2"/>
      <c r="G844" s="6">
        <f>'пр.6.1.ведом.22-23'!G487</f>
        <v>74.900000000000006</v>
      </c>
      <c r="H844" s="6">
        <f>'пр.6.1.ведом.22-23'!H487</f>
        <v>77.900000000000006</v>
      </c>
    </row>
    <row r="845" spans="1:8" ht="47.25" x14ac:dyDescent="0.25">
      <c r="A845" s="45" t="s">
        <v>261</v>
      </c>
      <c r="B845" s="20" t="s">
        <v>889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07" t="s">
        <v>1023</v>
      </c>
      <c r="B846" s="24" t="s">
        <v>853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19" t="s">
        <v>117</v>
      </c>
      <c r="B847" s="20" t="s">
        <v>853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19" t="s">
        <v>139</v>
      </c>
      <c r="B848" s="20" t="s">
        <v>853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51" t="s">
        <v>1005</v>
      </c>
      <c r="B849" s="20" t="s">
        <v>848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848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848</v>
      </c>
      <c r="C851" s="40" t="s">
        <v>118</v>
      </c>
      <c r="D851" s="40" t="s">
        <v>140</v>
      </c>
      <c r="E851" s="2">
        <v>240</v>
      </c>
      <c r="F851" s="2"/>
      <c r="G851" s="6">
        <f>'пр.6.1.ведом.22-23'!G154</f>
        <v>15</v>
      </c>
      <c r="H851" s="6">
        <f>'пр.6.1.ведом.22-23'!H154</f>
        <v>15</v>
      </c>
    </row>
    <row r="852" spans="1:8" ht="31.5" x14ac:dyDescent="0.25">
      <c r="A852" s="29" t="s">
        <v>148</v>
      </c>
      <c r="B852" s="20" t="s">
        <v>848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1538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1067</v>
      </c>
      <c r="B854" s="24" t="s">
        <v>1088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835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835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835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835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835</v>
      </c>
      <c r="C859" s="40" t="s">
        <v>234</v>
      </c>
      <c r="D859" s="40" t="s">
        <v>215</v>
      </c>
      <c r="E859" s="2">
        <v>240</v>
      </c>
      <c r="F859" s="2"/>
      <c r="G859" s="6">
        <f>'пр.6.1.ведом.22-23'!G1002</f>
        <v>500</v>
      </c>
      <c r="H859" s="6">
        <f>'пр.6.1.ведом.22-23'!H1002</f>
        <v>500</v>
      </c>
    </row>
    <row r="860" spans="1:8" ht="47.25" x14ac:dyDescent="0.25">
      <c r="A860" s="45" t="s">
        <v>623</v>
      </c>
      <c r="B860" s="20" t="s">
        <v>835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1357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930</v>
      </c>
      <c r="B862" s="24" t="s">
        <v>1020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1020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1020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1021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1021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1021</v>
      </c>
      <c r="C867" s="40" t="s">
        <v>118</v>
      </c>
      <c r="D867" s="40" t="s">
        <v>140</v>
      </c>
      <c r="E867" s="2">
        <v>240</v>
      </c>
      <c r="F867" s="2"/>
      <c r="G867" s="6">
        <f>'пр.6.1.ведом.22-23'!G520</f>
        <v>0</v>
      </c>
      <c r="H867" s="6">
        <f>'пр.6.1.ведом.22-23'!H520</f>
        <v>0</v>
      </c>
    </row>
    <row r="868" spans="1:10" ht="47.25" hidden="1" x14ac:dyDescent="0.25">
      <c r="A868" s="45" t="s">
        <v>1388</v>
      </c>
      <c r="B868" s="20" t="s">
        <v>1021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1368</v>
      </c>
      <c r="B869" s="24" t="s">
        <v>817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08" t="s">
        <v>854</v>
      </c>
      <c r="B870" s="24" t="s">
        <v>1076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1076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1076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855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855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855</v>
      </c>
      <c r="C875" s="40" t="s">
        <v>118</v>
      </c>
      <c r="D875" s="40" t="s">
        <v>140</v>
      </c>
      <c r="E875" s="2">
        <v>240</v>
      </c>
      <c r="F875" s="2"/>
      <c r="G875" s="6">
        <f>'пр.6.1.ведом.22-23'!G159</f>
        <v>45</v>
      </c>
      <c r="H875" s="6">
        <f>'пр.6.1.ведом.22-23'!H159</f>
        <v>50</v>
      </c>
    </row>
    <row r="876" spans="1:10" ht="31.5" x14ac:dyDescent="0.25">
      <c r="A876" s="29" t="s">
        <v>148</v>
      </c>
      <c r="B876" s="20" t="s">
        <v>855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1377</v>
      </c>
      <c r="B877" s="24" t="s">
        <v>818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856</v>
      </c>
      <c r="B878" s="24" t="s">
        <v>864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864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864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857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857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857</v>
      </c>
      <c r="C883" s="40" t="s">
        <v>118</v>
      </c>
      <c r="D883" s="40" t="s">
        <v>140</v>
      </c>
      <c r="E883" s="2">
        <v>240</v>
      </c>
      <c r="F883" s="2"/>
      <c r="G883" s="6">
        <f>'пр.6.1.ведом.22-23'!G164</f>
        <v>80</v>
      </c>
      <c r="H883" s="6">
        <f>'пр.6.1.ведом.22-23'!H164</f>
        <v>90</v>
      </c>
    </row>
    <row r="884" spans="1:8" ht="31.5" x14ac:dyDescent="0.25">
      <c r="A884" s="29" t="s">
        <v>148</v>
      </c>
      <c r="B884" s="20" t="s">
        <v>857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0" customFormat="1" ht="47.25" x14ac:dyDescent="0.25">
      <c r="A885" s="23" t="s">
        <v>1536</v>
      </c>
      <c r="B885" s="24" t="s">
        <v>1142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0" customFormat="1" ht="31.5" x14ac:dyDescent="0.25">
      <c r="A886" s="23" t="s">
        <v>1540</v>
      </c>
      <c r="B886" s="24" t="s">
        <v>1144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0" customFormat="1" ht="15.75" x14ac:dyDescent="0.25">
      <c r="A887" s="29" t="s">
        <v>390</v>
      </c>
      <c r="B887" s="20" t="s">
        <v>1144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0" customFormat="1" ht="15.75" x14ac:dyDescent="0.25">
      <c r="A888" s="29" t="s">
        <v>517</v>
      </c>
      <c r="B888" s="20" t="s">
        <v>1144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0" customFormat="1" ht="31.5" x14ac:dyDescent="0.25">
      <c r="A889" s="29" t="s">
        <v>1146</v>
      </c>
      <c r="B889" s="20" t="s">
        <v>1145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0" customFormat="1" ht="31.5" x14ac:dyDescent="0.25">
      <c r="A890" s="45" t="s">
        <v>131</v>
      </c>
      <c r="B890" s="20" t="s">
        <v>1145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0" customFormat="1" ht="47.25" x14ac:dyDescent="0.25">
      <c r="A891" s="45" t="s">
        <v>133</v>
      </c>
      <c r="B891" s="20" t="s">
        <v>1145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0" customFormat="1" ht="47.25" x14ac:dyDescent="0.25">
      <c r="A892" s="45" t="s">
        <v>623</v>
      </c>
      <c r="B892" s="20" t="s">
        <v>1145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'пр.6.1.ведом.22-23'!G952</f>
        <v>204</v>
      </c>
      <c r="H892" s="6">
        <f>'пр.6.1.ведом.22-23'!H952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475842.43999999989</v>
      </c>
      <c r="H893" s="120">
        <f>H877+H869+H861+H853+H795+H761+H696+H644+H597+H464+H406+H398+H356+H344+H140+H30+H9+H711+H885</f>
        <v>500894.55</v>
      </c>
    </row>
    <row r="895" spans="1:8" x14ac:dyDescent="0.25">
      <c r="G895" s="22">
        <f>'пр.6.1.ведом.22-23'!G1151</f>
        <v>475608.39999999991</v>
      </c>
      <c r="H895" s="22">
        <f>'пр.6.1.ведом.22-23'!H1151</f>
        <v>500661.65</v>
      </c>
    </row>
    <row r="897" spans="7:8" x14ac:dyDescent="0.25">
      <c r="G897" s="22">
        <f>G895-G893</f>
        <v>-234.03999999997905</v>
      </c>
      <c r="H897" s="22">
        <f>H895-H893</f>
        <v>-232.89999999996508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L15" sqref="L15"/>
    </sheetView>
  </sheetViews>
  <sheetFormatPr defaultRowHeight="15" x14ac:dyDescent="0.25"/>
  <cols>
    <col min="1" max="1" width="44.28515625" customWidth="1"/>
    <col min="2" max="2" width="15.5703125" style="200" customWidth="1"/>
    <col min="3" max="3" width="7.140625" customWidth="1"/>
    <col min="4" max="4" width="6.28515625" customWidth="1"/>
    <col min="5" max="5" width="7.28515625" style="200" customWidth="1"/>
    <col min="6" max="6" width="10.140625" customWidth="1"/>
    <col min="7" max="7" width="10.7109375" style="22" customWidth="1"/>
    <col min="8" max="8" width="12.5703125" style="22" customWidth="1"/>
    <col min="9" max="9" width="11.5703125" style="22" customWidth="1"/>
  </cols>
  <sheetData>
    <row r="1" spans="1:9" ht="18.75" customHeight="1" x14ac:dyDescent="0.25">
      <c r="A1" s="578"/>
      <c r="B1" s="578"/>
      <c r="C1" s="578"/>
      <c r="D1" s="62"/>
      <c r="E1" s="62"/>
      <c r="F1" s="515"/>
      <c r="G1" s="195"/>
      <c r="H1" s="582" t="s">
        <v>616</v>
      </c>
      <c r="I1" s="582"/>
    </row>
    <row r="2" spans="1:9" ht="18.75" customHeight="1" x14ac:dyDescent="0.25">
      <c r="A2" s="578"/>
      <c r="B2" s="578"/>
      <c r="C2" s="578"/>
      <c r="D2" s="62"/>
      <c r="E2" s="62"/>
      <c r="F2" s="515"/>
      <c r="G2" s="515"/>
      <c r="H2" s="515" t="s">
        <v>1809</v>
      </c>
      <c r="I2" s="515"/>
    </row>
    <row r="3" spans="1:9" ht="15.75" x14ac:dyDescent="0.25">
      <c r="A3" s="62"/>
      <c r="B3" s="62"/>
      <c r="C3" s="62"/>
      <c r="D3" s="62"/>
      <c r="E3" s="62"/>
      <c r="F3" s="515"/>
      <c r="G3" s="434"/>
      <c r="H3" s="515" t="s">
        <v>1808</v>
      </c>
      <c r="I3" s="515"/>
    </row>
    <row r="4" spans="1:9" s="449" customFormat="1" ht="15.75" x14ac:dyDescent="0.25">
      <c r="A4" s="62"/>
      <c r="B4" s="62"/>
      <c r="C4" s="62"/>
      <c r="D4" s="62"/>
      <c r="E4" s="62"/>
      <c r="F4" s="515"/>
      <c r="G4" s="434"/>
      <c r="H4" s="515" t="s">
        <v>1809</v>
      </c>
      <c r="I4" s="515"/>
    </row>
    <row r="5" spans="1:9" s="200" customFormat="1" ht="15.75" x14ac:dyDescent="0.25">
      <c r="A5" s="62"/>
      <c r="B5" s="62"/>
      <c r="C5" s="62"/>
      <c r="D5" s="62"/>
      <c r="E5" s="62"/>
      <c r="F5" s="62"/>
      <c r="G5" s="267"/>
      <c r="H5" s="515" t="s">
        <v>1812</v>
      </c>
      <c r="I5" s="515"/>
    </row>
    <row r="6" spans="1:9" s="200" customFormat="1" ht="15.75" x14ac:dyDescent="0.25">
      <c r="A6" s="62"/>
      <c r="B6" s="62"/>
      <c r="C6" s="62"/>
      <c r="D6" s="62"/>
      <c r="E6" s="62"/>
      <c r="F6" s="62"/>
      <c r="G6" s="267"/>
      <c r="H6" s="507"/>
      <c r="I6" s="507"/>
    </row>
    <row r="7" spans="1:9" ht="14.45" customHeight="1" x14ac:dyDescent="0.25">
      <c r="A7" s="561" t="s">
        <v>1815</v>
      </c>
      <c r="B7" s="561"/>
      <c r="C7" s="561"/>
      <c r="D7" s="561"/>
      <c r="E7" s="561"/>
      <c r="F7" s="561"/>
      <c r="G7" s="561"/>
      <c r="H7" s="561"/>
      <c r="I7" s="561"/>
    </row>
    <row r="8" spans="1:9" ht="14.45" customHeight="1" x14ac:dyDescent="0.25">
      <c r="A8" s="561"/>
      <c r="B8" s="561"/>
      <c r="C8" s="561"/>
      <c r="D8" s="561"/>
      <c r="E8" s="561"/>
      <c r="F8" s="561"/>
      <c r="G8" s="561"/>
      <c r="H8" s="561"/>
      <c r="I8" s="561"/>
    </row>
    <row r="9" spans="1:9" ht="16.5" x14ac:dyDescent="0.25">
      <c r="A9" s="233"/>
      <c r="B9" s="233"/>
      <c r="C9" s="233"/>
      <c r="D9" s="233"/>
      <c r="E9" s="233"/>
      <c r="F9" s="233"/>
      <c r="G9" s="377"/>
      <c r="H9" s="377"/>
      <c r="I9" s="377"/>
    </row>
    <row r="10" spans="1:9" ht="15.75" x14ac:dyDescent="0.25">
      <c r="A10" s="62"/>
      <c r="B10" s="62"/>
      <c r="C10" s="62"/>
      <c r="D10" s="62"/>
      <c r="E10" s="62"/>
      <c r="F10" s="64"/>
      <c r="G10" s="342"/>
      <c r="H10" s="514"/>
      <c r="I10" s="514"/>
    </row>
    <row r="11" spans="1:9" ht="53.65" customHeight="1" x14ac:dyDescent="0.25">
      <c r="A11" s="66" t="s">
        <v>592</v>
      </c>
      <c r="B11" s="66" t="s">
        <v>1093</v>
      </c>
      <c r="C11" s="66" t="s">
        <v>1091</v>
      </c>
      <c r="D11" s="66" t="s">
        <v>113</v>
      </c>
      <c r="E11" s="66" t="s">
        <v>1092</v>
      </c>
      <c r="F11" s="66" t="s">
        <v>111</v>
      </c>
      <c r="G11" s="366" t="s">
        <v>1771</v>
      </c>
      <c r="H11" s="366" t="s">
        <v>1772</v>
      </c>
      <c r="I11" s="366" t="s">
        <v>1773</v>
      </c>
    </row>
    <row r="12" spans="1:9" s="200" customFormat="1" ht="33.4" customHeight="1" x14ac:dyDescent="0.25">
      <c r="A12" s="25" t="s">
        <v>246</v>
      </c>
      <c r="B12" s="20" t="s">
        <v>881</v>
      </c>
      <c r="C12" s="66"/>
      <c r="D12" s="66"/>
      <c r="E12" s="66"/>
      <c r="F12" s="66"/>
      <c r="G12" s="378">
        <f>G13</f>
        <v>9815.2999999999993</v>
      </c>
      <c r="H12" s="378">
        <f t="shared" ref="H12:H15" si="0">H13</f>
        <v>8148.8630000000003</v>
      </c>
      <c r="I12" s="378">
        <f>H12/G12*100</f>
        <v>83.022047212005759</v>
      </c>
    </row>
    <row r="13" spans="1:9" s="200" customFormat="1" ht="18.399999999999999" customHeight="1" x14ac:dyDescent="0.25">
      <c r="A13" s="25" t="s">
        <v>243</v>
      </c>
      <c r="B13" s="20" t="s">
        <v>881</v>
      </c>
      <c r="C13" s="66">
        <v>10</v>
      </c>
      <c r="D13" s="66"/>
      <c r="E13" s="66"/>
      <c r="F13" s="66"/>
      <c r="G13" s="378">
        <f>G14</f>
        <v>9815.2999999999993</v>
      </c>
      <c r="H13" s="378">
        <f t="shared" si="0"/>
        <v>8148.8630000000003</v>
      </c>
      <c r="I13" s="378">
        <f t="shared" ref="I13:I48" si="1">H13/G13*100</f>
        <v>83.022047212005759</v>
      </c>
    </row>
    <row r="14" spans="1:9" s="200" customFormat="1" ht="18.399999999999999" customHeight="1" x14ac:dyDescent="0.25">
      <c r="A14" s="25" t="s">
        <v>245</v>
      </c>
      <c r="B14" s="20" t="s">
        <v>881</v>
      </c>
      <c r="C14" s="66">
        <v>10</v>
      </c>
      <c r="D14" s="40" t="s">
        <v>118</v>
      </c>
      <c r="E14" s="66"/>
      <c r="F14" s="66"/>
      <c r="G14" s="378">
        <f>G15</f>
        <v>9815.2999999999993</v>
      </c>
      <c r="H14" s="378">
        <f t="shared" si="0"/>
        <v>8148.8630000000003</v>
      </c>
      <c r="I14" s="378">
        <f t="shared" si="1"/>
        <v>83.022047212005759</v>
      </c>
    </row>
    <row r="15" spans="1:9" s="200" customFormat="1" ht="28.15" customHeight="1" x14ac:dyDescent="0.25">
      <c r="A15" s="29" t="s">
        <v>248</v>
      </c>
      <c r="B15" s="20" t="s">
        <v>881</v>
      </c>
      <c r="C15" s="66">
        <v>10</v>
      </c>
      <c r="D15" s="40" t="s">
        <v>118</v>
      </c>
      <c r="E15" s="66">
        <v>300</v>
      </c>
      <c r="F15" s="66"/>
      <c r="G15" s="378">
        <f>G16</f>
        <v>9815.2999999999993</v>
      </c>
      <c r="H15" s="378">
        <f t="shared" si="0"/>
        <v>8148.8630000000003</v>
      </c>
      <c r="I15" s="378">
        <f t="shared" si="1"/>
        <v>83.022047212005759</v>
      </c>
    </row>
    <row r="16" spans="1:9" s="200" customFormat="1" ht="34.700000000000003" customHeight="1" x14ac:dyDescent="0.25">
      <c r="A16" s="25" t="s">
        <v>348</v>
      </c>
      <c r="B16" s="20" t="s">
        <v>881</v>
      </c>
      <c r="C16" s="66">
        <v>10</v>
      </c>
      <c r="D16" s="40" t="s">
        <v>118</v>
      </c>
      <c r="E16" s="66">
        <v>310</v>
      </c>
      <c r="F16" s="66"/>
      <c r="G16" s="378">
        <f>'Пр.4 ведом.21'!G225</f>
        <v>9815.2999999999993</v>
      </c>
      <c r="H16" s="378">
        <f>'Пр.4 ведом.21'!H225</f>
        <v>8148.8630000000003</v>
      </c>
      <c r="I16" s="378">
        <f t="shared" si="1"/>
        <v>83.022047212005759</v>
      </c>
    </row>
    <row r="17" spans="1:9" s="200" customFormat="1" ht="37.35" customHeight="1" x14ac:dyDescent="0.25">
      <c r="A17" s="338" t="s">
        <v>148</v>
      </c>
      <c r="B17" s="20" t="s">
        <v>881</v>
      </c>
      <c r="C17" s="66">
        <v>10</v>
      </c>
      <c r="D17" s="40" t="s">
        <v>118</v>
      </c>
      <c r="E17" s="66">
        <v>310</v>
      </c>
      <c r="F17" s="66">
        <v>902</v>
      </c>
      <c r="G17" s="378">
        <f>G12</f>
        <v>9815.2999999999993</v>
      </c>
      <c r="H17" s="378">
        <f t="shared" ref="H17" si="2">H12</f>
        <v>8148.8630000000003</v>
      </c>
      <c r="I17" s="378">
        <f t="shared" si="1"/>
        <v>83.022047212005759</v>
      </c>
    </row>
    <row r="18" spans="1:9" s="200" customFormat="1" ht="63" hidden="1" x14ac:dyDescent="0.25">
      <c r="A18" s="226" t="s">
        <v>1034</v>
      </c>
      <c r="B18" s="20" t="s">
        <v>1048</v>
      </c>
      <c r="C18" s="40"/>
      <c r="D18" s="40"/>
      <c r="E18" s="40"/>
      <c r="F18" s="5"/>
      <c r="G18" s="6">
        <f>G19</f>
        <v>0</v>
      </c>
      <c r="H18" s="451">
        <f t="shared" ref="H18:H22" si="3">H19</f>
        <v>0</v>
      </c>
      <c r="I18" s="378" t="e">
        <f t="shared" si="1"/>
        <v>#DIV/0!</v>
      </c>
    </row>
    <row r="19" spans="1:9" s="200" customFormat="1" ht="15.75" hidden="1" x14ac:dyDescent="0.25">
      <c r="A19" s="45" t="s">
        <v>263</v>
      </c>
      <c r="B19" s="20" t="s">
        <v>1048</v>
      </c>
      <c r="C19" s="40" t="s">
        <v>264</v>
      </c>
      <c r="D19" s="40"/>
      <c r="E19" s="193"/>
      <c r="F19" s="5"/>
      <c r="G19" s="6">
        <f>G20</f>
        <v>0</v>
      </c>
      <c r="H19" s="451">
        <f t="shared" si="3"/>
        <v>0</v>
      </c>
      <c r="I19" s="378" t="e">
        <f t="shared" si="1"/>
        <v>#DIV/0!</v>
      </c>
    </row>
    <row r="20" spans="1:9" s="200" customFormat="1" ht="31.5" hidden="1" x14ac:dyDescent="0.25">
      <c r="A20" s="45" t="s">
        <v>466</v>
      </c>
      <c r="B20" s="20" t="s">
        <v>1048</v>
      </c>
      <c r="C20" s="40" t="s">
        <v>264</v>
      </c>
      <c r="D20" s="40" t="s">
        <v>264</v>
      </c>
      <c r="E20" s="193"/>
      <c r="F20" s="5"/>
      <c r="G20" s="6">
        <f>G21</f>
        <v>0</v>
      </c>
      <c r="H20" s="451">
        <f t="shared" si="3"/>
        <v>0</v>
      </c>
      <c r="I20" s="378" t="e">
        <f t="shared" si="1"/>
        <v>#DIV/0!</v>
      </c>
    </row>
    <row r="21" spans="1:9" ht="31.5" hidden="1" x14ac:dyDescent="0.25">
      <c r="A21" s="29" t="s">
        <v>248</v>
      </c>
      <c r="B21" s="20" t="s">
        <v>1048</v>
      </c>
      <c r="C21" s="40" t="s">
        <v>264</v>
      </c>
      <c r="D21" s="40" t="s">
        <v>264</v>
      </c>
      <c r="E21" s="40" t="s">
        <v>249</v>
      </c>
      <c r="F21" s="5"/>
      <c r="G21" s="6">
        <f>G22</f>
        <v>0</v>
      </c>
      <c r="H21" s="451">
        <f t="shared" si="3"/>
        <v>0</v>
      </c>
      <c r="I21" s="378" t="e">
        <f t="shared" si="1"/>
        <v>#DIV/0!</v>
      </c>
    </row>
    <row r="22" spans="1:9" ht="38.1" hidden="1" customHeight="1" x14ac:dyDescent="0.25">
      <c r="A22" s="29" t="s">
        <v>1197</v>
      </c>
      <c r="B22" s="20" t="s">
        <v>1048</v>
      </c>
      <c r="C22" s="40" t="s">
        <v>264</v>
      </c>
      <c r="D22" s="40" t="s">
        <v>264</v>
      </c>
      <c r="E22" s="40" t="s">
        <v>1196</v>
      </c>
      <c r="F22" s="5"/>
      <c r="G22" s="6">
        <f>G23</f>
        <v>0</v>
      </c>
      <c r="H22" s="451">
        <f t="shared" si="3"/>
        <v>0</v>
      </c>
      <c r="I22" s="378" t="e">
        <f t="shared" si="1"/>
        <v>#DIV/0!</v>
      </c>
    </row>
    <row r="23" spans="1:9" s="200" customFormat="1" ht="46.9" hidden="1" customHeight="1" x14ac:dyDescent="0.25">
      <c r="A23" s="45" t="s">
        <v>658</v>
      </c>
      <c r="B23" s="20" t="s">
        <v>1048</v>
      </c>
      <c r="C23" s="40" t="s">
        <v>264</v>
      </c>
      <c r="D23" s="40" t="s">
        <v>264</v>
      </c>
      <c r="E23" s="40" t="s">
        <v>1196</v>
      </c>
      <c r="F23" s="5">
        <v>903</v>
      </c>
      <c r="G23" s="6"/>
      <c r="H23" s="451"/>
      <c r="I23" s="378" t="e">
        <f t="shared" si="1"/>
        <v>#DIV/0!</v>
      </c>
    </row>
    <row r="24" spans="1:9" s="200" customFormat="1" ht="18.399999999999999" customHeight="1" x14ac:dyDescent="0.25">
      <c r="A24" s="25" t="s">
        <v>1036</v>
      </c>
      <c r="B24" s="20" t="s">
        <v>908</v>
      </c>
      <c r="C24" s="40"/>
      <c r="D24" s="40"/>
      <c r="E24" s="40"/>
      <c r="F24" s="5"/>
      <c r="G24" s="6">
        <f>G25</f>
        <v>420</v>
      </c>
      <c r="H24" s="451">
        <f t="shared" ref="H24:H28" si="4">H25</f>
        <v>180</v>
      </c>
      <c r="I24" s="378">
        <f t="shared" si="1"/>
        <v>42.857142857142854</v>
      </c>
    </row>
    <row r="25" spans="1:9" s="200" customFormat="1" ht="20.25" customHeight="1" x14ac:dyDescent="0.25">
      <c r="A25" s="25" t="s">
        <v>1085</v>
      </c>
      <c r="B25" s="20" t="s">
        <v>908</v>
      </c>
      <c r="C25" s="40" t="s">
        <v>244</v>
      </c>
      <c r="D25" s="40"/>
      <c r="E25" s="40"/>
      <c r="F25" s="5"/>
      <c r="G25" s="6">
        <f>G26</f>
        <v>420</v>
      </c>
      <c r="H25" s="451">
        <f t="shared" si="4"/>
        <v>180</v>
      </c>
      <c r="I25" s="378">
        <f t="shared" si="1"/>
        <v>42.857142857142854</v>
      </c>
    </row>
    <row r="26" spans="1:9" s="200" customFormat="1" ht="19.7" customHeight="1" x14ac:dyDescent="0.25">
      <c r="A26" s="29" t="s">
        <v>252</v>
      </c>
      <c r="B26" s="20" t="s">
        <v>908</v>
      </c>
      <c r="C26" s="40" t="s">
        <v>244</v>
      </c>
      <c r="D26" s="40" t="s">
        <v>215</v>
      </c>
      <c r="E26" s="40"/>
      <c r="F26" s="5"/>
      <c r="G26" s="6">
        <f>G27</f>
        <v>420</v>
      </c>
      <c r="H26" s="451">
        <f t="shared" si="4"/>
        <v>180</v>
      </c>
      <c r="I26" s="378">
        <f t="shared" si="1"/>
        <v>42.857142857142854</v>
      </c>
    </row>
    <row r="27" spans="1:9" s="200" customFormat="1" ht="33.75" customHeight="1" x14ac:dyDescent="0.25">
      <c r="A27" s="25" t="s">
        <v>248</v>
      </c>
      <c r="B27" s="20" t="s">
        <v>908</v>
      </c>
      <c r="C27" s="40" t="s">
        <v>244</v>
      </c>
      <c r="D27" s="40" t="s">
        <v>215</v>
      </c>
      <c r="E27" s="40" t="s">
        <v>249</v>
      </c>
      <c r="F27" s="5"/>
      <c r="G27" s="6">
        <f>G28</f>
        <v>420</v>
      </c>
      <c r="H27" s="451">
        <f t="shared" si="4"/>
        <v>180</v>
      </c>
      <c r="I27" s="378">
        <f t="shared" si="1"/>
        <v>42.857142857142854</v>
      </c>
    </row>
    <row r="28" spans="1:9" s="200" customFormat="1" ht="31.9" customHeight="1" x14ac:dyDescent="0.25">
      <c r="A28" s="25" t="s">
        <v>348</v>
      </c>
      <c r="B28" s="20" t="s">
        <v>908</v>
      </c>
      <c r="C28" s="40" t="s">
        <v>244</v>
      </c>
      <c r="D28" s="40" t="s">
        <v>215</v>
      </c>
      <c r="E28" s="40" t="s">
        <v>349</v>
      </c>
      <c r="F28" s="5"/>
      <c r="G28" s="6">
        <f>G29</f>
        <v>420</v>
      </c>
      <c r="H28" s="451">
        <f t="shared" si="4"/>
        <v>180</v>
      </c>
      <c r="I28" s="378">
        <f t="shared" si="1"/>
        <v>42.857142857142854</v>
      </c>
    </row>
    <row r="29" spans="1:9" s="200" customFormat="1" ht="55.7" customHeight="1" x14ac:dyDescent="0.25">
      <c r="A29" s="45" t="s">
        <v>658</v>
      </c>
      <c r="B29" s="20" t="s">
        <v>908</v>
      </c>
      <c r="C29" s="40" t="s">
        <v>244</v>
      </c>
      <c r="D29" s="40" t="s">
        <v>215</v>
      </c>
      <c r="E29" s="40" t="s">
        <v>349</v>
      </c>
      <c r="F29" s="5">
        <v>903</v>
      </c>
      <c r="G29" s="6">
        <f>'Пр.4 ведом.21'!G489</f>
        <v>420</v>
      </c>
      <c r="H29" s="451">
        <f>'Пр.4 ведом.21'!H489</f>
        <v>180</v>
      </c>
      <c r="I29" s="378">
        <f t="shared" si="1"/>
        <v>42.857142857142854</v>
      </c>
    </row>
    <row r="30" spans="1:9" s="200" customFormat="1" ht="61.15" customHeight="1" x14ac:dyDescent="0.25">
      <c r="A30" s="98" t="s">
        <v>1039</v>
      </c>
      <c r="B30" s="20" t="s">
        <v>910</v>
      </c>
      <c r="C30" s="40"/>
      <c r="D30" s="40"/>
      <c r="E30" s="40"/>
      <c r="F30" s="5"/>
      <c r="G30" s="6">
        <f>G31</f>
        <v>630</v>
      </c>
      <c r="H30" s="451">
        <f t="shared" ref="H30:H34" si="5">H31</f>
        <v>370.3</v>
      </c>
      <c r="I30" s="378">
        <f t="shared" si="1"/>
        <v>58.777777777777786</v>
      </c>
    </row>
    <row r="31" spans="1:9" ht="15.75" x14ac:dyDescent="0.25">
      <c r="A31" s="80" t="s">
        <v>243</v>
      </c>
      <c r="B31" s="20" t="s">
        <v>910</v>
      </c>
      <c r="C31" s="9" t="s">
        <v>244</v>
      </c>
      <c r="D31" s="9"/>
      <c r="E31" s="9"/>
      <c r="F31" s="9"/>
      <c r="G31" s="10">
        <f>G32</f>
        <v>630</v>
      </c>
      <c r="H31" s="10">
        <f t="shared" si="5"/>
        <v>370.3</v>
      </c>
      <c r="I31" s="378">
        <f t="shared" si="1"/>
        <v>58.777777777777786</v>
      </c>
    </row>
    <row r="32" spans="1:9" ht="19.149999999999999" customHeight="1" x14ac:dyDescent="0.25">
      <c r="A32" s="29" t="s">
        <v>252</v>
      </c>
      <c r="B32" s="20" t="s">
        <v>910</v>
      </c>
      <c r="C32" s="40" t="s">
        <v>244</v>
      </c>
      <c r="D32" s="40" t="s">
        <v>215</v>
      </c>
      <c r="E32" s="40"/>
      <c r="F32" s="5"/>
      <c r="G32" s="6">
        <f>G33</f>
        <v>630</v>
      </c>
      <c r="H32" s="451">
        <f t="shared" si="5"/>
        <v>370.3</v>
      </c>
      <c r="I32" s="378">
        <f t="shared" si="1"/>
        <v>58.777777777777786</v>
      </c>
    </row>
    <row r="33" spans="1:9" ht="31.5" x14ac:dyDescent="0.25">
      <c r="A33" s="29" t="s">
        <v>248</v>
      </c>
      <c r="B33" s="20" t="s">
        <v>910</v>
      </c>
      <c r="C33" s="40" t="s">
        <v>244</v>
      </c>
      <c r="D33" s="40" t="s">
        <v>215</v>
      </c>
      <c r="E33" s="40" t="s">
        <v>249</v>
      </c>
      <c r="F33" s="5"/>
      <c r="G33" s="6">
        <f>G34</f>
        <v>630</v>
      </c>
      <c r="H33" s="451">
        <f t="shared" si="5"/>
        <v>370.3</v>
      </c>
      <c r="I33" s="378">
        <f t="shared" si="1"/>
        <v>58.777777777777786</v>
      </c>
    </row>
    <row r="34" spans="1:9" ht="31.5" x14ac:dyDescent="0.25">
      <c r="A34" s="29" t="s">
        <v>348</v>
      </c>
      <c r="B34" s="20" t="s">
        <v>910</v>
      </c>
      <c r="C34" s="40" t="s">
        <v>244</v>
      </c>
      <c r="D34" s="40" t="s">
        <v>215</v>
      </c>
      <c r="E34" s="81" t="s">
        <v>349</v>
      </c>
      <c r="F34" s="5"/>
      <c r="G34" s="6">
        <f>G35</f>
        <v>630</v>
      </c>
      <c r="H34" s="451">
        <f t="shared" si="5"/>
        <v>370.3</v>
      </c>
      <c r="I34" s="378">
        <f t="shared" si="1"/>
        <v>58.777777777777786</v>
      </c>
    </row>
    <row r="35" spans="1:9" s="200" customFormat="1" ht="46.9" customHeight="1" x14ac:dyDescent="0.25">
      <c r="A35" s="45" t="s">
        <v>658</v>
      </c>
      <c r="B35" s="20" t="s">
        <v>910</v>
      </c>
      <c r="C35" s="40" t="s">
        <v>244</v>
      </c>
      <c r="D35" s="40" t="s">
        <v>215</v>
      </c>
      <c r="E35" s="81" t="s">
        <v>349</v>
      </c>
      <c r="F35" s="5">
        <v>903</v>
      </c>
      <c r="G35" s="6">
        <f>'Пр.4 ведом.21'!G479</f>
        <v>630</v>
      </c>
      <c r="H35" s="451">
        <f>'Пр.4 ведом.21'!H479</f>
        <v>370.3</v>
      </c>
      <c r="I35" s="378">
        <f t="shared" si="1"/>
        <v>58.777777777777786</v>
      </c>
    </row>
    <row r="36" spans="1:9" ht="31.5" x14ac:dyDescent="0.25">
      <c r="A36" s="25" t="s">
        <v>998</v>
      </c>
      <c r="B36" s="20" t="s">
        <v>911</v>
      </c>
      <c r="C36" s="40"/>
      <c r="D36" s="40"/>
      <c r="E36" s="40"/>
      <c r="F36" s="5"/>
      <c r="G36" s="6">
        <f>G37</f>
        <v>257</v>
      </c>
      <c r="H36" s="451">
        <f t="shared" ref="H36:H40" si="6">H37</f>
        <v>190</v>
      </c>
      <c r="I36" s="378">
        <f t="shared" si="1"/>
        <v>73.929961089494171</v>
      </c>
    </row>
    <row r="37" spans="1:9" s="200" customFormat="1" ht="15.75" x14ac:dyDescent="0.25">
      <c r="A37" s="80" t="s">
        <v>243</v>
      </c>
      <c r="B37" s="20" t="s">
        <v>911</v>
      </c>
      <c r="C37" s="40" t="s">
        <v>244</v>
      </c>
      <c r="D37" s="40"/>
      <c r="E37" s="40"/>
      <c r="F37" s="5"/>
      <c r="G37" s="6">
        <f>G38</f>
        <v>257</v>
      </c>
      <c r="H37" s="451">
        <f t="shared" si="6"/>
        <v>190</v>
      </c>
      <c r="I37" s="378">
        <f t="shared" si="1"/>
        <v>73.929961089494171</v>
      </c>
    </row>
    <row r="38" spans="1:9" ht="17.649999999999999" customHeight="1" x14ac:dyDescent="0.25">
      <c r="A38" s="29" t="s">
        <v>252</v>
      </c>
      <c r="B38" s="20" t="s">
        <v>911</v>
      </c>
      <c r="C38" s="40" t="s">
        <v>244</v>
      </c>
      <c r="D38" s="40" t="s">
        <v>215</v>
      </c>
      <c r="E38" s="40"/>
      <c r="F38" s="5"/>
      <c r="G38" s="6">
        <f>G39</f>
        <v>257</v>
      </c>
      <c r="H38" s="451">
        <f t="shared" si="6"/>
        <v>190</v>
      </c>
      <c r="I38" s="378">
        <f t="shared" si="1"/>
        <v>73.929961089494171</v>
      </c>
    </row>
    <row r="39" spans="1:9" ht="31.5" x14ac:dyDescent="0.25">
      <c r="A39" s="29" t="s">
        <v>248</v>
      </c>
      <c r="B39" s="20" t="s">
        <v>911</v>
      </c>
      <c r="C39" s="40" t="s">
        <v>244</v>
      </c>
      <c r="D39" s="40" t="s">
        <v>215</v>
      </c>
      <c r="E39" s="40" t="s">
        <v>249</v>
      </c>
      <c r="F39" s="5"/>
      <c r="G39" s="6">
        <f>G40</f>
        <v>257</v>
      </c>
      <c r="H39" s="451">
        <f t="shared" si="6"/>
        <v>190</v>
      </c>
      <c r="I39" s="378">
        <f t="shared" si="1"/>
        <v>73.929961089494171</v>
      </c>
    </row>
    <row r="40" spans="1:9" ht="31.5" x14ac:dyDescent="0.25">
      <c r="A40" s="29" t="s">
        <v>348</v>
      </c>
      <c r="B40" s="20" t="s">
        <v>911</v>
      </c>
      <c r="C40" s="40" t="s">
        <v>244</v>
      </c>
      <c r="D40" s="40" t="s">
        <v>215</v>
      </c>
      <c r="E40" s="40" t="s">
        <v>349</v>
      </c>
      <c r="F40" s="5"/>
      <c r="G40" s="6">
        <f>G41</f>
        <v>257</v>
      </c>
      <c r="H40" s="451">
        <f t="shared" si="6"/>
        <v>190</v>
      </c>
      <c r="I40" s="378">
        <f t="shared" si="1"/>
        <v>73.929961089494171</v>
      </c>
    </row>
    <row r="41" spans="1:9" s="200" customFormat="1" ht="57.2" customHeight="1" x14ac:dyDescent="0.25">
      <c r="A41" s="45" t="s">
        <v>658</v>
      </c>
      <c r="B41" s="20" t="s">
        <v>911</v>
      </c>
      <c r="C41" s="40" t="s">
        <v>244</v>
      </c>
      <c r="D41" s="40" t="s">
        <v>215</v>
      </c>
      <c r="E41" s="40" t="s">
        <v>349</v>
      </c>
      <c r="F41" s="5">
        <v>903</v>
      </c>
      <c r="G41" s="6">
        <f>'Пр.4 ведом.21'!G485</f>
        <v>257</v>
      </c>
      <c r="H41" s="451">
        <f>'Пр.4 ведом.21'!H485</f>
        <v>190</v>
      </c>
      <c r="I41" s="378">
        <f t="shared" si="1"/>
        <v>73.929961089494171</v>
      </c>
    </row>
    <row r="42" spans="1:9" s="200" customFormat="1" ht="63" hidden="1" x14ac:dyDescent="0.25">
      <c r="A42" s="25" t="s">
        <v>1040</v>
      </c>
      <c r="B42" s="20" t="s">
        <v>912</v>
      </c>
      <c r="C42" s="40"/>
      <c r="D42" s="40"/>
      <c r="E42" s="40"/>
      <c r="F42" s="5"/>
      <c r="G42" s="6">
        <f>G43</f>
        <v>0</v>
      </c>
      <c r="H42" s="451">
        <f t="shared" ref="H42:H45" si="7">H43</f>
        <v>0</v>
      </c>
      <c r="I42" s="378" t="e">
        <f t="shared" si="1"/>
        <v>#DIV/0!</v>
      </c>
    </row>
    <row r="43" spans="1:9" s="200" customFormat="1" ht="15.75" hidden="1" x14ac:dyDescent="0.25">
      <c r="A43" s="80" t="s">
        <v>243</v>
      </c>
      <c r="B43" s="20" t="s">
        <v>912</v>
      </c>
      <c r="C43" s="40" t="s">
        <v>244</v>
      </c>
      <c r="D43" s="40"/>
      <c r="E43" s="40"/>
      <c r="F43" s="5"/>
      <c r="G43" s="6">
        <f>G44</f>
        <v>0</v>
      </c>
      <c r="H43" s="451">
        <f t="shared" si="7"/>
        <v>0</v>
      </c>
      <c r="I43" s="378" t="e">
        <f t="shared" si="1"/>
        <v>#DIV/0!</v>
      </c>
    </row>
    <row r="44" spans="1:9" ht="15.75" hidden="1" x14ac:dyDescent="0.25">
      <c r="A44" s="29" t="s">
        <v>252</v>
      </c>
      <c r="B44" s="20" t="s">
        <v>912</v>
      </c>
      <c r="C44" s="40" t="s">
        <v>244</v>
      </c>
      <c r="D44" s="40" t="s">
        <v>215</v>
      </c>
      <c r="E44" s="40"/>
      <c r="F44" s="5">
        <v>903</v>
      </c>
      <c r="G44" s="6">
        <f>G45</f>
        <v>0</v>
      </c>
      <c r="H44" s="451">
        <f t="shared" si="7"/>
        <v>0</v>
      </c>
      <c r="I44" s="378" t="e">
        <f t="shared" si="1"/>
        <v>#DIV/0!</v>
      </c>
    </row>
    <row r="45" spans="1:9" ht="31.5" hidden="1" x14ac:dyDescent="0.25">
      <c r="A45" s="29" t="s">
        <v>248</v>
      </c>
      <c r="B45" s="20" t="s">
        <v>912</v>
      </c>
      <c r="C45" s="40" t="s">
        <v>244</v>
      </c>
      <c r="D45" s="40" t="s">
        <v>215</v>
      </c>
      <c r="E45" s="40" t="s">
        <v>249</v>
      </c>
      <c r="F45" s="5">
        <v>903</v>
      </c>
      <c r="G45" s="6">
        <f>G46</f>
        <v>0</v>
      </c>
      <c r="H45" s="451">
        <f t="shared" si="7"/>
        <v>0</v>
      </c>
      <c r="I45" s="378" t="e">
        <f t="shared" si="1"/>
        <v>#DIV/0!</v>
      </c>
    </row>
    <row r="46" spans="1:9" ht="31.5" hidden="1" x14ac:dyDescent="0.25">
      <c r="A46" s="29" t="s">
        <v>348</v>
      </c>
      <c r="B46" s="20" t="s">
        <v>912</v>
      </c>
      <c r="C46" s="40" t="s">
        <v>244</v>
      </c>
      <c r="D46" s="40" t="s">
        <v>215</v>
      </c>
      <c r="E46" s="40" t="s">
        <v>349</v>
      </c>
      <c r="F46" s="5">
        <v>903</v>
      </c>
      <c r="G46" s="6"/>
      <c r="H46" s="451"/>
      <c r="I46" s="378" t="e">
        <f t="shared" si="1"/>
        <v>#DIV/0!</v>
      </c>
    </row>
    <row r="47" spans="1:9" s="200" customFormat="1" ht="47.25" hidden="1" x14ac:dyDescent="0.25">
      <c r="A47" s="45" t="s">
        <v>658</v>
      </c>
      <c r="B47" s="20" t="s">
        <v>912</v>
      </c>
      <c r="C47" s="40" t="s">
        <v>244</v>
      </c>
      <c r="D47" s="40" t="s">
        <v>215</v>
      </c>
      <c r="E47" s="40" t="s">
        <v>349</v>
      </c>
      <c r="F47" s="5">
        <v>903</v>
      </c>
      <c r="G47" s="6"/>
      <c r="H47" s="451"/>
      <c r="I47" s="378" t="e">
        <f t="shared" si="1"/>
        <v>#DIV/0!</v>
      </c>
    </row>
    <row r="48" spans="1:9" ht="15.75" x14ac:dyDescent="0.25">
      <c r="A48" s="41" t="s">
        <v>657</v>
      </c>
      <c r="B48" s="234"/>
      <c r="C48" s="234"/>
      <c r="D48" s="234"/>
      <c r="E48" s="234"/>
      <c r="F48" s="41"/>
      <c r="G48" s="59">
        <f>G18+G24+G30+G36+G42+G12</f>
        <v>11122.3</v>
      </c>
      <c r="H48" s="59">
        <f t="shared" ref="H48" si="8">H18+H24+H30+H36+H42+H12</f>
        <v>8889.1630000000005</v>
      </c>
      <c r="I48" s="59">
        <f t="shared" si="1"/>
        <v>79.921985560540548</v>
      </c>
    </row>
  </sheetData>
  <mergeCells count="3">
    <mergeCell ref="A7:I8"/>
    <mergeCell ref="A1:C2"/>
    <mergeCell ref="H1:I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578"/>
      <c r="B1" s="578"/>
      <c r="C1" s="578"/>
      <c r="D1" s="62"/>
      <c r="E1" s="62"/>
      <c r="F1" s="201"/>
      <c r="G1" s="580" t="s">
        <v>1086</v>
      </c>
      <c r="H1" s="580"/>
      <c r="I1" s="201"/>
    </row>
    <row r="2" spans="1:9" ht="15.75" x14ac:dyDescent="0.25">
      <c r="A2" s="578"/>
      <c r="B2" s="578"/>
      <c r="C2" s="578"/>
      <c r="D2" s="62"/>
      <c r="E2" s="62"/>
      <c r="F2" s="201"/>
      <c r="G2" s="580" t="s">
        <v>0</v>
      </c>
      <c r="H2" s="580"/>
      <c r="I2" s="201"/>
    </row>
    <row r="3" spans="1:9" ht="15.75" x14ac:dyDescent="0.25">
      <c r="A3" s="62"/>
      <c r="B3" s="62"/>
      <c r="C3" s="62"/>
      <c r="D3" s="62"/>
      <c r="E3" s="62"/>
      <c r="F3" s="62"/>
      <c r="G3" s="579" t="s">
        <v>1520</v>
      </c>
      <c r="H3" s="579"/>
      <c r="I3" s="201"/>
    </row>
    <row r="4" spans="1:9" s="200" customFormat="1" ht="15.75" x14ac:dyDescent="0.25">
      <c r="A4" s="62"/>
      <c r="B4" s="62"/>
      <c r="C4" s="62"/>
      <c r="D4" s="62"/>
      <c r="E4" s="62"/>
      <c r="F4" s="62"/>
      <c r="G4" s="62"/>
      <c r="H4" s="129"/>
      <c r="I4" s="201"/>
    </row>
    <row r="5" spans="1:9" ht="39.200000000000003" customHeight="1" x14ac:dyDescent="0.25">
      <c r="A5" s="561" t="s">
        <v>1453</v>
      </c>
      <c r="B5" s="561"/>
      <c r="C5" s="561"/>
      <c r="D5" s="561"/>
      <c r="E5" s="561"/>
      <c r="F5" s="561"/>
      <c r="G5" s="561"/>
      <c r="H5" s="561"/>
      <c r="I5" s="201"/>
    </row>
    <row r="6" spans="1:9" ht="16.5" x14ac:dyDescent="0.25">
      <c r="A6" s="233"/>
      <c r="B6" s="233"/>
      <c r="C6" s="233"/>
      <c r="D6" s="233"/>
      <c r="E6" s="233"/>
      <c r="F6" s="233"/>
      <c r="G6" s="233"/>
      <c r="H6" s="201"/>
      <c r="I6" s="201"/>
    </row>
    <row r="7" spans="1:9" ht="15.75" x14ac:dyDescent="0.25">
      <c r="A7" s="62"/>
      <c r="B7" s="62"/>
      <c r="C7" s="62"/>
      <c r="D7" s="62"/>
      <c r="E7" s="62"/>
      <c r="F7" s="64"/>
      <c r="G7" s="201"/>
      <c r="H7" s="65" t="s">
        <v>1</v>
      </c>
      <c r="I7" s="201"/>
    </row>
    <row r="8" spans="1:9" ht="47.25" x14ac:dyDescent="0.25">
      <c r="A8" s="66" t="s">
        <v>592</v>
      </c>
      <c r="B8" s="66" t="s">
        <v>1093</v>
      </c>
      <c r="C8" s="66" t="s">
        <v>1091</v>
      </c>
      <c r="D8" s="66" t="s">
        <v>113</v>
      </c>
      <c r="E8" s="66" t="s">
        <v>1092</v>
      </c>
      <c r="F8" s="66" t="s">
        <v>111</v>
      </c>
      <c r="G8" s="66" t="s">
        <v>1027</v>
      </c>
      <c r="H8" s="66" t="s">
        <v>1291</v>
      </c>
      <c r="I8" s="201"/>
    </row>
    <row r="9" spans="1:9" ht="68.25" hidden="1" customHeight="1" x14ac:dyDescent="0.25">
      <c r="A9" s="226" t="s">
        <v>1034</v>
      </c>
      <c r="B9" s="20" t="s">
        <v>1048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1"/>
    </row>
    <row r="10" spans="1:9" ht="15.75" hidden="1" x14ac:dyDescent="0.25">
      <c r="A10" s="45" t="s">
        <v>263</v>
      </c>
      <c r="B10" s="20" t="s">
        <v>1048</v>
      </c>
      <c r="C10" s="40" t="s">
        <v>264</v>
      </c>
      <c r="D10" s="40"/>
      <c r="E10" s="193"/>
      <c r="F10" s="5"/>
      <c r="G10" s="6">
        <f t="shared" si="0"/>
        <v>0</v>
      </c>
      <c r="H10" s="6">
        <f t="shared" si="0"/>
        <v>0</v>
      </c>
      <c r="I10" s="201"/>
    </row>
    <row r="11" spans="1:9" ht="31.5" hidden="1" x14ac:dyDescent="0.25">
      <c r="A11" s="45" t="s">
        <v>466</v>
      </c>
      <c r="B11" s="20" t="s">
        <v>1048</v>
      </c>
      <c r="C11" s="40" t="s">
        <v>264</v>
      </c>
      <c r="D11" s="40" t="s">
        <v>264</v>
      </c>
      <c r="E11" s="193"/>
      <c r="F11" s="5"/>
      <c r="G11" s="6">
        <f t="shared" si="0"/>
        <v>0</v>
      </c>
      <c r="H11" s="6">
        <f t="shared" si="0"/>
        <v>0</v>
      </c>
      <c r="I11" s="201"/>
    </row>
    <row r="12" spans="1:9" ht="31.5" hidden="1" x14ac:dyDescent="0.25">
      <c r="A12" s="29" t="s">
        <v>248</v>
      </c>
      <c r="B12" s="20" t="s">
        <v>1048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201"/>
    </row>
    <row r="13" spans="1:9" ht="31.5" hidden="1" x14ac:dyDescent="0.25">
      <c r="A13" s="29" t="s">
        <v>348</v>
      </c>
      <c r="B13" s="20" t="s">
        <v>1048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201"/>
    </row>
    <row r="14" spans="1:9" ht="47.25" hidden="1" x14ac:dyDescent="0.25">
      <c r="A14" s="45" t="s">
        <v>658</v>
      </c>
      <c r="B14" s="20" t="s">
        <v>1048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201"/>
    </row>
    <row r="15" spans="1:9" s="200" customFormat="1" ht="31.5" x14ac:dyDescent="0.25">
      <c r="A15" s="25" t="s">
        <v>246</v>
      </c>
      <c r="B15" s="20" t="s">
        <v>881</v>
      </c>
      <c r="C15" s="66"/>
      <c r="D15" s="66"/>
      <c r="E15" s="66"/>
      <c r="F15" s="66"/>
      <c r="G15" s="339">
        <f t="shared" ref="G15:H18" si="1">G16</f>
        <v>9815.2999999999993</v>
      </c>
      <c r="H15" s="339">
        <f t="shared" si="1"/>
        <v>9815.2999999999993</v>
      </c>
      <c r="I15" s="201"/>
    </row>
    <row r="16" spans="1:9" s="200" customFormat="1" ht="15.75" x14ac:dyDescent="0.25">
      <c r="A16" s="25" t="s">
        <v>243</v>
      </c>
      <c r="B16" s="20" t="s">
        <v>881</v>
      </c>
      <c r="C16" s="66">
        <v>10</v>
      </c>
      <c r="D16" s="66"/>
      <c r="E16" s="66"/>
      <c r="F16" s="66"/>
      <c r="G16" s="339">
        <f t="shared" si="1"/>
        <v>9815.2999999999993</v>
      </c>
      <c r="H16" s="339">
        <f t="shared" si="1"/>
        <v>9815.2999999999993</v>
      </c>
      <c r="I16" s="201"/>
    </row>
    <row r="17" spans="1:9" s="200" customFormat="1" ht="15.75" x14ac:dyDescent="0.25">
      <c r="A17" s="25" t="s">
        <v>245</v>
      </c>
      <c r="B17" s="20" t="s">
        <v>881</v>
      </c>
      <c r="C17" s="66">
        <v>10</v>
      </c>
      <c r="D17" s="40" t="s">
        <v>118</v>
      </c>
      <c r="E17" s="66"/>
      <c r="F17" s="66"/>
      <c r="G17" s="339">
        <f t="shared" si="1"/>
        <v>9815.2999999999993</v>
      </c>
      <c r="H17" s="339">
        <f t="shared" si="1"/>
        <v>9815.2999999999993</v>
      </c>
      <c r="I17" s="201"/>
    </row>
    <row r="18" spans="1:9" s="200" customFormat="1" ht="31.5" x14ac:dyDescent="0.25">
      <c r="A18" s="29" t="s">
        <v>248</v>
      </c>
      <c r="B18" s="20" t="s">
        <v>881</v>
      </c>
      <c r="C18" s="66">
        <v>10</v>
      </c>
      <c r="D18" s="40" t="s">
        <v>118</v>
      </c>
      <c r="E18" s="66">
        <v>300</v>
      </c>
      <c r="F18" s="66"/>
      <c r="G18" s="339">
        <f t="shared" si="1"/>
        <v>9815.2999999999993</v>
      </c>
      <c r="H18" s="339">
        <f t="shared" si="1"/>
        <v>9815.2999999999993</v>
      </c>
      <c r="I18" s="201"/>
    </row>
    <row r="19" spans="1:9" s="200" customFormat="1" ht="31.5" x14ac:dyDescent="0.25">
      <c r="A19" s="25" t="s">
        <v>348</v>
      </c>
      <c r="B19" s="20" t="s">
        <v>881</v>
      </c>
      <c r="C19" s="66">
        <v>10</v>
      </c>
      <c r="D19" s="40" t="s">
        <v>118</v>
      </c>
      <c r="E19" s="66">
        <v>310</v>
      </c>
      <c r="F19" s="66"/>
      <c r="G19" s="339">
        <f>'пр.6.1.ведом.22-23'!G224</f>
        <v>9815.2999999999993</v>
      </c>
      <c r="H19" s="339">
        <f>'пр.6.1.ведом.22-23'!H224</f>
        <v>9815.2999999999993</v>
      </c>
      <c r="I19" s="201"/>
    </row>
    <row r="20" spans="1:9" s="200" customFormat="1" ht="31.5" x14ac:dyDescent="0.25">
      <c r="A20" s="338" t="s">
        <v>148</v>
      </c>
      <c r="B20" s="20" t="s">
        <v>881</v>
      </c>
      <c r="C20" s="66">
        <v>10</v>
      </c>
      <c r="D20" s="40" t="s">
        <v>118</v>
      </c>
      <c r="E20" s="66">
        <v>310</v>
      </c>
      <c r="F20" s="66">
        <v>902</v>
      </c>
      <c r="G20" s="339">
        <f>G15</f>
        <v>9815.2999999999993</v>
      </c>
      <c r="H20" s="6">
        <f>'пр.6.1.ведом.22-23'!H224</f>
        <v>9815.2999999999993</v>
      </c>
      <c r="I20" s="201"/>
    </row>
    <row r="21" spans="1:9" ht="31.5" x14ac:dyDescent="0.25">
      <c r="A21" s="25" t="s">
        <v>1036</v>
      </c>
      <c r="B21" s="20" t="s">
        <v>908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1"/>
    </row>
    <row r="22" spans="1:9" ht="15.75" x14ac:dyDescent="0.25">
      <c r="A22" s="25" t="s">
        <v>1085</v>
      </c>
      <c r="B22" s="20" t="s">
        <v>908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1"/>
    </row>
    <row r="23" spans="1:9" ht="15.75" x14ac:dyDescent="0.25">
      <c r="A23" s="29" t="s">
        <v>252</v>
      </c>
      <c r="B23" s="20" t="s">
        <v>908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201"/>
    </row>
    <row r="24" spans="1:9" ht="31.5" x14ac:dyDescent="0.25">
      <c r="A24" s="25" t="s">
        <v>248</v>
      </c>
      <c r="B24" s="20" t="s">
        <v>908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201"/>
    </row>
    <row r="25" spans="1:9" ht="31.5" x14ac:dyDescent="0.25">
      <c r="A25" s="25" t="s">
        <v>348</v>
      </c>
      <c r="B25" s="20" t="s">
        <v>908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201"/>
    </row>
    <row r="26" spans="1:9" ht="47.25" x14ac:dyDescent="0.25">
      <c r="A26" s="45" t="s">
        <v>658</v>
      </c>
      <c r="B26" s="20" t="s">
        <v>908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'пр.6.1.ведом.22-23'!G467</f>
        <v>420</v>
      </c>
      <c r="H26" s="6">
        <f>'пр.6.1.ведом.22-23'!H467</f>
        <v>450</v>
      </c>
      <c r="I26" s="201"/>
    </row>
    <row r="27" spans="1:9" ht="63" x14ac:dyDescent="0.25">
      <c r="A27" s="98" t="s">
        <v>1039</v>
      </c>
      <c r="B27" s="20" t="s">
        <v>910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1"/>
    </row>
    <row r="28" spans="1:9" ht="15.75" x14ac:dyDescent="0.25">
      <c r="A28" s="80" t="s">
        <v>243</v>
      </c>
      <c r="B28" s="20" t="s">
        <v>910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1"/>
    </row>
    <row r="29" spans="1:9" ht="15.75" x14ac:dyDescent="0.25">
      <c r="A29" s="29" t="s">
        <v>252</v>
      </c>
      <c r="B29" s="20" t="s">
        <v>910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201"/>
    </row>
    <row r="30" spans="1:9" ht="31.5" x14ac:dyDescent="0.25">
      <c r="A30" s="29" t="s">
        <v>248</v>
      </c>
      <c r="B30" s="20" t="s">
        <v>910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201"/>
    </row>
    <row r="31" spans="1:9" ht="31.5" x14ac:dyDescent="0.25">
      <c r="A31" s="29" t="s">
        <v>348</v>
      </c>
      <c r="B31" s="20" t="s">
        <v>910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201"/>
    </row>
    <row r="32" spans="1:9" ht="47.25" x14ac:dyDescent="0.25">
      <c r="A32" s="45" t="s">
        <v>658</v>
      </c>
      <c r="B32" s="20" t="s">
        <v>910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'пр.6.1.ведом.22-23'!G457</f>
        <v>630</v>
      </c>
      <c r="H32" s="6">
        <f>'пр.6.1.ведом.22-23'!H457</f>
        <v>630</v>
      </c>
      <c r="I32" s="201"/>
    </row>
    <row r="33" spans="1:9" ht="31.5" x14ac:dyDescent="0.25">
      <c r="A33" s="25" t="s">
        <v>998</v>
      </c>
      <c r="B33" s="20" t="s">
        <v>911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1"/>
    </row>
    <row r="34" spans="1:9" ht="15.75" x14ac:dyDescent="0.25">
      <c r="A34" s="80" t="s">
        <v>243</v>
      </c>
      <c r="B34" s="20" t="s">
        <v>911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1"/>
    </row>
    <row r="35" spans="1:9" ht="15.75" x14ac:dyDescent="0.25">
      <c r="A35" s="29" t="s">
        <v>252</v>
      </c>
      <c r="B35" s="20" t="s">
        <v>911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201"/>
    </row>
    <row r="36" spans="1:9" ht="31.5" x14ac:dyDescent="0.25">
      <c r="A36" s="29" t="s">
        <v>248</v>
      </c>
      <c r="B36" s="20" t="s">
        <v>911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201"/>
    </row>
    <row r="37" spans="1:9" ht="31.5" x14ac:dyDescent="0.25">
      <c r="A37" s="29" t="s">
        <v>348</v>
      </c>
      <c r="B37" s="20" t="s">
        <v>911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201"/>
    </row>
    <row r="38" spans="1:9" ht="47.25" x14ac:dyDescent="0.25">
      <c r="A38" s="45" t="s">
        <v>658</v>
      </c>
      <c r="B38" s="20" t="s">
        <v>911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'пр.6.1.ведом.22-23'!G463</f>
        <v>257</v>
      </c>
      <c r="H38" s="6">
        <f>'пр.6.1.ведом.22-23'!H463</f>
        <v>257</v>
      </c>
      <c r="I38" s="201"/>
    </row>
    <row r="39" spans="1:9" ht="63" hidden="1" x14ac:dyDescent="0.25">
      <c r="A39" s="25" t="s">
        <v>1040</v>
      </c>
      <c r="B39" s="20" t="s">
        <v>912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1"/>
    </row>
    <row r="40" spans="1:9" ht="15.75" hidden="1" x14ac:dyDescent="0.25">
      <c r="A40" s="80" t="s">
        <v>243</v>
      </c>
      <c r="B40" s="20" t="s">
        <v>912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1"/>
    </row>
    <row r="41" spans="1:9" ht="15.75" hidden="1" x14ac:dyDescent="0.25">
      <c r="A41" s="29" t="s">
        <v>252</v>
      </c>
      <c r="B41" s="20" t="s">
        <v>912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1"/>
    </row>
    <row r="42" spans="1:9" ht="31.5" hidden="1" x14ac:dyDescent="0.25">
      <c r="A42" s="29" t="s">
        <v>248</v>
      </c>
      <c r="B42" s="20" t="s">
        <v>912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201"/>
    </row>
    <row r="43" spans="1:9" ht="31.5" hidden="1" x14ac:dyDescent="0.25">
      <c r="A43" s="29" t="s">
        <v>348</v>
      </c>
      <c r="B43" s="20" t="s">
        <v>912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201"/>
    </row>
    <row r="44" spans="1:9" ht="47.25" hidden="1" x14ac:dyDescent="0.25">
      <c r="A44" s="45" t="s">
        <v>658</v>
      </c>
      <c r="B44" s="20" t="s">
        <v>912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201"/>
    </row>
    <row r="45" spans="1:9" ht="15.75" x14ac:dyDescent="0.25">
      <c r="A45" s="41" t="s">
        <v>657</v>
      </c>
      <c r="B45" s="234"/>
      <c r="C45" s="234"/>
      <c r="D45" s="234"/>
      <c r="E45" s="234"/>
      <c r="F45" s="41"/>
      <c r="G45" s="59">
        <f>G9+G21+G27+G33+G39+G15</f>
        <v>11122.3</v>
      </c>
      <c r="H45" s="59">
        <f>H9+H21+H27+H33+H39+H15</f>
        <v>11152.3</v>
      </c>
      <c r="I45" s="201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5.140625" style="449" customWidth="1"/>
    <col min="2" max="2" width="15.28515625" style="449" customWidth="1"/>
    <col min="3" max="3" width="5.7109375" style="449" customWidth="1"/>
    <col min="4" max="4" width="6.7109375" style="449" customWidth="1"/>
    <col min="5" max="5" width="9.140625" style="449"/>
    <col min="6" max="6" width="8.140625" style="449" customWidth="1"/>
    <col min="7" max="7" width="13.42578125" style="22" customWidth="1"/>
    <col min="8" max="8" width="15.5703125" style="22" customWidth="1"/>
    <col min="9" max="16384" width="9.140625" style="449"/>
  </cols>
  <sheetData>
    <row r="1" spans="1:8" ht="15.75" x14ac:dyDescent="0.25">
      <c r="A1" s="201"/>
      <c r="B1" s="201"/>
      <c r="C1" s="201"/>
      <c r="D1" s="201"/>
      <c r="E1" s="201"/>
      <c r="F1" s="201"/>
      <c r="G1" s="577" t="s">
        <v>1528</v>
      </c>
      <c r="H1" s="577"/>
    </row>
    <row r="2" spans="1:8" ht="15.75" x14ac:dyDescent="0.25">
      <c r="A2" s="201"/>
      <c r="B2" s="201"/>
      <c r="C2" s="201"/>
      <c r="D2" s="201"/>
      <c r="E2" s="201"/>
      <c r="F2" s="201"/>
      <c r="G2" s="577" t="s">
        <v>1527</v>
      </c>
      <c r="H2" s="577"/>
    </row>
    <row r="3" spans="1:8" ht="15.75" x14ac:dyDescent="0.25">
      <c r="A3" s="201"/>
      <c r="B3" s="201"/>
      <c r="C3" s="201"/>
      <c r="D3" s="201"/>
      <c r="E3" s="201"/>
      <c r="F3" s="62"/>
      <c r="G3" s="554" t="s">
        <v>1521</v>
      </c>
      <c r="H3" s="554"/>
    </row>
    <row r="4" spans="1:8" ht="15.75" x14ac:dyDescent="0.25">
      <c r="A4" s="201"/>
      <c r="B4" s="201"/>
      <c r="C4" s="201"/>
      <c r="D4" s="201"/>
      <c r="E4" s="201"/>
      <c r="F4" s="62"/>
      <c r="G4" s="115"/>
      <c r="H4" s="494"/>
    </row>
    <row r="5" spans="1:8" ht="44.45" customHeight="1" x14ac:dyDescent="0.25">
      <c r="A5" s="576" t="s">
        <v>1329</v>
      </c>
      <c r="B5" s="576"/>
      <c r="C5" s="576"/>
      <c r="D5" s="576"/>
      <c r="E5" s="576"/>
      <c r="F5" s="576"/>
      <c r="G5" s="576"/>
      <c r="H5" s="576"/>
    </row>
    <row r="6" spans="1:8" ht="16.5" x14ac:dyDescent="0.25">
      <c r="A6" s="502"/>
      <c r="B6" s="502"/>
      <c r="C6" s="502"/>
      <c r="D6" s="502"/>
      <c r="E6" s="502"/>
      <c r="F6" s="502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68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76" t="s">
        <v>1027</v>
      </c>
      <c r="H8" s="366" t="s">
        <v>1291</v>
      </c>
    </row>
    <row r="9" spans="1:8" ht="47.25" x14ac:dyDescent="0.25">
      <c r="A9" s="58" t="s">
        <v>1373</v>
      </c>
      <c r="B9" s="7" t="s">
        <v>510</v>
      </c>
      <c r="C9" s="7"/>
      <c r="D9" s="7"/>
      <c r="E9" s="7"/>
      <c r="F9" s="7"/>
      <c r="G9" s="450">
        <f>G10+G17</f>
        <v>2319</v>
      </c>
      <c r="H9" s="450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61"/>
      <c r="D10" s="461"/>
      <c r="E10" s="461"/>
      <c r="F10" s="461"/>
      <c r="G10" s="451">
        <f>G13</f>
        <v>0</v>
      </c>
      <c r="H10" s="451">
        <f>H13</f>
        <v>0</v>
      </c>
    </row>
    <row r="11" spans="1:8" ht="15.75" hidden="1" x14ac:dyDescent="0.25">
      <c r="A11" s="29" t="s">
        <v>232</v>
      </c>
      <c r="B11" s="461" t="s">
        <v>958</v>
      </c>
      <c r="C11" s="461" t="s">
        <v>150</v>
      </c>
      <c r="D11" s="461"/>
      <c r="E11" s="461"/>
      <c r="F11" s="461"/>
      <c r="G11" s="451">
        <f t="shared" ref="G11:H14" si="0">G12</f>
        <v>0</v>
      </c>
      <c r="H11" s="451">
        <f t="shared" si="0"/>
        <v>0</v>
      </c>
    </row>
    <row r="12" spans="1:8" ht="15.75" hidden="1" x14ac:dyDescent="0.25">
      <c r="A12" s="29" t="s">
        <v>508</v>
      </c>
      <c r="B12" s="461" t="s">
        <v>958</v>
      </c>
      <c r="C12" s="461" t="s">
        <v>150</v>
      </c>
      <c r="D12" s="461" t="s">
        <v>219</v>
      </c>
      <c r="E12" s="461"/>
      <c r="F12" s="461"/>
      <c r="G12" s="451">
        <f t="shared" si="0"/>
        <v>0</v>
      </c>
      <c r="H12" s="451">
        <f t="shared" si="0"/>
        <v>0</v>
      </c>
    </row>
    <row r="13" spans="1:8" ht="31.5" hidden="1" x14ac:dyDescent="0.25">
      <c r="A13" s="29" t="s">
        <v>1001</v>
      </c>
      <c r="B13" s="461" t="s">
        <v>1000</v>
      </c>
      <c r="C13" s="461" t="s">
        <v>150</v>
      </c>
      <c r="D13" s="461" t="s">
        <v>219</v>
      </c>
      <c r="E13" s="461"/>
      <c r="F13" s="461"/>
      <c r="G13" s="451">
        <f t="shared" si="0"/>
        <v>0</v>
      </c>
      <c r="H13" s="451">
        <f t="shared" si="0"/>
        <v>0</v>
      </c>
    </row>
    <row r="14" spans="1:8" ht="31.5" hidden="1" x14ac:dyDescent="0.25">
      <c r="A14" s="458" t="s">
        <v>131</v>
      </c>
      <c r="B14" s="461" t="s">
        <v>1000</v>
      </c>
      <c r="C14" s="461" t="s">
        <v>150</v>
      </c>
      <c r="D14" s="461" t="s">
        <v>219</v>
      </c>
      <c r="E14" s="461" t="s">
        <v>132</v>
      </c>
      <c r="F14" s="461"/>
      <c r="G14" s="451">
        <f t="shared" si="0"/>
        <v>0</v>
      </c>
      <c r="H14" s="451">
        <f t="shared" si="0"/>
        <v>0</v>
      </c>
    </row>
    <row r="15" spans="1:8" ht="47.25" hidden="1" x14ac:dyDescent="0.25">
      <c r="A15" s="458" t="s">
        <v>133</v>
      </c>
      <c r="B15" s="461" t="s">
        <v>1000</v>
      </c>
      <c r="C15" s="461" t="s">
        <v>150</v>
      </c>
      <c r="D15" s="461" t="s">
        <v>219</v>
      </c>
      <c r="E15" s="461" t="s">
        <v>134</v>
      </c>
      <c r="F15" s="461"/>
      <c r="G15" s="451">
        <f>'пр.6.1.ведом.22-23 (2)'!G865</f>
        <v>0</v>
      </c>
      <c r="H15" s="451">
        <f>'пр.6.1.ведом.22-23 (2)'!H865</f>
        <v>0</v>
      </c>
    </row>
    <row r="16" spans="1:8" ht="47.25" hidden="1" x14ac:dyDescent="0.25">
      <c r="A16" s="45" t="s">
        <v>623</v>
      </c>
      <c r="B16" s="461" t="s">
        <v>1000</v>
      </c>
      <c r="C16" s="461" t="s">
        <v>150</v>
      </c>
      <c r="D16" s="461" t="s">
        <v>219</v>
      </c>
      <c r="E16" s="461" t="s">
        <v>134</v>
      </c>
      <c r="F16" s="461" t="s">
        <v>624</v>
      </c>
      <c r="G16" s="451">
        <f>G15</f>
        <v>0</v>
      </c>
      <c r="H16" s="451">
        <f>H15</f>
        <v>0</v>
      </c>
    </row>
    <row r="17" spans="1:8" ht="47.25" x14ac:dyDescent="0.25">
      <c r="A17" s="34" t="s">
        <v>1061</v>
      </c>
      <c r="B17" s="457" t="s">
        <v>959</v>
      </c>
      <c r="C17" s="461"/>
      <c r="D17" s="461"/>
      <c r="E17" s="461"/>
      <c r="F17" s="461"/>
      <c r="G17" s="450">
        <f t="shared" ref="G17:H19" si="1">G18</f>
        <v>2319</v>
      </c>
      <c r="H17" s="450">
        <f t="shared" si="1"/>
        <v>2319</v>
      </c>
    </row>
    <row r="18" spans="1:8" ht="15.75" x14ac:dyDescent="0.25">
      <c r="A18" s="29" t="s">
        <v>232</v>
      </c>
      <c r="B18" s="461" t="s">
        <v>959</v>
      </c>
      <c r="C18" s="461" t="s">
        <v>150</v>
      </c>
      <c r="D18" s="461"/>
      <c r="E18" s="461"/>
      <c r="F18" s="461"/>
      <c r="G18" s="451">
        <f t="shared" si="1"/>
        <v>2319</v>
      </c>
      <c r="H18" s="451">
        <f t="shared" si="1"/>
        <v>2319</v>
      </c>
    </row>
    <row r="19" spans="1:8" ht="15.75" x14ac:dyDescent="0.25">
      <c r="A19" s="29" t="s">
        <v>508</v>
      </c>
      <c r="B19" s="461" t="s">
        <v>959</v>
      </c>
      <c r="C19" s="461" t="s">
        <v>150</v>
      </c>
      <c r="D19" s="461" t="s">
        <v>219</v>
      </c>
      <c r="E19" s="461"/>
      <c r="F19" s="461"/>
      <c r="G19" s="451">
        <f t="shared" si="1"/>
        <v>2319</v>
      </c>
      <c r="H19" s="451">
        <f t="shared" si="1"/>
        <v>2319</v>
      </c>
    </row>
    <row r="20" spans="1:8" ht="15.75" x14ac:dyDescent="0.25">
      <c r="A20" s="29" t="s">
        <v>511</v>
      </c>
      <c r="B20" s="461" t="s">
        <v>1002</v>
      </c>
      <c r="C20" s="461" t="s">
        <v>150</v>
      </c>
      <c r="D20" s="461" t="s">
        <v>219</v>
      </c>
      <c r="E20" s="461"/>
      <c r="F20" s="461"/>
      <c r="G20" s="451">
        <f>G24+G27+G21</f>
        <v>2319</v>
      </c>
      <c r="H20" s="451">
        <f>H24+H27+H21</f>
        <v>2319</v>
      </c>
    </row>
    <row r="21" spans="1:8" ht="94.5" x14ac:dyDescent="0.25">
      <c r="A21" s="458" t="s">
        <v>127</v>
      </c>
      <c r="B21" s="461" t="s">
        <v>1002</v>
      </c>
      <c r="C21" s="461" t="s">
        <v>150</v>
      </c>
      <c r="D21" s="461" t="s">
        <v>219</v>
      </c>
      <c r="E21" s="461" t="s">
        <v>128</v>
      </c>
      <c r="F21" s="461"/>
      <c r="G21" s="451">
        <f>G22</f>
        <v>1807</v>
      </c>
      <c r="H21" s="451">
        <f>H22</f>
        <v>1807</v>
      </c>
    </row>
    <row r="22" spans="1:8" ht="31.5" x14ac:dyDescent="0.25">
      <c r="A22" s="458" t="s">
        <v>342</v>
      </c>
      <c r="B22" s="461" t="s">
        <v>1002</v>
      </c>
      <c r="C22" s="461" t="s">
        <v>150</v>
      </c>
      <c r="D22" s="461" t="s">
        <v>219</v>
      </c>
      <c r="E22" s="461" t="s">
        <v>209</v>
      </c>
      <c r="F22" s="461"/>
      <c r="G22" s="451">
        <f>'пр.6.1.ведом.22-23 (2)'!G869</f>
        <v>1807</v>
      </c>
      <c r="H22" s="451">
        <f>'пр.6.1.ведом.22-23 (2)'!H869</f>
        <v>1807</v>
      </c>
    </row>
    <row r="23" spans="1:8" ht="47.25" x14ac:dyDescent="0.25">
      <c r="A23" s="45" t="s">
        <v>623</v>
      </c>
      <c r="B23" s="461" t="s">
        <v>1002</v>
      </c>
      <c r="C23" s="461" t="s">
        <v>150</v>
      </c>
      <c r="D23" s="461" t="s">
        <v>219</v>
      </c>
      <c r="E23" s="461" t="s">
        <v>209</v>
      </c>
      <c r="F23" s="461" t="s">
        <v>624</v>
      </c>
      <c r="G23" s="451">
        <f>G22</f>
        <v>1807</v>
      </c>
      <c r="H23" s="451">
        <f>H22</f>
        <v>1807</v>
      </c>
    </row>
    <row r="24" spans="1:8" ht="31.5" x14ac:dyDescent="0.25">
      <c r="A24" s="29" t="s">
        <v>131</v>
      </c>
      <c r="B24" s="461" t="s">
        <v>1002</v>
      </c>
      <c r="C24" s="461" t="s">
        <v>150</v>
      </c>
      <c r="D24" s="461" t="s">
        <v>219</v>
      </c>
      <c r="E24" s="461" t="s">
        <v>132</v>
      </c>
      <c r="F24" s="461"/>
      <c r="G24" s="451">
        <f t="shared" ref="G24:H24" si="2">G25</f>
        <v>512</v>
      </c>
      <c r="H24" s="451">
        <f t="shared" si="2"/>
        <v>512</v>
      </c>
    </row>
    <row r="25" spans="1:8" ht="47.25" x14ac:dyDescent="0.25">
      <c r="A25" s="29" t="s">
        <v>133</v>
      </c>
      <c r="B25" s="461" t="s">
        <v>1002</v>
      </c>
      <c r="C25" s="461" t="s">
        <v>150</v>
      </c>
      <c r="D25" s="461" t="s">
        <v>219</v>
      </c>
      <c r="E25" s="461" t="s">
        <v>134</v>
      </c>
      <c r="F25" s="461"/>
      <c r="G25" s="451">
        <f>'пр.6.1.ведом.22-23 (2)'!G871</f>
        <v>512</v>
      </c>
      <c r="H25" s="451">
        <f>'пр.6.1.ведом.22-23 (2)'!H871</f>
        <v>512</v>
      </c>
    </row>
    <row r="26" spans="1:8" ht="47.25" x14ac:dyDescent="0.25">
      <c r="A26" s="45" t="s">
        <v>623</v>
      </c>
      <c r="B26" s="461" t="s">
        <v>1002</v>
      </c>
      <c r="C26" s="461" t="s">
        <v>150</v>
      </c>
      <c r="D26" s="461" t="s">
        <v>219</v>
      </c>
      <c r="E26" s="461" t="s">
        <v>134</v>
      </c>
      <c r="F26" s="461" t="s">
        <v>624</v>
      </c>
      <c r="G26" s="451">
        <f>G25</f>
        <v>512</v>
      </c>
      <c r="H26" s="451">
        <f>H25</f>
        <v>512</v>
      </c>
    </row>
    <row r="27" spans="1:8" ht="15.75" hidden="1" x14ac:dyDescent="0.25">
      <c r="A27" s="458" t="s">
        <v>135</v>
      </c>
      <c r="B27" s="461" t="s">
        <v>1002</v>
      </c>
      <c r="C27" s="461" t="s">
        <v>150</v>
      </c>
      <c r="D27" s="461" t="s">
        <v>219</v>
      </c>
      <c r="E27" s="461" t="s">
        <v>145</v>
      </c>
      <c r="F27" s="461"/>
      <c r="G27" s="451">
        <f t="shared" ref="G27:H27" si="3">G28</f>
        <v>0</v>
      </c>
      <c r="H27" s="451">
        <f t="shared" si="3"/>
        <v>0</v>
      </c>
    </row>
    <row r="28" spans="1:8" ht="15.75" hidden="1" x14ac:dyDescent="0.25">
      <c r="A28" s="458" t="s">
        <v>137</v>
      </c>
      <c r="B28" s="461" t="s">
        <v>1002</v>
      </c>
      <c r="C28" s="461" t="s">
        <v>150</v>
      </c>
      <c r="D28" s="461" t="s">
        <v>219</v>
      </c>
      <c r="E28" s="461" t="s">
        <v>138</v>
      </c>
      <c r="F28" s="461"/>
      <c r="G28" s="451">
        <f>'пр.6.1.ведом.22-23 (2)'!G873</f>
        <v>0</v>
      </c>
      <c r="H28" s="451">
        <f>'пр.6.1.ведом.22-23 (2)'!H873</f>
        <v>0</v>
      </c>
    </row>
    <row r="29" spans="1:8" ht="47.25" hidden="1" x14ac:dyDescent="0.25">
      <c r="A29" s="45" t="s">
        <v>623</v>
      </c>
      <c r="B29" s="461" t="s">
        <v>1002</v>
      </c>
      <c r="C29" s="461" t="s">
        <v>150</v>
      </c>
      <c r="D29" s="461" t="s">
        <v>219</v>
      </c>
      <c r="E29" s="461" t="s">
        <v>138</v>
      </c>
      <c r="F29" s="461" t="s">
        <v>624</v>
      </c>
      <c r="G29" s="451">
        <f>G28</f>
        <v>0</v>
      </c>
      <c r="H29" s="451">
        <f>H28</f>
        <v>0</v>
      </c>
    </row>
    <row r="30" spans="1:8" ht="63" x14ac:dyDescent="0.25">
      <c r="A30" s="58" t="s">
        <v>1385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06" t="s">
        <v>1029</v>
      </c>
      <c r="B32" s="457" t="s">
        <v>892</v>
      </c>
      <c r="C32" s="7"/>
      <c r="D32" s="7"/>
      <c r="E32" s="461"/>
      <c r="F32" s="461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61" t="s">
        <v>892</v>
      </c>
      <c r="C33" s="461" t="s">
        <v>264</v>
      </c>
      <c r="D33" s="461"/>
      <c r="E33" s="461"/>
      <c r="F33" s="461"/>
      <c r="G33" s="10">
        <f t="shared" ref="G33:H33" si="4">G34</f>
        <v>280</v>
      </c>
      <c r="H33" s="10">
        <f t="shared" si="4"/>
        <v>280</v>
      </c>
    </row>
    <row r="34" spans="1:8" ht="17.45" customHeight="1" x14ac:dyDescent="0.25">
      <c r="A34" s="45" t="s">
        <v>466</v>
      </c>
      <c r="B34" s="461" t="s">
        <v>892</v>
      </c>
      <c r="C34" s="461" t="s">
        <v>264</v>
      </c>
      <c r="D34" s="461" t="s">
        <v>264</v>
      </c>
      <c r="E34" s="461"/>
      <c r="F34" s="461"/>
      <c r="G34" s="10">
        <f>G35+G39</f>
        <v>280</v>
      </c>
      <c r="H34" s="10">
        <f>H35+H39</f>
        <v>280</v>
      </c>
    </row>
    <row r="35" spans="1:8" ht="31.5" x14ac:dyDescent="0.25">
      <c r="A35" s="98" t="s">
        <v>1035</v>
      </c>
      <c r="B35" s="454" t="s">
        <v>893</v>
      </c>
      <c r="C35" s="461" t="s">
        <v>264</v>
      </c>
      <c r="D35" s="461" t="s">
        <v>264</v>
      </c>
      <c r="E35" s="461"/>
      <c r="F35" s="461"/>
      <c r="G35" s="10">
        <f>G36</f>
        <v>280</v>
      </c>
      <c r="H35" s="10">
        <f>H36</f>
        <v>280</v>
      </c>
    </row>
    <row r="36" spans="1:8" ht="94.5" x14ac:dyDescent="0.25">
      <c r="A36" s="458" t="s">
        <v>127</v>
      </c>
      <c r="B36" s="454" t="s">
        <v>893</v>
      </c>
      <c r="C36" s="461" t="s">
        <v>264</v>
      </c>
      <c r="D36" s="461" t="s">
        <v>264</v>
      </c>
      <c r="E36" s="461" t="s">
        <v>128</v>
      </c>
      <c r="F36" s="461"/>
      <c r="G36" s="10">
        <f>G37</f>
        <v>280</v>
      </c>
      <c r="H36" s="10">
        <f>H37</f>
        <v>280</v>
      </c>
    </row>
    <row r="37" spans="1:8" ht="31.5" x14ac:dyDescent="0.25">
      <c r="A37" s="458" t="s">
        <v>342</v>
      </c>
      <c r="B37" s="454" t="s">
        <v>893</v>
      </c>
      <c r="C37" s="461" t="s">
        <v>264</v>
      </c>
      <c r="D37" s="461" t="s">
        <v>264</v>
      </c>
      <c r="E37" s="461" t="s">
        <v>209</v>
      </c>
      <c r="F37" s="461"/>
      <c r="G37" s="10">
        <f>'пр.6.1.ведом.22-23 (2)'!G343</f>
        <v>280</v>
      </c>
      <c r="H37" s="10">
        <f>'пр.6.1.ведом.22-23 (2)'!H343</f>
        <v>280</v>
      </c>
    </row>
    <row r="38" spans="1:8" ht="47.25" x14ac:dyDescent="0.25">
      <c r="A38" s="45" t="s">
        <v>261</v>
      </c>
      <c r="B38" s="454" t="s">
        <v>893</v>
      </c>
      <c r="C38" s="461" t="s">
        <v>264</v>
      </c>
      <c r="D38" s="461" t="s">
        <v>264</v>
      </c>
      <c r="E38" s="461" t="s">
        <v>209</v>
      </c>
      <c r="F38" s="461" t="s">
        <v>627</v>
      </c>
      <c r="G38" s="451">
        <f>G37</f>
        <v>280</v>
      </c>
      <c r="H38" s="451">
        <f>H37</f>
        <v>280</v>
      </c>
    </row>
    <row r="39" spans="1:8" ht="31.5" hidden="1" x14ac:dyDescent="0.25">
      <c r="A39" s="458" t="s">
        <v>1030</v>
      </c>
      <c r="B39" s="454" t="s">
        <v>1047</v>
      </c>
      <c r="C39" s="461" t="s">
        <v>264</v>
      </c>
      <c r="D39" s="461" t="s">
        <v>264</v>
      </c>
      <c r="E39" s="461"/>
      <c r="F39" s="461"/>
      <c r="G39" s="10">
        <f>G40</f>
        <v>0</v>
      </c>
      <c r="H39" s="10">
        <f>H40</f>
        <v>0</v>
      </c>
    </row>
    <row r="40" spans="1:8" ht="31.5" hidden="1" x14ac:dyDescent="0.25">
      <c r="A40" s="458" t="s">
        <v>131</v>
      </c>
      <c r="B40" s="454" t="s">
        <v>1047</v>
      </c>
      <c r="C40" s="461" t="s">
        <v>264</v>
      </c>
      <c r="D40" s="461" t="s">
        <v>264</v>
      </c>
      <c r="E40" s="461" t="s">
        <v>132</v>
      </c>
      <c r="F40" s="461"/>
      <c r="G40" s="10">
        <f>G41</f>
        <v>0</v>
      </c>
      <c r="H40" s="10">
        <f>H41</f>
        <v>0</v>
      </c>
    </row>
    <row r="41" spans="1:8" ht="47.25" hidden="1" x14ac:dyDescent="0.25">
      <c r="A41" s="458" t="s">
        <v>133</v>
      </c>
      <c r="B41" s="454" t="s">
        <v>1047</v>
      </c>
      <c r="C41" s="461" t="s">
        <v>264</v>
      </c>
      <c r="D41" s="461" t="s">
        <v>264</v>
      </c>
      <c r="E41" s="461" t="s">
        <v>134</v>
      </c>
      <c r="F41" s="461"/>
      <c r="G41" s="10">
        <f>'пр.6.1.ведом.22-23 (2)'!G346</f>
        <v>0</v>
      </c>
      <c r="H41" s="10">
        <f>'пр.6.1.ведом.22-23 (2)'!H346</f>
        <v>0</v>
      </c>
    </row>
    <row r="42" spans="1:8" ht="47.25" hidden="1" x14ac:dyDescent="0.25">
      <c r="A42" s="45" t="s">
        <v>261</v>
      </c>
      <c r="B42" s="454" t="s">
        <v>1047</v>
      </c>
      <c r="C42" s="461" t="s">
        <v>264</v>
      </c>
      <c r="D42" s="461" t="s">
        <v>264</v>
      </c>
      <c r="E42" s="461" t="s">
        <v>134</v>
      </c>
      <c r="F42" s="461" t="s">
        <v>627</v>
      </c>
      <c r="G42" s="451">
        <f>G41</f>
        <v>0</v>
      </c>
      <c r="H42" s="451">
        <f>H41</f>
        <v>0</v>
      </c>
    </row>
    <row r="43" spans="1:8" ht="78.75" x14ac:dyDescent="0.25">
      <c r="A43" s="456" t="s">
        <v>1031</v>
      </c>
      <c r="B43" s="457" t="s">
        <v>894</v>
      </c>
      <c r="C43" s="461"/>
      <c r="D43" s="461"/>
      <c r="E43" s="461"/>
      <c r="F43" s="461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61" t="s">
        <v>894</v>
      </c>
      <c r="C44" s="461" t="s">
        <v>264</v>
      </c>
      <c r="D44" s="461"/>
      <c r="E44" s="461"/>
      <c r="F44" s="461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61" t="s">
        <v>894</v>
      </c>
      <c r="C45" s="461" t="s">
        <v>264</v>
      </c>
      <c r="D45" s="461" t="s">
        <v>264</v>
      </c>
      <c r="E45" s="461"/>
      <c r="F45" s="461"/>
      <c r="G45" s="10">
        <f>G46+G50</f>
        <v>455</v>
      </c>
      <c r="H45" s="10">
        <f>H46+H50</f>
        <v>520</v>
      </c>
    </row>
    <row r="46" spans="1:8" ht="31.5" x14ac:dyDescent="0.25">
      <c r="A46" s="458" t="s">
        <v>1032</v>
      </c>
      <c r="B46" s="454" t="s">
        <v>901</v>
      </c>
      <c r="C46" s="461" t="s">
        <v>264</v>
      </c>
      <c r="D46" s="461" t="s">
        <v>264</v>
      </c>
      <c r="E46" s="461"/>
      <c r="F46" s="461"/>
      <c r="G46" s="10">
        <f>G47</f>
        <v>40</v>
      </c>
      <c r="H46" s="10">
        <f>H47</f>
        <v>40</v>
      </c>
    </row>
    <row r="47" spans="1:8" ht="94.5" x14ac:dyDescent="0.25">
      <c r="A47" s="458" t="s">
        <v>127</v>
      </c>
      <c r="B47" s="454" t="s">
        <v>901</v>
      </c>
      <c r="C47" s="461" t="s">
        <v>264</v>
      </c>
      <c r="D47" s="461" t="s">
        <v>264</v>
      </c>
      <c r="E47" s="461" t="s">
        <v>128</v>
      </c>
      <c r="F47" s="461"/>
      <c r="G47" s="10">
        <f t="shared" ref="G47:H47" si="5">G48</f>
        <v>40</v>
      </c>
      <c r="H47" s="10">
        <f t="shared" si="5"/>
        <v>40</v>
      </c>
    </row>
    <row r="48" spans="1:8" ht="31.5" x14ac:dyDescent="0.25">
      <c r="A48" s="458" t="s">
        <v>342</v>
      </c>
      <c r="B48" s="454" t="s">
        <v>901</v>
      </c>
      <c r="C48" s="461" t="s">
        <v>264</v>
      </c>
      <c r="D48" s="461" t="s">
        <v>264</v>
      </c>
      <c r="E48" s="461" t="s">
        <v>209</v>
      </c>
      <c r="F48" s="461"/>
      <c r="G48" s="10">
        <f>'пр.6.1.ведом.22-23 (2)'!G350</f>
        <v>40</v>
      </c>
      <c r="H48" s="10">
        <f>'пр.6.1.ведом.22-23 (2)'!H350</f>
        <v>40</v>
      </c>
    </row>
    <row r="49" spans="1:8" ht="47.25" x14ac:dyDescent="0.25">
      <c r="A49" s="45" t="s">
        <v>261</v>
      </c>
      <c r="B49" s="454" t="s">
        <v>901</v>
      </c>
      <c r="C49" s="461" t="s">
        <v>264</v>
      </c>
      <c r="D49" s="461" t="s">
        <v>264</v>
      </c>
      <c r="E49" s="461" t="s">
        <v>209</v>
      </c>
      <c r="F49" s="461" t="s">
        <v>627</v>
      </c>
      <c r="G49" s="451">
        <f>G48</f>
        <v>40</v>
      </c>
      <c r="H49" s="451">
        <f>H48</f>
        <v>40</v>
      </c>
    </row>
    <row r="50" spans="1:8" ht="31.5" x14ac:dyDescent="0.25">
      <c r="A50" s="458" t="s">
        <v>131</v>
      </c>
      <c r="B50" s="454" t="s">
        <v>901</v>
      </c>
      <c r="C50" s="461" t="s">
        <v>264</v>
      </c>
      <c r="D50" s="461" t="s">
        <v>264</v>
      </c>
      <c r="E50" s="461" t="s">
        <v>132</v>
      </c>
      <c r="F50" s="461"/>
      <c r="G50" s="10">
        <f t="shared" ref="G50:H50" si="6">G51</f>
        <v>415</v>
      </c>
      <c r="H50" s="10">
        <f t="shared" si="6"/>
        <v>480</v>
      </c>
    </row>
    <row r="51" spans="1:8" ht="47.25" x14ac:dyDescent="0.25">
      <c r="A51" s="458" t="s">
        <v>133</v>
      </c>
      <c r="B51" s="454" t="s">
        <v>901</v>
      </c>
      <c r="C51" s="461" t="s">
        <v>264</v>
      </c>
      <c r="D51" s="461" t="s">
        <v>264</v>
      </c>
      <c r="E51" s="461" t="s">
        <v>134</v>
      </c>
      <c r="F51" s="461"/>
      <c r="G51" s="451">
        <f>'пр.6.1.ведом.22-23 (2)'!G352</f>
        <v>415</v>
      </c>
      <c r="H51" s="451">
        <f>'пр.6.1.ведом.22-23 (2)'!H352</f>
        <v>480</v>
      </c>
    </row>
    <row r="52" spans="1:8" ht="47.25" x14ac:dyDescent="0.25">
      <c r="A52" s="45" t="s">
        <v>261</v>
      </c>
      <c r="B52" s="454" t="s">
        <v>901</v>
      </c>
      <c r="C52" s="461" t="s">
        <v>264</v>
      </c>
      <c r="D52" s="461" t="s">
        <v>264</v>
      </c>
      <c r="E52" s="461" t="s">
        <v>134</v>
      </c>
      <c r="F52" s="461" t="s">
        <v>627</v>
      </c>
      <c r="G52" s="451">
        <f>G51</f>
        <v>415</v>
      </c>
      <c r="H52" s="451">
        <f>H51</f>
        <v>480</v>
      </c>
    </row>
    <row r="53" spans="1:8" ht="47.25" x14ac:dyDescent="0.25">
      <c r="A53" s="456" t="s">
        <v>1037</v>
      </c>
      <c r="B53" s="457" t="s">
        <v>1033</v>
      </c>
      <c r="C53" s="461"/>
      <c r="D53" s="461"/>
      <c r="E53" s="461"/>
      <c r="F53" s="461"/>
      <c r="G53" s="450">
        <f>G56</f>
        <v>25</v>
      </c>
      <c r="H53" s="450">
        <f>H56</f>
        <v>25</v>
      </c>
    </row>
    <row r="54" spans="1:8" ht="15.75" x14ac:dyDescent="0.25">
      <c r="A54" s="45" t="s">
        <v>263</v>
      </c>
      <c r="B54" s="461" t="s">
        <v>1033</v>
      </c>
      <c r="C54" s="461" t="s">
        <v>264</v>
      </c>
      <c r="D54" s="461"/>
      <c r="E54" s="461"/>
      <c r="F54" s="461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61" t="s">
        <v>1033</v>
      </c>
      <c r="C55" s="461" t="s">
        <v>264</v>
      </c>
      <c r="D55" s="461" t="s">
        <v>264</v>
      </c>
      <c r="E55" s="461"/>
      <c r="F55" s="461"/>
      <c r="G55" s="10">
        <f>G56</f>
        <v>25</v>
      </c>
      <c r="H55" s="10">
        <f>H56</f>
        <v>25</v>
      </c>
    </row>
    <row r="56" spans="1:8" ht="63" x14ac:dyDescent="0.25">
      <c r="A56" s="226" t="s">
        <v>1034</v>
      </c>
      <c r="B56" s="454" t="s">
        <v>1048</v>
      </c>
      <c r="C56" s="461" t="s">
        <v>264</v>
      </c>
      <c r="D56" s="461" t="s">
        <v>264</v>
      </c>
      <c r="E56" s="454"/>
      <c r="F56" s="461"/>
      <c r="G56" s="451">
        <f t="shared" ref="G56:H56" si="7">G57</f>
        <v>25</v>
      </c>
      <c r="H56" s="451">
        <f t="shared" si="7"/>
        <v>25</v>
      </c>
    </row>
    <row r="57" spans="1:8" ht="31.5" x14ac:dyDescent="0.25">
      <c r="A57" s="458" t="s">
        <v>248</v>
      </c>
      <c r="B57" s="454" t="s">
        <v>1048</v>
      </c>
      <c r="C57" s="461" t="s">
        <v>264</v>
      </c>
      <c r="D57" s="461" t="s">
        <v>264</v>
      </c>
      <c r="E57" s="454" t="s">
        <v>249</v>
      </c>
      <c r="F57" s="461"/>
      <c r="G57" s="451">
        <f>G58</f>
        <v>25</v>
      </c>
      <c r="H57" s="451">
        <f>H58</f>
        <v>25</v>
      </c>
    </row>
    <row r="58" spans="1:8" ht="31.5" x14ac:dyDescent="0.25">
      <c r="A58" s="458" t="s">
        <v>1197</v>
      </c>
      <c r="B58" s="454" t="s">
        <v>1048</v>
      </c>
      <c r="C58" s="461" t="s">
        <v>264</v>
      </c>
      <c r="D58" s="461" t="s">
        <v>264</v>
      </c>
      <c r="E58" s="454" t="s">
        <v>349</v>
      </c>
      <c r="F58" s="461"/>
      <c r="G58" s="10">
        <f>'пр.6.1.ведом.22-23 (2)'!G356</f>
        <v>25</v>
      </c>
      <c r="H58" s="10">
        <f>'пр.6.1.ведом.22-23 (2)'!H356</f>
        <v>25</v>
      </c>
    </row>
    <row r="59" spans="1:8" ht="47.25" x14ac:dyDescent="0.25">
      <c r="A59" s="45" t="s">
        <v>261</v>
      </c>
      <c r="B59" s="454" t="s">
        <v>1048</v>
      </c>
      <c r="C59" s="461" t="s">
        <v>264</v>
      </c>
      <c r="D59" s="461" t="s">
        <v>264</v>
      </c>
      <c r="E59" s="461" t="s">
        <v>349</v>
      </c>
      <c r="F59" s="461" t="s">
        <v>627</v>
      </c>
      <c r="G59" s="451">
        <f>G58</f>
        <v>25</v>
      </c>
      <c r="H59" s="451">
        <f>H58</f>
        <v>25</v>
      </c>
    </row>
    <row r="60" spans="1:8" ht="47.25" hidden="1" x14ac:dyDescent="0.25">
      <c r="A60" s="58" t="s">
        <v>1386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456" t="s">
        <v>905</v>
      </c>
      <c r="B61" s="457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61" t="s">
        <v>904</v>
      </c>
      <c r="C62" s="461" t="s">
        <v>244</v>
      </c>
      <c r="D62" s="461"/>
      <c r="E62" s="461"/>
      <c r="F62" s="461"/>
      <c r="G62" s="10">
        <f t="shared" ref="G62:H65" si="8">G63</f>
        <v>294.61</v>
      </c>
      <c r="H62" s="10">
        <f t="shared" si="8"/>
        <v>289.11</v>
      </c>
    </row>
    <row r="63" spans="1:8" ht="15.75" hidden="1" x14ac:dyDescent="0.25">
      <c r="A63" s="45" t="s">
        <v>252</v>
      </c>
      <c r="B63" s="461" t="s">
        <v>904</v>
      </c>
      <c r="C63" s="461" t="s">
        <v>244</v>
      </c>
      <c r="D63" s="461" t="s">
        <v>215</v>
      </c>
      <c r="E63" s="461"/>
      <c r="F63" s="461"/>
      <c r="G63" s="10">
        <f>G64</f>
        <v>294.61</v>
      </c>
      <c r="H63" s="10">
        <f>H64</f>
        <v>289.11</v>
      </c>
    </row>
    <row r="64" spans="1:8" ht="31.5" hidden="1" x14ac:dyDescent="0.25">
      <c r="A64" s="458" t="s">
        <v>824</v>
      </c>
      <c r="B64" s="454" t="s">
        <v>906</v>
      </c>
      <c r="C64" s="461" t="s">
        <v>244</v>
      </c>
      <c r="D64" s="461" t="s">
        <v>215</v>
      </c>
      <c r="E64" s="461"/>
      <c r="F64" s="461"/>
      <c r="G64" s="10">
        <f t="shared" si="8"/>
        <v>294.61</v>
      </c>
      <c r="H64" s="10">
        <f t="shared" si="8"/>
        <v>289.11</v>
      </c>
    </row>
    <row r="65" spans="1:8" ht="31.5" hidden="1" x14ac:dyDescent="0.25">
      <c r="A65" s="29" t="s">
        <v>248</v>
      </c>
      <c r="B65" s="454" t="s">
        <v>906</v>
      </c>
      <c r="C65" s="461" t="s">
        <v>244</v>
      </c>
      <c r="D65" s="461" t="s">
        <v>215</v>
      </c>
      <c r="E65" s="461" t="s">
        <v>249</v>
      </c>
      <c r="F65" s="461"/>
      <c r="G65" s="10">
        <f t="shared" si="8"/>
        <v>294.61</v>
      </c>
      <c r="H65" s="10">
        <f t="shared" si="8"/>
        <v>289.11</v>
      </c>
    </row>
    <row r="66" spans="1:8" ht="47.25" hidden="1" x14ac:dyDescent="0.25">
      <c r="A66" s="29" t="s">
        <v>250</v>
      </c>
      <c r="B66" s="454" t="s">
        <v>906</v>
      </c>
      <c r="C66" s="461" t="s">
        <v>244</v>
      </c>
      <c r="D66" s="461" t="s">
        <v>215</v>
      </c>
      <c r="E66" s="461" t="s">
        <v>251</v>
      </c>
      <c r="F66" s="461"/>
      <c r="G66" s="10">
        <f>'пр.6.1.ведом.22-23 (2)'!G452</f>
        <v>294.61</v>
      </c>
      <c r="H66" s="10">
        <f>'пр.6.1.ведом.22-23 (2)'!H452</f>
        <v>289.11</v>
      </c>
    </row>
    <row r="67" spans="1:8" ht="47.25" hidden="1" x14ac:dyDescent="0.25">
      <c r="A67" s="45" t="s">
        <v>261</v>
      </c>
      <c r="B67" s="454" t="s">
        <v>906</v>
      </c>
      <c r="C67" s="461" t="s">
        <v>244</v>
      </c>
      <c r="D67" s="461" t="s">
        <v>215</v>
      </c>
      <c r="E67" s="461" t="s">
        <v>251</v>
      </c>
      <c r="F67" s="461" t="s">
        <v>627</v>
      </c>
      <c r="G67" s="10">
        <f>G66</f>
        <v>294.61</v>
      </c>
      <c r="H67" s="10">
        <f>H66</f>
        <v>289.11</v>
      </c>
    </row>
    <row r="68" spans="1:8" ht="63" x14ac:dyDescent="0.25">
      <c r="A68" s="462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ht="47.25" hidden="1" x14ac:dyDescent="0.25">
      <c r="A69" s="210" t="s">
        <v>1043</v>
      </c>
      <c r="B69" s="457" t="s">
        <v>907</v>
      </c>
      <c r="C69" s="7"/>
      <c r="D69" s="7"/>
      <c r="E69" s="7"/>
      <c r="F69" s="7"/>
      <c r="G69" s="59">
        <f t="shared" ref="G69:H73" si="9">G70</f>
        <v>0</v>
      </c>
      <c r="H69" s="59">
        <f t="shared" si="9"/>
        <v>0</v>
      </c>
    </row>
    <row r="70" spans="1:8" ht="15.75" hidden="1" x14ac:dyDescent="0.25">
      <c r="A70" s="45" t="s">
        <v>232</v>
      </c>
      <c r="B70" s="461" t="s">
        <v>907</v>
      </c>
      <c r="C70" s="461" t="s">
        <v>150</v>
      </c>
      <c r="D70" s="461"/>
      <c r="E70" s="461"/>
      <c r="F70" s="461"/>
      <c r="G70" s="10">
        <f t="shared" si="9"/>
        <v>0</v>
      </c>
      <c r="H70" s="10">
        <f t="shared" si="9"/>
        <v>0</v>
      </c>
    </row>
    <row r="71" spans="1:8" ht="31.5" hidden="1" x14ac:dyDescent="0.25">
      <c r="A71" s="45" t="s">
        <v>237</v>
      </c>
      <c r="B71" s="461" t="s">
        <v>907</v>
      </c>
      <c r="C71" s="461" t="s">
        <v>150</v>
      </c>
      <c r="D71" s="461" t="s">
        <v>238</v>
      </c>
      <c r="E71" s="461"/>
      <c r="F71" s="461"/>
      <c r="G71" s="10">
        <f t="shared" si="9"/>
        <v>0</v>
      </c>
      <c r="H71" s="10">
        <f t="shared" si="9"/>
        <v>0</v>
      </c>
    </row>
    <row r="72" spans="1:8" ht="63" hidden="1" x14ac:dyDescent="0.25">
      <c r="A72" s="458" t="s">
        <v>375</v>
      </c>
      <c r="B72" s="454" t="s">
        <v>1317</v>
      </c>
      <c r="C72" s="461" t="s">
        <v>150</v>
      </c>
      <c r="D72" s="461" t="s">
        <v>238</v>
      </c>
      <c r="E72" s="461"/>
      <c r="F72" s="461"/>
      <c r="G72" s="10">
        <f t="shared" si="9"/>
        <v>0</v>
      </c>
      <c r="H72" s="10">
        <f t="shared" si="9"/>
        <v>0</v>
      </c>
    </row>
    <row r="73" spans="1:8" ht="31.5" hidden="1" x14ac:dyDescent="0.25">
      <c r="A73" s="458" t="s">
        <v>248</v>
      </c>
      <c r="B73" s="454" t="s">
        <v>1317</v>
      </c>
      <c r="C73" s="461" t="s">
        <v>150</v>
      </c>
      <c r="D73" s="461" t="s">
        <v>238</v>
      </c>
      <c r="E73" s="461" t="s">
        <v>249</v>
      </c>
      <c r="F73" s="461"/>
      <c r="G73" s="10">
        <f t="shared" si="9"/>
        <v>0</v>
      </c>
      <c r="H73" s="10">
        <f t="shared" si="9"/>
        <v>0</v>
      </c>
    </row>
    <row r="74" spans="1:8" ht="47.25" hidden="1" x14ac:dyDescent="0.25">
      <c r="A74" s="458" t="s">
        <v>250</v>
      </c>
      <c r="B74" s="454" t="s">
        <v>1317</v>
      </c>
      <c r="C74" s="461" t="s">
        <v>150</v>
      </c>
      <c r="D74" s="461" t="s">
        <v>238</v>
      </c>
      <c r="E74" s="461" t="s">
        <v>251</v>
      </c>
      <c r="F74" s="461"/>
      <c r="G74" s="10">
        <f>'пр.6.1.ведом.22-23 (2)'!G280</f>
        <v>0</v>
      </c>
      <c r="H74" s="10">
        <f>'пр.6.1.ведом.22-23 (2)'!H280</f>
        <v>0</v>
      </c>
    </row>
    <row r="75" spans="1:8" ht="47.25" hidden="1" x14ac:dyDescent="0.25">
      <c r="A75" s="45" t="s">
        <v>261</v>
      </c>
      <c r="B75" s="454" t="s">
        <v>1317</v>
      </c>
      <c r="C75" s="461" t="s">
        <v>150</v>
      </c>
      <c r="D75" s="461" t="s">
        <v>238</v>
      </c>
      <c r="E75" s="461" t="s">
        <v>251</v>
      </c>
      <c r="F75" s="461" t="s">
        <v>627</v>
      </c>
      <c r="G75" s="10">
        <f>G74</f>
        <v>0</v>
      </c>
      <c r="H75" s="10">
        <f>H74</f>
        <v>0</v>
      </c>
    </row>
    <row r="76" spans="1:8" ht="47.25" x14ac:dyDescent="0.25">
      <c r="A76" s="456" t="s">
        <v>1041</v>
      </c>
      <c r="B76" s="7" t="s">
        <v>1200</v>
      </c>
      <c r="C76" s="7"/>
      <c r="D76" s="7"/>
      <c r="E76" s="7"/>
      <c r="F76" s="7"/>
      <c r="G76" s="59">
        <f t="shared" ref="G76:H80" si="10">G77</f>
        <v>260</v>
      </c>
      <c r="H76" s="59">
        <f t="shared" si="10"/>
        <v>260</v>
      </c>
    </row>
    <row r="77" spans="1:8" ht="15.75" x14ac:dyDescent="0.25">
      <c r="A77" s="45" t="s">
        <v>232</v>
      </c>
      <c r="B77" s="461" t="s">
        <v>1200</v>
      </c>
      <c r="C77" s="461" t="s">
        <v>150</v>
      </c>
      <c r="D77" s="461"/>
      <c r="E77" s="461"/>
      <c r="F77" s="461"/>
      <c r="G77" s="10">
        <f t="shared" si="10"/>
        <v>260</v>
      </c>
      <c r="H77" s="10">
        <f t="shared" si="10"/>
        <v>260</v>
      </c>
    </row>
    <row r="78" spans="1:8" ht="31.5" x14ac:dyDescent="0.25">
      <c r="A78" s="45" t="s">
        <v>237</v>
      </c>
      <c r="B78" s="461" t="s">
        <v>1200</v>
      </c>
      <c r="C78" s="461" t="s">
        <v>150</v>
      </c>
      <c r="D78" s="461" t="s">
        <v>238</v>
      </c>
      <c r="E78" s="461"/>
      <c r="F78" s="461"/>
      <c r="G78" s="10">
        <f t="shared" si="10"/>
        <v>260</v>
      </c>
      <c r="H78" s="10">
        <f t="shared" si="10"/>
        <v>260</v>
      </c>
    </row>
    <row r="79" spans="1:8" ht="126" x14ac:dyDescent="0.25">
      <c r="A79" s="458" t="s">
        <v>1509</v>
      </c>
      <c r="B79" s="454" t="s">
        <v>1201</v>
      </c>
      <c r="C79" s="461" t="s">
        <v>150</v>
      </c>
      <c r="D79" s="461" t="s">
        <v>238</v>
      </c>
      <c r="E79" s="461"/>
      <c r="F79" s="461"/>
      <c r="G79" s="10">
        <f t="shared" si="10"/>
        <v>260</v>
      </c>
      <c r="H79" s="10">
        <f t="shared" si="10"/>
        <v>260</v>
      </c>
    </row>
    <row r="80" spans="1:8" ht="47.25" x14ac:dyDescent="0.25">
      <c r="A80" s="458" t="s">
        <v>272</v>
      </c>
      <c r="B80" s="454" t="s">
        <v>1201</v>
      </c>
      <c r="C80" s="461" t="s">
        <v>150</v>
      </c>
      <c r="D80" s="461" t="s">
        <v>238</v>
      </c>
      <c r="E80" s="461" t="s">
        <v>273</v>
      </c>
      <c r="F80" s="461"/>
      <c r="G80" s="10">
        <f t="shared" si="10"/>
        <v>260</v>
      </c>
      <c r="H80" s="10">
        <f t="shared" si="10"/>
        <v>260</v>
      </c>
    </row>
    <row r="81" spans="1:8" ht="78.75" x14ac:dyDescent="0.25">
      <c r="A81" s="458" t="s">
        <v>1090</v>
      </c>
      <c r="B81" s="454" t="s">
        <v>1201</v>
      </c>
      <c r="C81" s="461" t="s">
        <v>150</v>
      </c>
      <c r="D81" s="461" t="s">
        <v>238</v>
      </c>
      <c r="E81" s="461" t="s">
        <v>372</v>
      </c>
      <c r="F81" s="461"/>
      <c r="G81" s="10">
        <f>'пр.6.1.ведом.22-23 (2)'!G284</f>
        <v>260</v>
      </c>
      <c r="H81" s="10">
        <f>'пр.6.1.ведом.22-23 (2)'!H284</f>
        <v>260</v>
      </c>
    </row>
    <row r="82" spans="1:8" ht="47.25" x14ac:dyDescent="0.25">
      <c r="A82" s="45" t="s">
        <v>261</v>
      </c>
      <c r="B82" s="454" t="s">
        <v>1201</v>
      </c>
      <c r="C82" s="461" t="s">
        <v>150</v>
      </c>
      <c r="D82" s="461" t="s">
        <v>238</v>
      </c>
      <c r="E82" s="461" t="s">
        <v>372</v>
      </c>
      <c r="F82" s="461" t="s">
        <v>627</v>
      </c>
      <c r="G82" s="10">
        <f>G81</f>
        <v>260</v>
      </c>
      <c r="H82" s="10">
        <f>H81</f>
        <v>260</v>
      </c>
    </row>
    <row r="83" spans="1:8" ht="31.5" hidden="1" x14ac:dyDescent="0.25">
      <c r="A83" s="456" t="s">
        <v>995</v>
      </c>
      <c r="B83" s="457" t="s">
        <v>1310</v>
      </c>
      <c r="C83" s="7"/>
      <c r="D83" s="7"/>
      <c r="E83" s="7"/>
      <c r="F83" s="7"/>
      <c r="G83" s="59">
        <f t="shared" ref="G83:H87" si="11">G84</f>
        <v>0</v>
      </c>
      <c r="H83" s="59">
        <f t="shared" si="11"/>
        <v>0</v>
      </c>
    </row>
    <row r="84" spans="1:8" ht="15.75" hidden="1" x14ac:dyDescent="0.25">
      <c r="A84" s="45" t="s">
        <v>232</v>
      </c>
      <c r="B84" s="461" t="s">
        <v>1310</v>
      </c>
      <c r="C84" s="461" t="s">
        <v>150</v>
      </c>
      <c r="D84" s="461"/>
      <c r="E84" s="461"/>
      <c r="F84" s="461"/>
      <c r="G84" s="10">
        <f t="shared" si="11"/>
        <v>0</v>
      </c>
      <c r="H84" s="10">
        <f t="shared" si="11"/>
        <v>0</v>
      </c>
    </row>
    <row r="85" spans="1:8" ht="31.5" hidden="1" x14ac:dyDescent="0.25">
      <c r="A85" s="45" t="s">
        <v>237</v>
      </c>
      <c r="B85" s="461" t="s">
        <v>1310</v>
      </c>
      <c r="C85" s="461" t="s">
        <v>150</v>
      </c>
      <c r="D85" s="461" t="s">
        <v>238</v>
      </c>
      <c r="E85" s="461"/>
      <c r="F85" s="461"/>
      <c r="G85" s="10">
        <f t="shared" si="11"/>
        <v>0</v>
      </c>
      <c r="H85" s="10">
        <f t="shared" si="11"/>
        <v>0</v>
      </c>
    </row>
    <row r="86" spans="1:8" ht="47.25" hidden="1" x14ac:dyDescent="0.25">
      <c r="A86" s="247" t="s">
        <v>1044</v>
      </c>
      <c r="B86" s="454" t="s">
        <v>1311</v>
      </c>
      <c r="C86" s="461" t="s">
        <v>150</v>
      </c>
      <c r="D86" s="461" t="s">
        <v>238</v>
      </c>
      <c r="E86" s="461"/>
      <c r="F86" s="461"/>
      <c r="G86" s="10">
        <f t="shared" si="11"/>
        <v>0</v>
      </c>
      <c r="H86" s="10">
        <f t="shared" si="11"/>
        <v>0</v>
      </c>
    </row>
    <row r="87" spans="1:8" ht="31.5" hidden="1" x14ac:dyDescent="0.25">
      <c r="A87" s="458" t="s">
        <v>131</v>
      </c>
      <c r="B87" s="454" t="s">
        <v>1311</v>
      </c>
      <c r="C87" s="461" t="s">
        <v>150</v>
      </c>
      <c r="D87" s="461" t="s">
        <v>238</v>
      </c>
      <c r="E87" s="461" t="s">
        <v>132</v>
      </c>
      <c r="F87" s="461"/>
      <c r="G87" s="10">
        <f t="shared" si="11"/>
        <v>0</v>
      </c>
      <c r="H87" s="10">
        <f t="shared" si="11"/>
        <v>0</v>
      </c>
    </row>
    <row r="88" spans="1:8" ht="47.25" hidden="1" x14ac:dyDescent="0.25">
      <c r="A88" s="458" t="s">
        <v>133</v>
      </c>
      <c r="B88" s="454" t="s">
        <v>1311</v>
      </c>
      <c r="C88" s="461" t="s">
        <v>150</v>
      </c>
      <c r="D88" s="461" t="s">
        <v>238</v>
      </c>
      <c r="E88" s="461" t="s">
        <v>134</v>
      </c>
      <c r="F88" s="461"/>
      <c r="G88" s="10">
        <f>'пр.6.1.ведом.22-23 (2)'!G288</f>
        <v>0</v>
      </c>
      <c r="H88" s="10">
        <f>'пр.6.1.ведом.22-23 (2)'!H288</f>
        <v>0</v>
      </c>
    </row>
    <row r="89" spans="1:8" ht="47.25" hidden="1" x14ac:dyDescent="0.25">
      <c r="A89" s="45" t="s">
        <v>261</v>
      </c>
      <c r="B89" s="454" t="s">
        <v>1311</v>
      </c>
      <c r="C89" s="461" t="s">
        <v>150</v>
      </c>
      <c r="D89" s="461" t="s">
        <v>238</v>
      </c>
      <c r="E89" s="461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ht="47.25" hidden="1" x14ac:dyDescent="0.25">
      <c r="A90" s="464" t="s">
        <v>1103</v>
      </c>
      <c r="B90" s="457" t="s">
        <v>1202</v>
      </c>
      <c r="C90" s="7"/>
      <c r="D90" s="7"/>
      <c r="E90" s="7"/>
      <c r="F90" s="7"/>
      <c r="G90" s="59">
        <f t="shared" ref="G90:H94" si="12">G91</f>
        <v>0</v>
      </c>
      <c r="H90" s="59">
        <f t="shared" si="12"/>
        <v>0</v>
      </c>
    </row>
    <row r="91" spans="1:8" ht="15.75" hidden="1" x14ac:dyDescent="0.25">
      <c r="A91" s="45" t="s">
        <v>232</v>
      </c>
      <c r="B91" s="461" t="s">
        <v>1202</v>
      </c>
      <c r="C91" s="461" t="s">
        <v>150</v>
      </c>
      <c r="D91" s="461"/>
      <c r="E91" s="461"/>
      <c r="F91" s="461"/>
      <c r="G91" s="10">
        <f t="shared" si="12"/>
        <v>0</v>
      </c>
      <c r="H91" s="10">
        <f t="shared" si="12"/>
        <v>0</v>
      </c>
    </row>
    <row r="92" spans="1:8" ht="31.5" hidden="1" x14ac:dyDescent="0.25">
      <c r="A92" s="45" t="s">
        <v>237</v>
      </c>
      <c r="B92" s="461" t="s">
        <v>1202</v>
      </c>
      <c r="C92" s="461" t="s">
        <v>150</v>
      </c>
      <c r="D92" s="461" t="s">
        <v>238</v>
      </c>
      <c r="E92" s="461"/>
      <c r="F92" s="461"/>
      <c r="G92" s="10">
        <f t="shared" si="12"/>
        <v>0</v>
      </c>
      <c r="H92" s="10">
        <f t="shared" si="12"/>
        <v>0</v>
      </c>
    </row>
    <row r="93" spans="1:8" ht="31.5" hidden="1" x14ac:dyDescent="0.25">
      <c r="A93" s="226" t="s">
        <v>1104</v>
      </c>
      <c r="B93" s="454" t="s">
        <v>1203</v>
      </c>
      <c r="C93" s="461" t="s">
        <v>150</v>
      </c>
      <c r="D93" s="461" t="s">
        <v>238</v>
      </c>
      <c r="E93" s="461"/>
      <c r="F93" s="461"/>
      <c r="G93" s="10">
        <f t="shared" si="12"/>
        <v>0</v>
      </c>
      <c r="H93" s="10">
        <f t="shared" si="12"/>
        <v>0</v>
      </c>
    </row>
    <row r="94" spans="1:8" ht="31.5" hidden="1" x14ac:dyDescent="0.25">
      <c r="A94" s="458" t="s">
        <v>131</v>
      </c>
      <c r="B94" s="454" t="s">
        <v>1203</v>
      </c>
      <c r="C94" s="461" t="s">
        <v>150</v>
      </c>
      <c r="D94" s="461" t="s">
        <v>238</v>
      </c>
      <c r="E94" s="461" t="s">
        <v>132</v>
      </c>
      <c r="F94" s="461"/>
      <c r="G94" s="10">
        <f t="shared" si="12"/>
        <v>0</v>
      </c>
      <c r="H94" s="10">
        <f t="shared" si="12"/>
        <v>0</v>
      </c>
    </row>
    <row r="95" spans="1:8" ht="47.25" hidden="1" x14ac:dyDescent="0.25">
      <c r="A95" s="458" t="s">
        <v>133</v>
      </c>
      <c r="B95" s="454" t="s">
        <v>1203</v>
      </c>
      <c r="C95" s="461" t="s">
        <v>150</v>
      </c>
      <c r="D95" s="461" t="s">
        <v>238</v>
      </c>
      <c r="E95" s="461" t="s">
        <v>134</v>
      </c>
      <c r="F95" s="461"/>
      <c r="G95" s="10">
        <f>'пр.6.1.ведом.22-23 (2)'!G292</f>
        <v>0</v>
      </c>
      <c r="H95" s="10">
        <f>'пр.6.1.ведом.22-23 (2)'!H292</f>
        <v>0</v>
      </c>
    </row>
    <row r="96" spans="1:8" ht="47.25" hidden="1" x14ac:dyDescent="0.25">
      <c r="A96" s="45" t="s">
        <v>261</v>
      </c>
      <c r="B96" s="454" t="s">
        <v>1203</v>
      </c>
      <c r="C96" s="461" t="s">
        <v>150</v>
      </c>
      <c r="D96" s="461" t="s">
        <v>238</v>
      </c>
      <c r="E96" s="461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ht="94.5" x14ac:dyDescent="0.25">
      <c r="A97" s="462" t="s">
        <v>1351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ht="63" x14ac:dyDescent="0.25">
      <c r="A98" s="245" t="s">
        <v>1045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ht="15.75" x14ac:dyDescent="0.25">
      <c r="A99" s="45" t="s">
        <v>117</v>
      </c>
      <c r="B99" s="461" t="s">
        <v>909</v>
      </c>
      <c r="C99" s="461" t="s">
        <v>118</v>
      </c>
      <c r="D99" s="461"/>
      <c r="E99" s="461"/>
      <c r="F99" s="9"/>
      <c r="G99" s="10">
        <f t="shared" ref="G99:H102" si="13">G100</f>
        <v>200</v>
      </c>
      <c r="H99" s="10">
        <f t="shared" si="13"/>
        <v>500</v>
      </c>
    </row>
    <row r="100" spans="1:8" ht="15.75" x14ac:dyDescent="0.25">
      <c r="A100" s="45" t="s">
        <v>139</v>
      </c>
      <c r="B100" s="461" t="s">
        <v>909</v>
      </c>
      <c r="C100" s="461" t="s">
        <v>118</v>
      </c>
      <c r="D100" s="461" t="s">
        <v>140</v>
      </c>
      <c r="E100" s="461"/>
      <c r="F100" s="9"/>
      <c r="G100" s="10">
        <f>G101</f>
        <v>200</v>
      </c>
      <c r="H100" s="10">
        <f>H101</f>
        <v>500</v>
      </c>
    </row>
    <row r="101" spans="1:8" ht="47.25" x14ac:dyDescent="0.25">
      <c r="A101" s="98" t="s">
        <v>1046</v>
      </c>
      <c r="B101" s="461" t="s">
        <v>1199</v>
      </c>
      <c r="C101" s="461" t="s">
        <v>118</v>
      </c>
      <c r="D101" s="461" t="s">
        <v>140</v>
      </c>
      <c r="E101" s="461"/>
      <c r="F101" s="9"/>
      <c r="G101" s="10">
        <f t="shared" si="13"/>
        <v>200</v>
      </c>
      <c r="H101" s="10">
        <f t="shared" si="13"/>
        <v>500</v>
      </c>
    </row>
    <row r="102" spans="1:8" ht="31.5" x14ac:dyDescent="0.25">
      <c r="A102" s="29" t="s">
        <v>131</v>
      </c>
      <c r="B102" s="461" t="s">
        <v>1199</v>
      </c>
      <c r="C102" s="461" t="s">
        <v>118</v>
      </c>
      <c r="D102" s="461" t="s">
        <v>140</v>
      </c>
      <c r="E102" s="461" t="s">
        <v>132</v>
      </c>
      <c r="F102" s="9"/>
      <c r="G102" s="10">
        <f t="shared" si="13"/>
        <v>200</v>
      </c>
      <c r="H102" s="10">
        <f t="shared" si="13"/>
        <v>500</v>
      </c>
    </row>
    <row r="103" spans="1:8" ht="47.25" x14ac:dyDescent="0.25">
      <c r="A103" s="29" t="s">
        <v>133</v>
      </c>
      <c r="B103" s="461" t="s">
        <v>1199</v>
      </c>
      <c r="C103" s="461" t="s">
        <v>118</v>
      </c>
      <c r="D103" s="461" t="s">
        <v>140</v>
      </c>
      <c r="E103" s="461" t="s">
        <v>134</v>
      </c>
      <c r="F103" s="9"/>
      <c r="G103" s="10">
        <f>'пр.6.1.ведом.22-23 (2)'!G250</f>
        <v>200</v>
      </c>
      <c r="H103" s="10">
        <f>'пр.6.1.ведом.22-23 (2)'!H250</f>
        <v>500</v>
      </c>
    </row>
    <row r="104" spans="1:8" ht="47.25" x14ac:dyDescent="0.25">
      <c r="A104" s="45" t="s">
        <v>261</v>
      </c>
      <c r="B104" s="461" t="s">
        <v>1199</v>
      </c>
      <c r="C104" s="461" t="s">
        <v>118</v>
      </c>
      <c r="D104" s="461" t="s">
        <v>140</v>
      </c>
      <c r="E104" s="461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ht="47.25" hidden="1" x14ac:dyDescent="0.25">
      <c r="A105" s="35" t="s">
        <v>886</v>
      </c>
      <c r="B105" s="454" t="s">
        <v>1298</v>
      </c>
      <c r="C105" s="461" t="s">
        <v>118</v>
      </c>
      <c r="D105" s="461" t="s">
        <v>140</v>
      </c>
      <c r="E105" s="461"/>
      <c r="F105" s="9"/>
      <c r="G105" s="10" t="e">
        <f>G106</f>
        <v>#REF!</v>
      </c>
      <c r="H105" s="10" t="e">
        <f>H106</f>
        <v>#REF!</v>
      </c>
    </row>
    <row r="106" spans="1:8" ht="31.5" hidden="1" x14ac:dyDescent="0.25">
      <c r="A106" s="458" t="s">
        <v>131</v>
      </c>
      <c r="B106" s="454" t="s">
        <v>1298</v>
      </c>
      <c r="C106" s="461" t="s">
        <v>118</v>
      </c>
      <c r="D106" s="461" t="s">
        <v>140</v>
      </c>
      <c r="E106" s="461" t="s">
        <v>132</v>
      </c>
      <c r="F106" s="9"/>
      <c r="G106" s="10" t="e">
        <f>G107</f>
        <v>#REF!</v>
      </c>
      <c r="H106" s="10" t="e">
        <f>H107</f>
        <v>#REF!</v>
      </c>
    </row>
    <row r="107" spans="1:8" ht="47.25" hidden="1" x14ac:dyDescent="0.25">
      <c r="A107" s="458" t="s">
        <v>133</v>
      </c>
      <c r="B107" s="454" t="s">
        <v>1298</v>
      </c>
      <c r="C107" s="461" t="s">
        <v>118</v>
      </c>
      <c r="D107" s="461" t="s">
        <v>140</v>
      </c>
      <c r="E107" s="461" t="s">
        <v>134</v>
      </c>
      <c r="F107" s="9"/>
      <c r="G107" s="10" t="e">
        <f>'пр.6.1.ведом.22-23 (2)'!#REF!</f>
        <v>#REF!</v>
      </c>
      <c r="H107" s="10" t="e">
        <f>'пр.6.1.ведом.22-23 (2)'!#REF!</f>
        <v>#REF!</v>
      </c>
    </row>
    <row r="108" spans="1:8" ht="47.25" hidden="1" x14ac:dyDescent="0.25">
      <c r="A108" s="45" t="s">
        <v>261</v>
      </c>
      <c r="B108" s="454" t="s">
        <v>1298</v>
      </c>
      <c r="C108" s="461" t="s">
        <v>118</v>
      </c>
      <c r="D108" s="461" t="s">
        <v>140</v>
      </c>
      <c r="E108" s="461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456" t="s">
        <v>1038</v>
      </c>
      <c r="B110" s="457" t="s">
        <v>913</v>
      </c>
      <c r="C110" s="461"/>
      <c r="D110" s="461"/>
      <c r="E110" s="461"/>
      <c r="F110" s="461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61" t="s">
        <v>913</v>
      </c>
      <c r="C111" s="461" t="s">
        <v>244</v>
      </c>
      <c r="D111" s="461"/>
      <c r="E111" s="461"/>
      <c r="F111" s="461"/>
      <c r="G111" s="10">
        <f t="shared" ref="G111:H114" si="14">G112</f>
        <v>630</v>
      </c>
      <c r="H111" s="10">
        <f t="shared" si="14"/>
        <v>630</v>
      </c>
    </row>
    <row r="112" spans="1:8" ht="15.75" x14ac:dyDescent="0.25">
      <c r="A112" s="45" t="s">
        <v>252</v>
      </c>
      <c r="B112" s="461" t="s">
        <v>913</v>
      </c>
      <c r="C112" s="461" t="s">
        <v>244</v>
      </c>
      <c r="D112" s="461" t="s">
        <v>215</v>
      </c>
      <c r="E112" s="461"/>
      <c r="F112" s="461"/>
      <c r="G112" s="10">
        <f>G113</f>
        <v>630</v>
      </c>
      <c r="H112" s="10">
        <f>H113</f>
        <v>630</v>
      </c>
    </row>
    <row r="113" spans="1:8" ht="63" x14ac:dyDescent="0.25">
      <c r="A113" s="98" t="s">
        <v>1039</v>
      </c>
      <c r="B113" s="454" t="s">
        <v>1225</v>
      </c>
      <c r="C113" s="461" t="s">
        <v>244</v>
      </c>
      <c r="D113" s="461" t="s">
        <v>215</v>
      </c>
      <c r="E113" s="461"/>
      <c r="F113" s="461"/>
      <c r="G113" s="10">
        <f t="shared" si="14"/>
        <v>630</v>
      </c>
      <c r="H113" s="10">
        <f t="shared" si="14"/>
        <v>630</v>
      </c>
    </row>
    <row r="114" spans="1:8" ht="31.5" x14ac:dyDescent="0.25">
      <c r="A114" s="458" t="s">
        <v>248</v>
      </c>
      <c r="B114" s="454" t="s">
        <v>1225</v>
      </c>
      <c r="C114" s="461" t="s">
        <v>244</v>
      </c>
      <c r="D114" s="461" t="s">
        <v>215</v>
      </c>
      <c r="E114" s="461" t="s">
        <v>249</v>
      </c>
      <c r="F114" s="461"/>
      <c r="G114" s="10">
        <f t="shared" si="14"/>
        <v>630</v>
      </c>
      <c r="H114" s="10">
        <f t="shared" si="14"/>
        <v>630</v>
      </c>
    </row>
    <row r="115" spans="1:8" ht="31.5" x14ac:dyDescent="0.25">
      <c r="A115" s="458" t="s">
        <v>348</v>
      </c>
      <c r="B115" s="454" t="s">
        <v>1225</v>
      </c>
      <c r="C115" s="461" t="s">
        <v>244</v>
      </c>
      <c r="D115" s="461" t="s">
        <v>215</v>
      </c>
      <c r="E115" s="461" t="s">
        <v>349</v>
      </c>
      <c r="F115" s="461"/>
      <c r="G115" s="10">
        <f>'пр.6.1.ведом.22-23 (2)'!G457</f>
        <v>630</v>
      </c>
      <c r="H115" s="10">
        <f>'пр.6.1.ведом.22-23 (2)'!H457</f>
        <v>630</v>
      </c>
    </row>
    <row r="116" spans="1:8" ht="47.25" x14ac:dyDescent="0.25">
      <c r="A116" s="45" t="s">
        <v>261</v>
      </c>
      <c r="B116" s="454" t="s">
        <v>1225</v>
      </c>
      <c r="C116" s="461" t="s">
        <v>244</v>
      </c>
      <c r="D116" s="461" t="s">
        <v>215</v>
      </c>
      <c r="E116" s="461" t="s">
        <v>349</v>
      </c>
      <c r="F116" s="461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456" t="s">
        <v>1229</v>
      </c>
      <c r="B117" s="457" t="s">
        <v>1227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61" t="s">
        <v>1227</v>
      </c>
      <c r="C118" s="461" t="s">
        <v>244</v>
      </c>
      <c r="D118" s="461"/>
      <c r="E118" s="461"/>
      <c r="F118" s="461"/>
      <c r="G118" s="10">
        <f t="shared" ref="G118:H118" si="15">G119</f>
        <v>657</v>
      </c>
      <c r="H118" s="10">
        <f t="shared" si="15"/>
        <v>657</v>
      </c>
    </row>
    <row r="119" spans="1:8" ht="15.75" x14ac:dyDescent="0.25">
      <c r="A119" s="45" t="s">
        <v>252</v>
      </c>
      <c r="B119" s="461" t="s">
        <v>1227</v>
      </c>
      <c r="C119" s="461" t="s">
        <v>244</v>
      </c>
      <c r="D119" s="461" t="s">
        <v>215</v>
      </c>
      <c r="E119" s="461"/>
      <c r="F119" s="461"/>
      <c r="G119" s="10">
        <f>G120</f>
        <v>657</v>
      </c>
      <c r="H119" s="10">
        <f>H120</f>
        <v>657</v>
      </c>
    </row>
    <row r="120" spans="1:8" ht="31.5" x14ac:dyDescent="0.25">
      <c r="A120" s="458" t="s">
        <v>1226</v>
      </c>
      <c r="B120" s="454" t="s">
        <v>1228</v>
      </c>
      <c r="C120" s="461" t="s">
        <v>244</v>
      </c>
      <c r="D120" s="461" t="s">
        <v>215</v>
      </c>
      <c r="E120" s="461"/>
      <c r="F120" s="461"/>
      <c r="G120" s="10">
        <f>G121+G124</f>
        <v>657</v>
      </c>
      <c r="H120" s="10">
        <f>H121+H124</f>
        <v>657</v>
      </c>
    </row>
    <row r="121" spans="1:8" ht="31.5" x14ac:dyDescent="0.25">
      <c r="A121" s="458" t="s">
        <v>131</v>
      </c>
      <c r="B121" s="454" t="s">
        <v>1228</v>
      </c>
      <c r="C121" s="461" t="s">
        <v>244</v>
      </c>
      <c r="D121" s="461" t="s">
        <v>215</v>
      </c>
      <c r="E121" s="461" t="s">
        <v>132</v>
      </c>
      <c r="F121" s="461"/>
      <c r="G121" s="10">
        <f>G122</f>
        <v>400</v>
      </c>
      <c r="H121" s="10">
        <f>H122</f>
        <v>400</v>
      </c>
    </row>
    <row r="122" spans="1:8" ht="47.25" x14ac:dyDescent="0.25">
      <c r="A122" s="458" t="s">
        <v>133</v>
      </c>
      <c r="B122" s="454" t="s">
        <v>1228</v>
      </c>
      <c r="C122" s="461" t="s">
        <v>244</v>
      </c>
      <c r="D122" s="461" t="s">
        <v>215</v>
      </c>
      <c r="E122" s="461" t="s">
        <v>134</v>
      </c>
      <c r="F122" s="461"/>
      <c r="G122" s="10">
        <f>'пр.6.1.ведом.22-23 (2)'!G461</f>
        <v>400</v>
      </c>
      <c r="H122" s="10">
        <f>'пр.6.1.ведом.22-23 (2)'!H461</f>
        <v>400</v>
      </c>
    </row>
    <row r="123" spans="1:8" ht="47.25" x14ac:dyDescent="0.25">
      <c r="A123" s="45" t="s">
        <v>261</v>
      </c>
      <c r="B123" s="454" t="s">
        <v>1228</v>
      </c>
      <c r="C123" s="461" t="s">
        <v>244</v>
      </c>
      <c r="D123" s="461" t="s">
        <v>215</v>
      </c>
      <c r="E123" s="461" t="s">
        <v>134</v>
      </c>
      <c r="F123" s="461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458" t="s">
        <v>248</v>
      </c>
      <c r="B124" s="454" t="s">
        <v>1228</v>
      </c>
      <c r="C124" s="461" t="s">
        <v>244</v>
      </c>
      <c r="D124" s="461" t="s">
        <v>215</v>
      </c>
      <c r="E124" s="461" t="s">
        <v>249</v>
      </c>
      <c r="F124" s="461"/>
      <c r="G124" s="10">
        <f>G125</f>
        <v>257</v>
      </c>
      <c r="H124" s="10">
        <f>H125</f>
        <v>257</v>
      </c>
    </row>
    <row r="125" spans="1:8" ht="31.5" x14ac:dyDescent="0.25">
      <c r="A125" s="458" t="s">
        <v>348</v>
      </c>
      <c r="B125" s="454" t="s">
        <v>1228</v>
      </c>
      <c r="C125" s="461" t="s">
        <v>244</v>
      </c>
      <c r="D125" s="461" t="s">
        <v>215</v>
      </c>
      <c r="E125" s="461" t="s">
        <v>349</v>
      </c>
      <c r="F125" s="461"/>
      <c r="G125" s="10">
        <f>'пр.6.1.ведом.22-23 (2)'!G463</f>
        <v>257</v>
      </c>
      <c r="H125" s="10">
        <f>'пр.6.1.ведом.22-23 (2)'!H463</f>
        <v>257</v>
      </c>
    </row>
    <row r="126" spans="1:8" ht="47.25" x14ac:dyDescent="0.25">
      <c r="A126" s="45" t="s">
        <v>261</v>
      </c>
      <c r="B126" s="454" t="s">
        <v>1228</v>
      </c>
      <c r="C126" s="461" t="s">
        <v>244</v>
      </c>
      <c r="D126" s="461" t="s">
        <v>215</v>
      </c>
      <c r="E126" s="461" t="s">
        <v>349</v>
      </c>
      <c r="F126" s="461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456" t="s">
        <v>997</v>
      </c>
      <c r="B127" s="457" t="s">
        <v>1222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458" t="s">
        <v>298</v>
      </c>
      <c r="B128" s="454" t="s">
        <v>1222</v>
      </c>
      <c r="C128" s="461" t="s">
        <v>299</v>
      </c>
      <c r="D128" s="461"/>
      <c r="E128" s="7"/>
      <c r="F128" s="7"/>
      <c r="G128" s="10">
        <f t="shared" ref="G128:H131" si="16">G129</f>
        <v>260</v>
      </c>
      <c r="H128" s="10">
        <f t="shared" si="16"/>
        <v>285</v>
      </c>
    </row>
    <row r="129" spans="1:8" ht="15.75" x14ac:dyDescent="0.25">
      <c r="A129" s="458" t="s">
        <v>300</v>
      </c>
      <c r="B129" s="454" t="s">
        <v>1222</v>
      </c>
      <c r="C129" s="461" t="s">
        <v>299</v>
      </c>
      <c r="D129" s="461" t="s">
        <v>150</v>
      </c>
      <c r="E129" s="7"/>
      <c r="F129" s="7"/>
      <c r="G129" s="10">
        <f t="shared" si="16"/>
        <v>260</v>
      </c>
      <c r="H129" s="10">
        <f t="shared" si="16"/>
        <v>285</v>
      </c>
    </row>
    <row r="130" spans="1:8" ht="31.5" x14ac:dyDescent="0.25">
      <c r="A130" s="458" t="s">
        <v>996</v>
      </c>
      <c r="B130" s="454" t="s">
        <v>1223</v>
      </c>
      <c r="C130" s="461" t="s">
        <v>299</v>
      </c>
      <c r="D130" s="461" t="s">
        <v>150</v>
      </c>
      <c r="E130" s="7"/>
      <c r="F130" s="7"/>
      <c r="G130" s="10">
        <f t="shared" si="16"/>
        <v>260</v>
      </c>
      <c r="H130" s="10">
        <f t="shared" si="16"/>
        <v>285</v>
      </c>
    </row>
    <row r="131" spans="1:8" ht="31.5" x14ac:dyDescent="0.25">
      <c r="A131" s="458" t="s">
        <v>131</v>
      </c>
      <c r="B131" s="454" t="s">
        <v>1223</v>
      </c>
      <c r="C131" s="461" t="s">
        <v>299</v>
      </c>
      <c r="D131" s="461" t="s">
        <v>150</v>
      </c>
      <c r="E131" s="461" t="s">
        <v>132</v>
      </c>
      <c r="F131" s="461"/>
      <c r="G131" s="10">
        <f t="shared" si="16"/>
        <v>260</v>
      </c>
      <c r="H131" s="10">
        <f t="shared" si="16"/>
        <v>285</v>
      </c>
    </row>
    <row r="132" spans="1:8" ht="47.25" x14ac:dyDescent="0.25">
      <c r="A132" s="458" t="s">
        <v>133</v>
      </c>
      <c r="B132" s="454" t="s">
        <v>1223</v>
      </c>
      <c r="C132" s="461" t="s">
        <v>299</v>
      </c>
      <c r="D132" s="461" t="s">
        <v>150</v>
      </c>
      <c r="E132" s="461" t="s">
        <v>134</v>
      </c>
      <c r="F132" s="461"/>
      <c r="G132" s="10">
        <f>'пр.6.1.ведом.22-23 (2)'!G439</f>
        <v>260</v>
      </c>
      <c r="H132" s="10">
        <f>'пр.6.1.ведом.22-23 (2)'!H439</f>
        <v>285</v>
      </c>
    </row>
    <row r="133" spans="1:8" ht="47.25" x14ac:dyDescent="0.25">
      <c r="A133" s="45" t="s">
        <v>261</v>
      </c>
      <c r="B133" s="454" t="s">
        <v>1223</v>
      </c>
      <c r="C133" s="461" t="s">
        <v>299</v>
      </c>
      <c r="D133" s="461" t="s">
        <v>150</v>
      </c>
      <c r="E133" s="461" t="s">
        <v>134</v>
      </c>
      <c r="F133" s="461" t="s">
        <v>627</v>
      </c>
      <c r="G133" s="10">
        <f>G132</f>
        <v>260</v>
      </c>
      <c r="H133" s="10">
        <f>H132</f>
        <v>285</v>
      </c>
    </row>
    <row r="134" spans="1:8" ht="15.75" x14ac:dyDescent="0.25">
      <c r="A134" s="45" t="s">
        <v>243</v>
      </c>
      <c r="B134" s="454" t="s">
        <v>1222</v>
      </c>
      <c r="C134" s="461" t="s">
        <v>244</v>
      </c>
      <c r="D134" s="461"/>
      <c r="E134" s="461"/>
      <c r="F134" s="461"/>
      <c r="G134" s="10">
        <f t="shared" ref="G134:H137" si="17">G135</f>
        <v>420</v>
      </c>
      <c r="H134" s="10">
        <f t="shared" si="17"/>
        <v>450</v>
      </c>
    </row>
    <row r="135" spans="1:8" ht="15.75" x14ac:dyDescent="0.25">
      <c r="A135" s="45" t="s">
        <v>252</v>
      </c>
      <c r="B135" s="454" t="s">
        <v>1222</v>
      </c>
      <c r="C135" s="461" t="s">
        <v>244</v>
      </c>
      <c r="D135" s="461" t="s">
        <v>215</v>
      </c>
      <c r="E135" s="461"/>
      <c r="F135" s="461"/>
      <c r="G135" s="10">
        <f t="shared" si="17"/>
        <v>420</v>
      </c>
      <c r="H135" s="10">
        <f t="shared" si="17"/>
        <v>450</v>
      </c>
    </row>
    <row r="136" spans="1:8" ht="15.75" x14ac:dyDescent="0.25">
      <c r="A136" s="458" t="s">
        <v>1036</v>
      </c>
      <c r="B136" s="454" t="s">
        <v>1224</v>
      </c>
      <c r="C136" s="461" t="s">
        <v>244</v>
      </c>
      <c r="D136" s="461" t="s">
        <v>215</v>
      </c>
      <c r="E136" s="461"/>
      <c r="F136" s="461"/>
      <c r="G136" s="10">
        <f t="shared" si="17"/>
        <v>420</v>
      </c>
      <c r="H136" s="10">
        <f t="shared" si="17"/>
        <v>450</v>
      </c>
    </row>
    <row r="137" spans="1:8" ht="31.5" x14ac:dyDescent="0.25">
      <c r="A137" s="458" t="s">
        <v>248</v>
      </c>
      <c r="B137" s="454" t="s">
        <v>1224</v>
      </c>
      <c r="C137" s="461" t="s">
        <v>244</v>
      </c>
      <c r="D137" s="461" t="s">
        <v>215</v>
      </c>
      <c r="E137" s="461" t="s">
        <v>249</v>
      </c>
      <c r="F137" s="461"/>
      <c r="G137" s="10">
        <f t="shared" si="17"/>
        <v>420</v>
      </c>
      <c r="H137" s="10">
        <f t="shared" si="17"/>
        <v>450</v>
      </c>
    </row>
    <row r="138" spans="1:8" ht="31.5" x14ac:dyDescent="0.25">
      <c r="A138" s="458" t="s">
        <v>348</v>
      </c>
      <c r="B138" s="454" t="s">
        <v>1224</v>
      </c>
      <c r="C138" s="461" t="s">
        <v>244</v>
      </c>
      <c r="D138" s="461" t="s">
        <v>215</v>
      </c>
      <c r="E138" s="461" t="s">
        <v>349</v>
      </c>
      <c r="F138" s="461"/>
      <c r="G138" s="10">
        <f>'[1]Пр.5 ведом.21'!G456</f>
        <v>420</v>
      </c>
      <c r="H138" s="10">
        <f>'пр.6.1.ведом.22-23 (2)'!H467</f>
        <v>450</v>
      </c>
    </row>
    <row r="139" spans="1:8" ht="47.25" x14ac:dyDescent="0.25">
      <c r="A139" s="45" t="s">
        <v>261</v>
      </c>
      <c r="B139" s="454" t="s">
        <v>1224</v>
      </c>
      <c r="C139" s="461" t="s">
        <v>244</v>
      </c>
      <c r="D139" s="461" t="s">
        <v>215</v>
      </c>
      <c r="E139" s="461" t="s">
        <v>349</v>
      </c>
      <c r="F139" s="461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1361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456" t="s">
        <v>937</v>
      </c>
      <c r="B141" s="457" t="s">
        <v>1231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61" t="s">
        <v>1231</v>
      </c>
      <c r="C142" s="461" t="s">
        <v>264</v>
      </c>
      <c r="D142" s="461"/>
      <c r="E142" s="461"/>
      <c r="F142" s="461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61" t="s">
        <v>1231</v>
      </c>
      <c r="C143" s="461" t="s">
        <v>264</v>
      </c>
      <c r="D143" s="461" t="s">
        <v>118</v>
      </c>
      <c r="E143" s="461"/>
      <c r="F143" s="461"/>
      <c r="G143" s="10">
        <f>G144</f>
        <v>14795.6</v>
      </c>
      <c r="H143" s="10">
        <f>H144</f>
        <v>14795.6</v>
      </c>
    </row>
    <row r="144" spans="1:8" ht="47.25" x14ac:dyDescent="0.25">
      <c r="A144" s="458" t="s">
        <v>1230</v>
      </c>
      <c r="B144" s="454" t="s">
        <v>1232</v>
      </c>
      <c r="C144" s="461" t="s">
        <v>264</v>
      </c>
      <c r="D144" s="461" t="s">
        <v>118</v>
      </c>
      <c r="E144" s="461"/>
      <c r="F144" s="461"/>
      <c r="G144" s="10">
        <f t="shared" ref="G144:H145" si="18">G145</f>
        <v>14795.6</v>
      </c>
      <c r="H144" s="10">
        <f t="shared" si="18"/>
        <v>14795.6</v>
      </c>
    </row>
    <row r="145" spans="1:8" ht="47.25" x14ac:dyDescent="0.25">
      <c r="A145" s="458" t="s">
        <v>272</v>
      </c>
      <c r="B145" s="454" t="s">
        <v>1232</v>
      </c>
      <c r="C145" s="461" t="s">
        <v>264</v>
      </c>
      <c r="D145" s="461" t="s">
        <v>118</v>
      </c>
      <c r="E145" s="461" t="s">
        <v>273</v>
      </c>
      <c r="F145" s="461"/>
      <c r="G145" s="10">
        <f t="shared" si="18"/>
        <v>14795.6</v>
      </c>
      <c r="H145" s="10">
        <f t="shared" si="18"/>
        <v>14795.6</v>
      </c>
    </row>
    <row r="146" spans="1:8" ht="15.75" x14ac:dyDescent="0.25">
      <c r="A146" s="458" t="s">
        <v>274</v>
      </c>
      <c r="B146" s="454" t="s">
        <v>1232</v>
      </c>
      <c r="C146" s="461" t="s">
        <v>264</v>
      </c>
      <c r="D146" s="461" t="s">
        <v>118</v>
      </c>
      <c r="E146" s="461" t="s">
        <v>275</v>
      </c>
      <c r="F146" s="461"/>
      <c r="G146" s="451">
        <f>'пр.6.1.ведом.22-23 (2)'!G554</f>
        <v>14795.6</v>
      </c>
      <c r="H146" s="451">
        <f>'пр.6.1.ведом.22-23 (2)'!H554</f>
        <v>14795.6</v>
      </c>
    </row>
    <row r="147" spans="1:8" ht="31.5" x14ac:dyDescent="0.25">
      <c r="A147" s="29" t="s">
        <v>403</v>
      </c>
      <c r="B147" s="454" t="s">
        <v>1232</v>
      </c>
      <c r="C147" s="461" t="s">
        <v>264</v>
      </c>
      <c r="D147" s="461" t="s">
        <v>118</v>
      </c>
      <c r="E147" s="461" t="s">
        <v>275</v>
      </c>
      <c r="F147" s="461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61" t="s">
        <v>1231</v>
      </c>
      <c r="C148" s="461" t="s">
        <v>264</v>
      </c>
      <c r="D148" s="461" t="s">
        <v>213</v>
      </c>
      <c r="E148" s="461"/>
      <c r="F148" s="461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458" t="s">
        <v>427</v>
      </c>
      <c r="B149" s="454" t="s">
        <v>1250</v>
      </c>
      <c r="C149" s="461" t="s">
        <v>264</v>
      </c>
      <c r="D149" s="461" t="s">
        <v>213</v>
      </c>
      <c r="E149" s="461"/>
      <c r="F149" s="461"/>
      <c r="G149" s="10">
        <f t="shared" ref="G149:H150" si="19">G150</f>
        <v>28690.799999999999</v>
      </c>
      <c r="H149" s="10">
        <f t="shared" si="19"/>
        <v>28690.799999999999</v>
      </c>
    </row>
    <row r="150" spans="1:8" ht="47.25" x14ac:dyDescent="0.25">
      <c r="A150" s="458" t="s">
        <v>272</v>
      </c>
      <c r="B150" s="454" t="s">
        <v>1250</v>
      </c>
      <c r="C150" s="461" t="s">
        <v>264</v>
      </c>
      <c r="D150" s="461" t="s">
        <v>213</v>
      </c>
      <c r="E150" s="461" t="s">
        <v>273</v>
      </c>
      <c r="F150" s="461"/>
      <c r="G150" s="10">
        <f t="shared" si="19"/>
        <v>28690.799999999999</v>
      </c>
      <c r="H150" s="10">
        <f t="shared" si="19"/>
        <v>28690.799999999999</v>
      </c>
    </row>
    <row r="151" spans="1:8" ht="15.75" x14ac:dyDescent="0.25">
      <c r="A151" s="458" t="s">
        <v>274</v>
      </c>
      <c r="B151" s="454" t="s">
        <v>1250</v>
      </c>
      <c r="C151" s="461" t="s">
        <v>264</v>
      </c>
      <c r="D151" s="461" t="s">
        <v>213</v>
      </c>
      <c r="E151" s="461" t="s">
        <v>275</v>
      </c>
      <c r="F151" s="461"/>
      <c r="G151" s="451">
        <f>'пр.6.1.ведом.22-23 (2)'!G614</f>
        <v>28690.799999999999</v>
      </c>
      <c r="H151" s="451">
        <f>'пр.6.1.ведом.22-23 (2)'!H614</f>
        <v>28690.799999999999</v>
      </c>
    </row>
    <row r="152" spans="1:8" ht="31.5" x14ac:dyDescent="0.25">
      <c r="A152" s="29" t="s">
        <v>403</v>
      </c>
      <c r="B152" s="454" t="s">
        <v>1250</v>
      </c>
      <c r="C152" s="461" t="s">
        <v>264</v>
      </c>
      <c r="D152" s="461" t="s">
        <v>213</v>
      </c>
      <c r="E152" s="461" t="s">
        <v>275</v>
      </c>
      <c r="F152" s="461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61" t="s">
        <v>1231</v>
      </c>
      <c r="C153" s="461" t="s">
        <v>264</v>
      </c>
      <c r="D153" s="461" t="s">
        <v>215</v>
      </c>
      <c r="E153" s="461"/>
      <c r="F153" s="461"/>
      <c r="G153" s="451">
        <f t="shared" ref="G153:H155" si="20">G154</f>
        <v>37056.300000000003</v>
      </c>
      <c r="H153" s="451">
        <f t="shared" si="20"/>
        <v>37056.300000000003</v>
      </c>
    </row>
    <row r="154" spans="1:8" ht="47.25" x14ac:dyDescent="0.25">
      <c r="A154" s="29" t="s">
        <v>270</v>
      </c>
      <c r="B154" s="454" t="s">
        <v>1261</v>
      </c>
      <c r="C154" s="461" t="s">
        <v>264</v>
      </c>
      <c r="D154" s="461" t="s">
        <v>215</v>
      </c>
      <c r="E154" s="7"/>
      <c r="F154" s="7"/>
      <c r="G154" s="10">
        <f t="shared" si="20"/>
        <v>37056.300000000003</v>
      </c>
      <c r="H154" s="10">
        <f t="shared" si="20"/>
        <v>37056.300000000003</v>
      </c>
    </row>
    <row r="155" spans="1:8" ht="47.25" x14ac:dyDescent="0.25">
      <c r="A155" s="29" t="s">
        <v>272</v>
      </c>
      <c r="B155" s="454" t="s">
        <v>1261</v>
      </c>
      <c r="C155" s="461" t="s">
        <v>264</v>
      </c>
      <c r="D155" s="461" t="s">
        <v>215</v>
      </c>
      <c r="E155" s="461" t="s">
        <v>273</v>
      </c>
      <c r="F155" s="461"/>
      <c r="G155" s="10">
        <f t="shared" si="20"/>
        <v>37056.300000000003</v>
      </c>
      <c r="H155" s="10">
        <f t="shared" si="20"/>
        <v>37056.300000000003</v>
      </c>
    </row>
    <row r="156" spans="1:8" ht="15.75" x14ac:dyDescent="0.25">
      <c r="A156" s="29" t="s">
        <v>274</v>
      </c>
      <c r="B156" s="454" t="s">
        <v>1261</v>
      </c>
      <c r="C156" s="461" t="s">
        <v>264</v>
      </c>
      <c r="D156" s="461" t="s">
        <v>215</v>
      </c>
      <c r="E156" s="461" t="s">
        <v>275</v>
      </c>
      <c r="F156" s="461"/>
      <c r="G156" s="451">
        <f>'пр.6.1.ведом.22-23 (2)'!G696</f>
        <v>37056.300000000003</v>
      </c>
      <c r="H156" s="451">
        <f>'пр.6.1.ведом.22-23 (2)'!H696</f>
        <v>37056.300000000003</v>
      </c>
    </row>
    <row r="157" spans="1:8" ht="31.5" x14ac:dyDescent="0.25">
      <c r="A157" s="29" t="s">
        <v>403</v>
      </c>
      <c r="B157" s="454" t="s">
        <v>1261</v>
      </c>
      <c r="C157" s="461" t="s">
        <v>264</v>
      </c>
      <c r="D157" s="461" t="s">
        <v>215</v>
      </c>
      <c r="E157" s="461" t="s">
        <v>275</v>
      </c>
      <c r="F157" s="461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456" t="s">
        <v>900</v>
      </c>
      <c r="B158" s="457" t="s">
        <v>1233</v>
      </c>
      <c r="C158" s="7"/>
      <c r="D158" s="7"/>
      <c r="E158" s="7"/>
      <c r="F158" s="7"/>
      <c r="G158" s="450">
        <f>G159</f>
        <v>209060.9</v>
      </c>
      <c r="H158" s="450">
        <f>H159</f>
        <v>232587.40000000002</v>
      </c>
    </row>
    <row r="159" spans="1:8" ht="15.75" x14ac:dyDescent="0.25">
      <c r="A159" s="29" t="s">
        <v>263</v>
      </c>
      <c r="B159" s="461" t="s">
        <v>1233</v>
      </c>
      <c r="C159" s="461" t="s">
        <v>264</v>
      </c>
      <c r="D159" s="461"/>
      <c r="E159" s="461"/>
      <c r="F159" s="461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61" t="s">
        <v>1233</v>
      </c>
      <c r="C160" s="461" t="s">
        <v>264</v>
      </c>
      <c r="D160" s="461" t="s">
        <v>118</v>
      </c>
      <c r="E160" s="461"/>
      <c r="F160" s="461"/>
      <c r="G160" s="10">
        <f>G165+G169+G173+G161</f>
        <v>75561.5</v>
      </c>
      <c r="H160" s="10">
        <f>H165+H169+H173+H161</f>
        <v>79924.100000000006</v>
      </c>
    </row>
    <row r="161" spans="1:8" ht="110.25" x14ac:dyDescent="0.25">
      <c r="A161" s="31" t="s">
        <v>293</v>
      </c>
      <c r="B161" s="454" t="s">
        <v>1393</v>
      </c>
      <c r="C161" s="461" t="s">
        <v>264</v>
      </c>
      <c r="D161" s="461" t="s">
        <v>118</v>
      </c>
      <c r="E161" s="461"/>
      <c r="F161" s="461"/>
      <c r="G161" s="451">
        <f>G162</f>
        <v>3230</v>
      </c>
      <c r="H161" s="451">
        <f>H162</f>
        <v>3230</v>
      </c>
    </row>
    <row r="162" spans="1:8" ht="47.25" x14ac:dyDescent="0.25">
      <c r="A162" s="458" t="s">
        <v>272</v>
      </c>
      <c r="B162" s="454" t="s">
        <v>1393</v>
      </c>
      <c r="C162" s="461" t="s">
        <v>264</v>
      </c>
      <c r="D162" s="461" t="s">
        <v>118</v>
      </c>
      <c r="E162" s="461" t="s">
        <v>273</v>
      </c>
      <c r="F162" s="461"/>
      <c r="G162" s="451">
        <f>G163</f>
        <v>3230</v>
      </c>
      <c r="H162" s="451">
        <f>H163</f>
        <v>3230</v>
      </c>
    </row>
    <row r="163" spans="1:8" ht="15.75" x14ac:dyDescent="0.25">
      <c r="A163" s="458" t="s">
        <v>274</v>
      </c>
      <c r="B163" s="454" t="s">
        <v>1393</v>
      </c>
      <c r="C163" s="461" t="s">
        <v>264</v>
      </c>
      <c r="D163" s="461" t="s">
        <v>118</v>
      </c>
      <c r="E163" s="461" t="s">
        <v>275</v>
      </c>
      <c r="F163" s="461"/>
      <c r="G163" s="451">
        <f>'пр.6.1.ведом.22-23 (2)'!G558</f>
        <v>3230</v>
      </c>
      <c r="H163" s="451">
        <f>'пр.6.1.ведом.22-23 (2)'!H558</f>
        <v>3230</v>
      </c>
    </row>
    <row r="164" spans="1:8" ht="31.5" x14ac:dyDescent="0.25">
      <c r="A164" s="29" t="s">
        <v>403</v>
      </c>
      <c r="B164" s="454" t="s">
        <v>1393</v>
      </c>
      <c r="C164" s="461" t="s">
        <v>264</v>
      </c>
      <c r="D164" s="461" t="s">
        <v>118</v>
      </c>
      <c r="E164" s="461" t="s">
        <v>275</v>
      </c>
      <c r="F164" s="461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454" t="s">
        <v>1234</v>
      </c>
      <c r="C165" s="461" t="s">
        <v>264</v>
      </c>
      <c r="D165" s="461" t="s">
        <v>118</v>
      </c>
      <c r="E165" s="461"/>
      <c r="F165" s="461"/>
      <c r="G165" s="451">
        <f>G166</f>
        <v>589</v>
      </c>
      <c r="H165" s="451">
        <f>H166</f>
        <v>589</v>
      </c>
    </row>
    <row r="166" spans="1:8" ht="47.25" x14ac:dyDescent="0.25">
      <c r="A166" s="458" t="s">
        <v>272</v>
      </c>
      <c r="B166" s="454" t="s">
        <v>1234</v>
      </c>
      <c r="C166" s="461" t="s">
        <v>264</v>
      </c>
      <c r="D166" s="461" t="s">
        <v>118</v>
      </c>
      <c r="E166" s="461" t="s">
        <v>273</v>
      </c>
      <c r="F166" s="461"/>
      <c r="G166" s="451">
        <f>G167</f>
        <v>589</v>
      </c>
      <c r="H166" s="451">
        <f>H167</f>
        <v>589</v>
      </c>
    </row>
    <row r="167" spans="1:8" ht="15.75" x14ac:dyDescent="0.25">
      <c r="A167" s="458" t="s">
        <v>274</v>
      </c>
      <c r="B167" s="454" t="s">
        <v>1234</v>
      </c>
      <c r="C167" s="461" t="s">
        <v>264</v>
      </c>
      <c r="D167" s="461" t="s">
        <v>118</v>
      </c>
      <c r="E167" s="461" t="s">
        <v>275</v>
      </c>
      <c r="F167" s="461"/>
      <c r="G167" s="451">
        <f>'пр.6.1.ведом.22-23 (2)'!G561</f>
        <v>589</v>
      </c>
      <c r="H167" s="451">
        <f>'пр.6.1.ведом.22-23 (2)'!H561</f>
        <v>589</v>
      </c>
    </row>
    <row r="168" spans="1:8" ht="31.5" x14ac:dyDescent="0.25">
      <c r="A168" s="29" t="s">
        <v>403</v>
      </c>
      <c r="B168" s="454" t="s">
        <v>1234</v>
      </c>
      <c r="C168" s="461" t="s">
        <v>264</v>
      </c>
      <c r="D168" s="461" t="s">
        <v>118</v>
      </c>
      <c r="E168" s="461" t="s">
        <v>275</v>
      </c>
      <c r="F168" s="461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454" t="s">
        <v>1235</v>
      </c>
      <c r="C169" s="461" t="s">
        <v>264</v>
      </c>
      <c r="D169" s="461" t="s">
        <v>118</v>
      </c>
      <c r="E169" s="461"/>
      <c r="F169" s="461"/>
      <c r="G169" s="451">
        <f>G170</f>
        <v>1629.3</v>
      </c>
      <c r="H169" s="451">
        <f>H170</f>
        <v>1629.3</v>
      </c>
    </row>
    <row r="170" spans="1:8" ht="47.25" x14ac:dyDescent="0.25">
      <c r="A170" s="458" t="s">
        <v>272</v>
      </c>
      <c r="B170" s="454" t="s">
        <v>1235</v>
      </c>
      <c r="C170" s="461" t="s">
        <v>264</v>
      </c>
      <c r="D170" s="461" t="s">
        <v>118</v>
      </c>
      <c r="E170" s="461" t="s">
        <v>273</v>
      </c>
      <c r="F170" s="461"/>
      <c r="G170" s="451">
        <f>G171</f>
        <v>1629.3</v>
      </c>
      <c r="H170" s="451">
        <f>H171</f>
        <v>1629.3</v>
      </c>
    </row>
    <row r="171" spans="1:8" ht="15.75" x14ac:dyDescent="0.25">
      <c r="A171" s="458" t="s">
        <v>274</v>
      </c>
      <c r="B171" s="454" t="s">
        <v>1235</v>
      </c>
      <c r="C171" s="461" t="s">
        <v>264</v>
      </c>
      <c r="D171" s="461" t="s">
        <v>118</v>
      </c>
      <c r="E171" s="461" t="s">
        <v>275</v>
      </c>
      <c r="F171" s="461"/>
      <c r="G171" s="451">
        <f>'пр.6.1.ведом.22-23 (2)'!G564</f>
        <v>1629.3</v>
      </c>
      <c r="H171" s="451">
        <f>'пр.6.1.ведом.22-23 (2)'!H564</f>
        <v>1629.3</v>
      </c>
    </row>
    <row r="172" spans="1:8" ht="31.5" x14ac:dyDescent="0.25">
      <c r="A172" s="29" t="s">
        <v>403</v>
      </c>
      <c r="B172" s="454" t="s">
        <v>1235</v>
      </c>
      <c r="C172" s="461" t="s">
        <v>264</v>
      </c>
      <c r="D172" s="461" t="s">
        <v>118</v>
      </c>
      <c r="E172" s="461" t="s">
        <v>275</v>
      </c>
      <c r="F172" s="461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1184</v>
      </c>
      <c r="B173" s="454" t="s">
        <v>1236</v>
      </c>
      <c r="C173" s="461" t="s">
        <v>264</v>
      </c>
      <c r="D173" s="461" t="s">
        <v>118</v>
      </c>
      <c r="E173" s="461"/>
      <c r="F173" s="461"/>
      <c r="G173" s="451">
        <f>G174</f>
        <v>70113.2</v>
      </c>
      <c r="H173" s="451">
        <f>H174</f>
        <v>74475.8</v>
      </c>
    </row>
    <row r="174" spans="1:8" ht="47.25" x14ac:dyDescent="0.25">
      <c r="A174" s="458" t="s">
        <v>272</v>
      </c>
      <c r="B174" s="454" t="s">
        <v>1236</v>
      </c>
      <c r="C174" s="461" t="s">
        <v>264</v>
      </c>
      <c r="D174" s="461" t="s">
        <v>118</v>
      </c>
      <c r="E174" s="461" t="s">
        <v>273</v>
      </c>
      <c r="F174" s="461"/>
      <c r="G174" s="451">
        <f>G175</f>
        <v>70113.2</v>
      </c>
      <c r="H174" s="451">
        <f>H175</f>
        <v>74475.8</v>
      </c>
    </row>
    <row r="175" spans="1:8" ht="15.75" x14ac:dyDescent="0.25">
      <c r="A175" s="458" t="s">
        <v>274</v>
      </c>
      <c r="B175" s="454" t="s">
        <v>1236</v>
      </c>
      <c r="C175" s="461" t="s">
        <v>264</v>
      </c>
      <c r="D175" s="461" t="s">
        <v>118</v>
      </c>
      <c r="E175" s="461" t="s">
        <v>275</v>
      </c>
      <c r="F175" s="461"/>
      <c r="G175" s="451">
        <f>'пр.6.1.ведом.22-23 (2)'!G567</f>
        <v>70113.2</v>
      </c>
      <c r="H175" s="451">
        <f>'пр.6.1.ведом.22-23 (2)'!H567</f>
        <v>74475.8</v>
      </c>
    </row>
    <row r="176" spans="1:8" ht="31.5" x14ac:dyDescent="0.25">
      <c r="A176" s="29" t="s">
        <v>403</v>
      </c>
      <c r="B176" s="454" t="s">
        <v>1236</v>
      </c>
      <c r="C176" s="461" t="s">
        <v>264</v>
      </c>
      <c r="D176" s="461" t="s">
        <v>118</v>
      </c>
      <c r="E176" s="461" t="s">
        <v>275</v>
      </c>
      <c r="F176" s="461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61" t="s">
        <v>1233</v>
      </c>
      <c r="C177" s="461" t="s">
        <v>264</v>
      </c>
      <c r="D177" s="461" t="s">
        <v>213</v>
      </c>
      <c r="E177" s="461"/>
      <c r="F177" s="461"/>
      <c r="G177" s="10">
        <f>G186+G190+G194+G198+G182+G178</f>
        <v>131370.9</v>
      </c>
      <c r="H177" s="10">
        <f>H186+H190+H194+H198+H182+H178</f>
        <v>150534.80000000002</v>
      </c>
    </row>
    <row r="178" spans="1:8" ht="78.75" x14ac:dyDescent="0.25">
      <c r="A178" s="458" t="s">
        <v>1395</v>
      </c>
      <c r="B178" s="454" t="s">
        <v>1396</v>
      </c>
      <c r="C178" s="461" t="s">
        <v>264</v>
      </c>
      <c r="D178" s="461" t="s">
        <v>213</v>
      </c>
      <c r="E178" s="461"/>
      <c r="F178" s="461"/>
      <c r="G178" s="10">
        <f>G179</f>
        <v>7226.1</v>
      </c>
      <c r="H178" s="10">
        <f>H179</f>
        <v>7226.1</v>
      </c>
    </row>
    <row r="179" spans="1:8" ht="47.25" x14ac:dyDescent="0.25">
      <c r="A179" s="458" t="s">
        <v>272</v>
      </c>
      <c r="B179" s="454" t="s">
        <v>1396</v>
      </c>
      <c r="C179" s="461" t="s">
        <v>264</v>
      </c>
      <c r="D179" s="461" t="s">
        <v>213</v>
      </c>
      <c r="E179" s="461" t="s">
        <v>273</v>
      </c>
      <c r="F179" s="461"/>
      <c r="G179" s="10">
        <f>G180</f>
        <v>7226.1</v>
      </c>
      <c r="H179" s="10">
        <f>H180</f>
        <v>7226.1</v>
      </c>
    </row>
    <row r="180" spans="1:8" ht="15.75" x14ac:dyDescent="0.25">
      <c r="A180" s="458" t="s">
        <v>274</v>
      </c>
      <c r="B180" s="454" t="s">
        <v>1396</v>
      </c>
      <c r="C180" s="461" t="s">
        <v>264</v>
      </c>
      <c r="D180" s="461" t="s">
        <v>213</v>
      </c>
      <c r="E180" s="461" t="s">
        <v>275</v>
      </c>
      <c r="F180" s="461"/>
      <c r="G180" s="10">
        <f>'пр.6.1.ведом.22-23 (2)'!G618</f>
        <v>7226.1</v>
      </c>
      <c r="H180" s="10">
        <f>'пр.6.1.ведом.22-23 (2)'!H618</f>
        <v>7226.1</v>
      </c>
    </row>
    <row r="181" spans="1:8" ht="31.5" x14ac:dyDescent="0.25">
      <c r="A181" s="45" t="s">
        <v>403</v>
      </c>
      <c r="B181" s="454" t="s">
        <v>1396</v>
      </c>
      <c r="C181" s="461" t="s">
        <v>264</v>
      </c>
      <c r="D181" s="461" t="s">
        <v>213</v>
      </c>
      <c r="E181" s="461" t="s">
        <v>275</v>
      </c>
      <c r="F181" s="461" t="s">
        <v>636</v>
      </c>
      <c r="G181" s="10">
        <f>G178</f>
        <v>7226.1</v>
      </c>
      <c r="H181" s="10">
        <f>H178</f>
        <v>7226.1</v>
      </c>
    </row>
    <row r="182" spans="1:8" ht="110.25" x14ac:dyDescent="0.25">
      <c r="A182" s="31" t="s">
        <v>464</v>
      </c>
      <c r="B182" s="454" t="s">
        <v>1393</v>
      </c>
      <c r="C182" s="461" t="s">
        <v>264</v>
      </c>
      <c r="D182" s="461" t="s">
        <v>213</v>
      </c>
      <c r="E182" s="461"/>
      <c r="F182" s="461"/>
      <c r="G182" s="451">
        <f>G183</f>
        <v>4610</v>
      </c>
      <c r="H182" s="451">
        <f>H183</f>
        <v>4610</v>
      </c>
    </row>
    <row r="183" spans="1:8" ht="47.25" x14ac:dyDescent="0.25">
      <c r="A183" s="458" t="s">
        <v>272</v>
      </c>
      <c r="B183" s="454" t="s">
        <v>1393</v>
      </c>
      <c r="C183" s="461" t="s">
        <v>264</v>
      </c>
      <c r="D183" s="461" t="s">
        <v>213</v>
      </c>
      <c r="E183" s="461" t="s">
        <v>273</v>
      </c>
      <c r="F183" s="461"/>
      <c r="G183" s="451">
        <f>G184</f>
        <v>4610</v>
      </c>
      <c r="H183" s="451">
        <f>H184</f>
        <v>4610</v>
      </c>
    </row>
    <row r="184" spans="1:8" ht="15.75" x14ac:dyDescent="0.25">
      <c r="A184" s="458" t="s">
        <v>274</v>
      </c>
      <c r="B184" s="454" t="s">
        <v>1393</v>
      </c>
      <c r="C184" s="461" t="s">
        <v>264</v>
      </c>
      <c r="D184" s="461" t="s">
        <v>213</v>
      </c>
      <c r="E184" s="461" t="s">
        <v>275</v>
      </c>
      <c r="F184" s="461"/>
      <c r="G184" s="451">
        <f>'пр.6.1.ведом.22-23 (2)'!G621</f>
        <v>4610</v>
      </c>
      <c r="H184" s="451">
        <f>'пр.6.1.ведом.22-23 (2)'!H621</f>
        <v>4610</v>
      </c>
    </row>
    <row r="185" spans="1:8" ht="31.5" x14ac:dyDescent="0.25">
      <c r="A185" s="29" t="s">
        <v>403</v>
      </c>
      <c r="B185" s="454" t="s">
        <v>1393</v>
      </c>
      <c r="C185" s="461" t="s">
        <v>264</v>
      </c>
      <c r="D185" s="461" t="s">
        <v>213</v>
      </c>
      <c r="E185" s="461" t="s">
        <v>275</v>
      </c>
      <c r="F185" s="461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1185</v>
      </c>
      <c r="B186" s="454" t="s">
        <v>1251</v>
      </c>
      <c r="C186" s="461" t="s">
        <v>264</v>
      </c>
      <c r="D186" s="461" t="s">
        <v>213</v>
      </c>
      <c r="E186" s="461"/>
      <c r="F186" s="461"/>
      <c r="G186" s="451">
        <f>G187</f>
        <v>115047.8</v>
      </c>
      <c r="H186" s="451">
        <f>H187</f>
        <v>134211.70000000001</v>
      </c>
    </row>
    <row r="187" spans="1:8" ht="47.25" x14ac:dyDescent="0.25">
      <c r="A187" s="458" t="s">
        <v>272</v>
      </c>
      <c r="B187" s="454" t="s">
        <v>1251</v>
      </c>
      <c r="C187" s="461" t="s">
        <v>264</v>
      </c>
      <c r="D187" s="461" t="s">
        <v>213</v>
      </c>
      <c r="E187" s="461" t="s">
        <v>273</v>
      </c>
      <c r="F187" s="461"/>
      <c r="G187" s="451">
        <f>G188</f>
        <v>115047.8</v>
      </c>
      <c r="H187" s="451">
        <f>H188</f>
        <v>134211.70000000001</v>
      </c>
    </row>
    <row r="188" spans="1:8" ht="15.75" x14ac:dyDescent="0.25">
      <c r="A188" s="458" t="s">
        <v>274</v>
      </c>
      <c r="B188" s="454" t="s">
        <v>1251</v>
      </c>
      <c r="C188" s="461" t="s">
        <v>264</v>
      </c>
      <c r="D188" s="461" t="s">
        <v>213</v>
      </c>
      <c r="E188" s="461" t="s">
        <v>275</v>
      </c>
      <c r="F188" s="461"/>
      <c r="G188" s="451">
        <f>'пр.6.1.ведом.22-23 (2)'!G624</f>
        <v>115047.8</v>
      </c>
      <c r="H188" s="451">
        <f>'пр.6.1.ведом.22-23 (2)'!H624</f>
        <v>134211.70000000001</v>
      </c>
    </row>
    <row r="189" spans="1:8" ht="31.5" x14ac:dyDescent="0.25">
      <c r="A189" s="29" t="s">
        <v>403</v>
      </c>
      <c r="B189" s="454" t="s">
        <v>1251</v>
      </c>
      <c r="C189" s="461" t="s">
        <v>264</v>
      </c>
      <c r="D189" s="461" t="s">
        <v>213</v>
      </c>
      <c r="E189" s="461" t="s">
        <v>275</v>
      </c>
      <c r="F189" s="461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454" t="s">
        <v>1234</v>
      </c>
      <c r="C190" s="461" t="s">
        <v>264</v>
      </c>
      <c r="D190" s="461" t="s">
        <v>213</v>
      </c>
      <c r="E190" s="461"/>
      <c r="F190" s="461"/>
      <c r="G190" s="451">
        <f>G191</f>
        <v>1311</v>
      </c>
      <c r="H190" s="451">
        <f>H191</f>
        <v>1311</v>
      </c>
    </row>
    <row r="191" spans="1:8" ht="47.25" x14ac:dyDescent="0.25">
      <c r="A191" s="458" t="s">
        <v>272</v>
      </c>
      <c r="B191" s="454" t="s">
        <v>1234</v>
      </c>
      <c r="C191" s="461" t="s">
        <v>264</v>
      </c>
      <c r="D191" s="461" t="s">
        <v>213</v>
      </c>
      <c r="E191" s="461" t="s">
        <v>273</v>
      </c>
      <c r="F191" s="461"/>
      <c r="G191" s="451">
        <f>G192</f>
        <v>1311</v>
      </c>
      <c r="H191" s="451">
        <f>H192</f>
        <v>1311</v>
      </c>
    </row>
    <row r="192" spans="1:8" ht="15.75" x14ac:dyDescent="0.25">
      <c r="A192" s="458" t="s">
        <v>274</v>
      </c>
      <c r="B192" s="454" t="s">
        <v>1234</v>
      </c>
      <c r="C192" s="461" t="s">
        <v>264</v>
      </c>
      <c r="D192" s="461" t="s">
        <v>213</v>
      </c>
      <c r="E192" s="461" t="s">
        <v>275</v>
      </c>
      <c r="F192" s="461"/>
      <c r="G192" s="451">
        <f>'пр.6.1.ведом.22-23 (2)'!G627</f>
        <v>1311</v>
      </c>
      <c r="H192" s="451">
        <f>'пр.6.1.ведом.22-23 (2)'!H627</f>
        <v>1311</v>
      </c>
    </row>
    <row r="193" spans="1:8" ht="31.5" x14ac:dyDescent="0.25">
      <c r="A193" s="29" t="s">
        <v>403</v>
      </c>
      <c r="B193" s="454" t="s">
        <v>1234</v>
      </c>
      <c r="C193" s="461" t="s">
        <v>264</v>
      </c>
      <c r="D193" s="461" t="s">
        <v>213</v>
      </c>
      <c r="E193" s="461" t="s">
        <v>275</v>
      </c>
      <c r="F193" s="461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454" t="s">
        <v>1235</v>
      </c>
      <c r="C194" s="461" t="s">
        <v>264</v>
      </c>
      <c r="D194" s="461" t="s">
        <v>213</v>
      </c>
      <c r="E194" s="461"/>
      <c r="F194" s="461"/>
      <c r="G194" s="451">
        <f>G195</f>
        <v>2266.6999999999998</v>
      </c>
      <c r="H194" s="451">
        <f>H195</f>
        <v>2266.6999999999998</v>
      </c>
    </row>
    <row r="195" spans="1:8" ht="47.25" x14ac:dyDescent="0.25">
      <c r="A195" s="458" t="s">
        <v>272</v>
      </c>
      <c r="B195" s="454" t="s">
        <v>1235</v>
      </c>
      <c r="C195" s="461" t="s">
        <v>264</v>
      </c>
      <c r="D195" s="461" t="s">
        <v>213</v>
      </c>
      <c r="E195" s="461" t="s">
        <v>273</v>
      </c>
      <c r="F195" s="461"/>
      <c r="G195" s="451">
        <f>G196</f>
        <v>2266.6999999999998</v>
      </c>
      <c r="H195" s="451">
        <f>H196</f>
        <v>2266.6999999999998</v>
      </c>
    </row>
    <row r="196" spans="1:8" ht="15.75" x14ac:dyDescent="0.25">
      <c r="A196" s="458" t="s">
        <v>274</v>
      </c>
      <c r="B196" s="454" t="s">
        <v>1235</v>
      </c>
      <c r="C196" s="461" t="s">
        <v>264</v>
      </c>
      <c r="D196" s="461" t="s">
        <v>213</v>
      </c>
      <c r="E196" s="461" t="s">
        <v>275</v>
      </c>
      <c r="F196" s="461"/>
      <c r="G196" s="451">
        <f>'пр.6.1.ведом.22-23 (2)'!G630</f>
        <v>2266.6999999999998</v>
      </c>
      <c r="H196" s="451">
        <f>'пр.6.1.ведом.22-23 (2)'!H630</f>
        <v>2266.6999999999998</v>
      </c>
    </row>
    <row r="197" spans="1:8" ht="31.5" x14ac:dyDescent="0.25">
      <c r="A197" s="29" t="s">
        <v>403</v>
      </c>
      <c r="B197" s="454" t="s">
        <v>1235</v>
      </c>
      <c r="C197" s="461" t="s">
        <v>264</v>
      </c>
      <c r="D197" s="461" t="s">
        <v>213</v>
      </c>
      <c r="E197" s="461" t="s">
        <v>275</v>
      </c>
      <c r="F197" s="461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454" t="s">
        <v>1252</v>
      </c>
      <c r="C198" s="461" t="s">
        <v>264</v>
      </c>
      <c r="D198" s="461" t="s">
        <v>213</v>
      </c>
      <c r="E198" s="461"/>
      <c r="F198" s="461"/>
      <c r="G198" s="451">
        <f>G199</f>
        <v>909.3</v>
      </c>
      <c r="H198" s="451">
        <f>H199</f>
        <v>909.3</v>
      </c>
    </row>
    <row r="199" spans="1:8" ht="47.25" x14ac:dyDescent="0.25">
      <c r="A199" s="458" t="s">
        <v>272</v>
      </c>
      <c r="B199" s="454" t="s">
        <v>1252</v>
      </c>
      <c r="C199" s="461" t="s">
        <v>264</v>
      </c>
      <c r="D199" s="461" t="s">
        <v>213</v>
      </c>
      <c r="E199" s="461" t="s">
        <v>273</v>
      </c>
      <c r="F199" s="461"/>
      <c r="G199" s="451">
        <f>G200</f>
        <v>909.3</v>
      </c>
      <c r="H199" s="451">
        <f>H200</f>
        <v>909.3</v>
      </c>
    </row>
    <row r="200" spans="1:8" ht="15.75" x14ac:dyDescent="0.25">
      <c r="A200" s="458" t="s">
        <v>274</v>
      </c>
      <c r="B200" s="454" t="s">
        <v>1252</v>
      </c>
      <c r="C200" s="461" t="s">
        <v>264</v>
      </c>
      <c r="D200" s="461" t="s">
        <v>213</v>
      </c>
      <c r="E200" s="461" t="s">
        <v>275</v>
      </c>
      <c r="F200" s="461"/>
      <c r="G200" s="451">
        <f>'пр.6.1.ведом.22-23 (2)'!G633</f>
        <v>909.3</v>
      </c>
      <c r="H200" s="451">
        <f>'пр.6.1.ведом.22-23 (2)'!H633</f>
        <v>909.3</v>
      </c>
    </row>
    <row r="201" spans="1:8" ht="31.5" x14ac:dyDescent="0.25">
      <c r="A201" s="29" t="s">
        <v>403</v>
      </c>
      <c r="B201" s="454" t="s">
        <v>1252</v>
      </c>
      <c r="C201" s="461" t="s">
        <v>264</v>
      </c>
      <c r="D201" s="461" t="s">
        <v>213</v>
      </c>
      <c r="E201" s="461" t="s">
        <v>275</v>
      </c>
      <c r="F201" s="461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61" t="s">
        <v>1233</v>
      </c>
      <c r="C202" s="461" t="s">
        <v>264</v>
      </c>
      <c r="D202" s="461" t="s">
        <v>215</v>
      </c>
      <c r="E202" s="461"/>
      <c r="F202" s="461"/>
      <c r="G202" s="451">
        <f>G207+G211+G203</f>
        <v>2128.5</v>
      </c>
      <c r="H202" s="451">
        <f>H207+H211+H203</f>
        <v>2128.5</v>
      </c>
    </row>
    <row r="203" spans="1:8" ht="110.25" x14ac:dyDescent="0.25">
      <c r="A203" s="31" t="s">
        <v>293</v>
      </c>
      <c r="B203" s="454" t="s">
        <v>1393</v>
      </c>
      <c r="C203" s="461" t="s">
        <v>264</v>
      </c>
      <c r="D203" s="461" t="s">
        <v>215</v>
      </c>
      <c r="E203" s="461"/>
      <c r="F203" s="461"/>
      <c r="G203" s="451">
        <f>G204</f>
        <v>1400</v>
      </c>
      <c r="H203" s="451">
        <f>H204</f>
        <v>1400</v>
      </c>
    </row>
    <row r="204" spans="1:8" ht="47.25" x14ac:dyDescent="0.25">
      <c r="A204" s="458" t="s">
        <v>272</v>
      </c>
      <c r="B204" s="454" t="s">
        <v>1393</v>
      </c>
      <c r="C204" s="461" t="s">
        <v>264</v>
      </c>
      <c r="D204" s="461" t="s">
        <v>215</v>
      </c>
      <c r="E204" s="461" t="s">
        <v>273</v>
      </c>
      <c r="F204" s="461"/>
      <c r="G204" s="451">
        <f>G205</f>
        <v>1400</v>
      </c>
      <c r="H204" s="451">
        <f>H205</f>
        <v>1400</v>
      </c>
    </row>
    <row r="205" spans="1:8" ht="15.75" x14ac:dyDescent="0.25">
      <c r="A205" s="458" t="s">
        <v>274</v>
      </c>
      <c r="B205" s="454" t="s">
        <v>1393</v>
      </c>
      <c r="C205" s="461" t="s">
        <v>264</v>
      </c>
      <c r="D205" s="461" t="s">
        <v>215</v>
      </c>
      <c r="E205" s="461" t="s">
        <v>275</v>
      </c>
      <c r="F205" s="461"/>
      <c r="G205" s="451">
        <f>'пр.6.1.ведом.22-23 (2)'!G700</f>
        <v>1400</v>
      </c>
      <c r="H205" s="451">
        <f>'пр.6.1.ведом.22-23 (2)'!H700</f>
        <v>1400</v>
      </c>
    </row>
    <row r="206" spans="1:8" ht="31.5" x14ac:dyDescent="0.25">
      <c r="A206" s="29" t="s">
        <v>403</v>
      </c>
      <c r="B206" s="454" t="s">
        <v>1393</v>
      </c>
      <c r="C206" s="461" t="s">
        <v>264</v>
      </c>
      <c r="D206" s="461" t="s">
        <v>215</v>
      </c>
      <c r="E206" s="461" t="s">
        <v>275</v>
      </c>
      <c r="F206" s="461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454" t="s">
        <v>1234</v>
      </c>
      <c r="C207" s="461" t="s">
        <v>264</v>
      </c>
      <c r="D207" s="461" t="s">
        <v>215</v>
      </c>
      <c r="E207" s="461"/>
      <c r="F207" s="461"/>
      <c r="G207" s="451">
        <f>G208</f>
        <v>179</v>
      </c>
      <c r="H207" s="451">
        <f>H208</f>
        <v>179</v>
      </c>
    </row>
    <row r="208" spans="1:8" ht="47.25" x14ac:dyDescent="0.25">
      <c r="A208" s="458" t="s">
        <v>272</v>
      </c>
      <c r="B208" s="454" t="s">
        <v>1234</v>
      </c>
      <c r="C208" s="461" t="s">
        <v>264</v>
      </c>
      <c r="D208" s="461" t="s">
        <v>215</v>
      </c>
      <c r="E208" s="461" t="s">
        <v>273</v>
      </c>
      <c r="F208" s="461"/>
      <c r="G208" s="451">
        <f>G209</f>
        <v>179</v>
      </c>
      <c r="H208" s="451">
        <f>H209</f>
        <v>179</v>
      </c>
    </row>
    <row r="209" spans="1:8" ht="15.75" x14ac:dyDescent="0.25">
      <c r="A209" s="458" t="s">
        <v>274</v>
      </c>
      <c r="B209" s="454" t="s">
        <v>1234</v>
      </c>
      <c r="C209" s="461" t="s">
        <v>264</v>
      </c>
      <c r="D209" s="461" t="s">
        <v>215</v>
      </c>
      <c r="E209" s="461" t="s">
        <v>275</v>
      </c>
      <c r="F209" s="461"/>
      <c r="G209" s="451">
        <f>'пр.6.1.ведом.22-23 (2)'!G703</f>
        <v>179</v>
      </c>
      <c r="H209" s="451">
        <f>'пр.6.1.ведом.22-23 (2)'!H703</f>
        <v>179</v>
      </c>
    </row>
    <row r="210" spans="1:8" ht="31.5" x14ac:dyDescent="0.25">
      <c r="A210" s="29" t="s">
        <v>403</v>
      </c>
      <c r="B210" s="454" t="s">
        <v>1234</v>
      </c>
      <c r="C210" s="461" t="s">
        <v>264</v>
      </c>
      <c r="D210" s="461" t="s">
        <v>215</v>
      </c>
      <c r="E210" s="461" t="s">
        <v>275</v>
      </c>
      <c r="F210" s="461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454" t="s">
        <v>1235</v>
      </c>
      <c r="C211" s="461" t="s">
        <v>264</v>
      </c>
      <c r="D211" s="461" t="s">
        <v>215</v>
      </c>
      <c r="E211" s="461"/>
      <c r="F211" s="461"/>
      <c r="G211" s="451">
        <f>G212</f>
        <v>549.5</v>
      </c>
      <c r="H211" s="451">
        <f>H212</f>
        <v>549.5</v>
      </c>
    </row>
    <row r="212" spans="1:8" ht="47.25" x14ac:dyDescent="0.25">
      <c r="A212" s="458" t="s">
        <v>272</v>
      </c>
      <c r="B212" s="454" t="s">
        <v>1235</v>
      </c>
      <c r="C212" s="461" t="s">
        <v>264</v>
      </c>
      <c r="D212" s="461" t="s">
        <v>215</v>
      </c>
      <c r="E212" s="461" t="s">
        <v>273</v>
      </c>
      <c r="F212" s="461"/>
      <c r="G212" s="451">
        <f>G213</f>
        <v>549.5</v>
      </c>
      <c r="H212" s="451">
        <f>H213</f>
        <v>549.5</v>
      </c>
    </row>
    <row r="213" spans="1:8" ht="15.75" x14ac:dyDescent="0.25">
      <c r="A213" s="458" t="s">
        <v>274</v>
      </c>
      <c r="B213" s="454" t="s">
        <v>1235</v>
      </c>
      <c r="C213" s="461" t="s">
        <v>264</v>
      </c>
      <c r="D213" s="461" t="s">
        <v>215</v>
      </c>
      <c r="E213" s="461" t="s">
        <v>275</v>
      </c>
      <c r="F213" s="461"/>
      <c r="G213" s="451">
        <f>'пр.6.1.ведом.22-23 (2)'!G706</f>
        <v>549.5</v>
      </c>
      <c r="H213" s="451">
        <f>'пр.6.1.ведом.22-23 (2)'!H706</f>
        <v>549.5</v>
      </c>
    </row>
    <row r="214" spans="1:8" ht="31.5" x14ac:dyDescent="0.25">
      <c r="A214" s="29" t="s">
        <v>403</v>
      </c>
      <c r="B214" s="454" t="s">
        <v>1235</v>
      </c>
      <c r="C214" s="461" t="s">
        <v>264</v>
      </c>
      <c r="D214" s="461" t="s">
        <v>215</v>
      </c>
      <c r="E214" s="461" t="s">
        <v>275</v>
      </c>
      <c r="F214" s="461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456" t="s">
        <v>1293</v>
      </c>
      <c r="B215" s="457" t="s">
        <v>1238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263</v>
      </c>
      <c r="B216" s="454" t="s">
        <v>1238</v>
      </c>
      <c r="C216" s="461" t="s">
        <v>264</v>
      </c>
      <c r="D216" s="461"/>
      <c r="E216" s="461"/>
      <c r="F216" s="461"/>
      <c r="G216" s="10">
        <f t="shared" ref="G216:H216" si="21">G217</f>
        <v>4430</v>
      </c>
      <c r="H216" s="10">
        <f t="shared" si="21"/>
        <v>4430</v>
      </c>
    </row>
    <row r="217" spans="1:8" ht="15.75" x14ac:dyDescent="0.25">
      <c r="A217" s="45" t="s">
        <v>404</v>
      </c>
      <c r="B217" s="454" t="s">
        <v>1238</v>
      </c>
      <c r="C217" s="461" t="s">
        <v>264</v>
      </c>
      <c r="D217" s="461" t="s">
        <v>118</v>
      </c>
      <c r="E217" s="461"/>
      <c r="F217" s="461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278</v>
      </c>
      <c r="B218" s="454" t="s">
        <v>1319</v>
      </c>
      <c r="C218" s="461" t="s">
        <v>264</v>
      </c>
      <c r="D218" s="461" t="s">
        <v>118</v>
      </c>
      <c r="E218" s="461"/>
      <c r="F218" s="461"/>
      <c r="G218" s="10">
        <f t="shared" ref="G218:H219" si="22">G219</f>
        <v>0</v>
      </c>
      <c r="H218" s="10">
        <f t="shared" si="22"/>
        <v>0</v>
      </c>
    </row>
    <row r="219" spans="1:8" ht="47.25" hidden="1" x14ac:dyDescent="0.25">
      <c r="A219" s="29" t="s">
        <v>272</v>
      </c>
      <c r="B219" s="454" t="s">
        <v>1319</v>
      </c>
      <c r="C219" s="461" t="s">
        <v>264</v>
      </c>
      <c r="D219" s="461" t="s">
        <v>118</v>
      </c>
      <c r="E219" s="461" t="s">
        <v>273</v>
      </c>
      <c r="F219" s="461"/>
      <c r="G219" s="10">
        <f t="shared" si="22"/>
        <v>0</v>
      </c>
      <c r="H219" s="10">
        <f t="shared" si="22"/>
        <v>0</v>
      </c>
    </row>
    <row r="220" spans="1:8" ht="15.75" hidden="1" x14ac:dyDescent="0.25">
      <c r="A220" s="29" t="s">
        <v>274</v>
      </c>
      <c r="B220" s="454" t="s">
        <v>1319</v>
      </c>
      <c r="C220" s="461" t="s">
        <v>264</v>
      </c>
      <c r="D220" s="461" t="s">
        <v>118</v>
      </c>
      <c r="E220" s="461" t="s">
        <v>275</v>
      </c>
      <c r="F220" s="461"/>
      <c r="G220" s="10">
        <f>'пр.6.1.ведом.22-23 (2)'!G571</f>
        <v>0</v>
      </c>
      <c r="H220" s="10">
        <f>'пр.6.1.ведом.22-23 (2)'!H571</f>
        <v>0</v>
      </c>
    </row>
    <row r="221" spans="1:8" ht="31.5" hidden="1" x14ac:dyDescent="0.25">
      <c r="A221" s="29" t="s">
        <v>403</v>
      </c>
      <c r="B221" s="454" t="s">
        <v>1319</v>
      </c>
      <c r="C221" s="461" t="s">
        <v>264</v>
      </c>
      <c r="D221" s="461" t="s">
        <v>118</v>
      </c>
      <c r="E221" s="461" t="s">
        <v>275</v>
      </c>
      <c r="F221" s="461" t="s">
        <v>636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280</v>
      </c>
      <c r="B222" s="454" t="s">
        <v>1320</v>
      </c>
      <c r="C222" s="461" t="s">
        <v>264</v>
      </c>
      <c r="D222" s="461" t="s">
        <v>118</v>
      </c>
      <c r="E222" s="461"/>
      <c r="F222" s="461"/>
      <c r="G222" s="10">
        <f t="shared" ref="G222:H223" si="23">G223</f>
        <v>0</v>
      </c>
      <c r="H222" s="10">
        <f t="shared" si="23"/>
        <v>0</v>
      </c>
    </row>
    <row r="223" spans="1:8" ht="47.25" hidden="1" x14ac:dyDescent="0.25">
      <c r="A223" s="29" t="s">
        <v>272</v>
      </c>
      <c r="B223" s="454" t="s">
        <v>1320</v>
      </c>
      <c r="C223" s="461" t="s">
        <v>264</v>
      </c>
      <c r="D223" s="461" t="s">
        <v>118</v>
      </c>
      <c r="E223" s="461" t="s">
        <v>273</v>
      </c>
      <c r="F223" s="461"/>
      <c r="G223" s="10">
        <f t="shared" si="23"/>
        <v>0</v>
      </c>
      <c r="H223" s="10">
        <f t="shared" si="23"/>
        <v>0</v>
      </c>
    </row>
    <row r="224" spans="1:8" ht="15.75" hidden="1" x14ac:dyDescent="0.25">
      <c r="A224" s="29" t="s">
        <v>274</v>
      </c>
      <c r="B224" s="454" t="s">
        <v>1320</v>
      </c>
      <c r="C224" s="461" t="s">
        <v>264</v>
      </c>
      <c r="D224" s="461" t="s">
        <v>118</v>
      </c>
      <c r="E224" s="461" t="s">
        <v>275</v>
      </c>
      <c r="F224" s="461"/>
      <c r="G224" s="10">
        <f>'пр.6.1.ведом.22-23 (2)'!G574</f>
        <v>0</v>
      </c>
      <c r="H224" s="10">
        <f>'пр.6.1.ведом.22-23 (2)'!H574</f>
        <v>0</v>
      </c>
    </row>
    <row r="225" spans="1:8" ht="31.5" hidden="1" x14ac:dyDescent="0.25">
      <c r="A225" s="29" t="s">
        <v>403</v>
      </c>
      <c r="B225" s="454" t="s">
        <v>1320</v>
      </c>
      <c r="C225" s="461" t="s">
        <v>264</v>
      </c>
      <c r="D225" s="461" t="s">
        <v>118</v>
      </c>
      <c r="E225" s="461" t="s">
        <v>275</v>
      </c>
      <c r="F225" s="461" t="s">
        <v>636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415</v>
      </c>
      <c r="B226" s="454" t="s">
        <v>1239</v>
      </c>
      <c r="C226" s="461" t="s">
        <v>264</v>
      </c>
      <c r="D226" s="461" t="s">
        <v>118</v>
      </c>
      <c r="E226" s="461"/>
      <c r="F226" s="461"/>
      <c r="G226" s="10">
        <f t="shared" ref="G226:H227" si="24">G227</f>
        <v>4430</v>
      </c>
      <c r="H226" s="10">
        <f t="shared" si="24"/>
        <v>4430</v>
      </c>
    </row>
    <row r="227" spans="1:8" ht="47.25" x14ac:dyDescent="0.25">
      <c r="A227" s="29" t="s">
        <v>272</v>
      </c>
      <c r="B227" s="454" t="s">
        <v>1239</v>
      </c>
      <c r="C227" s="461" t="s">
        <v>264</v>
      </c>
      <c r="D227" s="461" t="s">
        <v>118</v>
      </c>
      <c r="E227" s="461" t="s">
        <v>273</v>
      </c>
      <c r="F227" s="461"/>
      <c r="G227" s="10">
        <f t="shared" si="24"/>
        <v>4430</v>
      </c>
      <c r="H227" s="10">
        <f t="shared" si="24"/>
        <v>4430</v>
      </c>
    </row>
    <row r="228" spans="1:8" ht="15.75" x14ac:dyDescent="0.25">
      <c r="A228" s="29" t="s">
        <v>274</v>
      </c>
      <c r="B228" s="454" t="s">
        <v>1239</v>
      </c>
      <c r="C228" s="461" t="s">
        <v>264</v>
      </c>
      <c r="D228" s="461" t="s">
        <v>118</v>
      </c>
      <c r="E228" s="461" t="s">
        <v>275</v>
      </c>
      <c r="F228" s="461"/>
      <c r="G228" s="451">
        <f>'пр.6.1.ведом.22-23 (2)'!G577</f>
        <v>4430</v>
      </c>
      <c r="H228" s="451">
        <f>'пр.6.1.ведом.22-23 (2)'!H577</f>
        <v>4430</v>
      </c>
    </row>
    <row r="229" spans="1:8" ht="31.5" x14ac:dyDescent="0.25">
      <c r="A229" s="29" t="s">
        <v>403</v>
      </c>
      <c r="B229" s="454" t="s">
        <v>1239</v>
      </c>
      <c r="C229" s="461" t="s">
        <v>264</v>
      </c>
      <c r="D229" s="461" t="s">
        <v>118</v>
      </c>
      <c r="E229" s="461" t="s">
        <v>275</v>
      </c>
      <c r="F229" s="461" t="s">
        <v>636</v>
      </c>
      <c r="G229" s="10">
        <f>G228</f>
        <v>4430</v>
      </c>
      <c r="H229" s="10">
        <f>H228</f>
        <v>4430</v>
      </c>
    </row>
    <row r="230" spans="1:8" ht="15.75" x14ac:dyDescent="0.25">
      <c r="A230" s="29" t="s">
        <v>263</v>
      </c>
      <c r="B230" s="461" t="s">
        <v>1238</v>
      </c>
      <c r="C230" s="461" t="s">
        <v>264</v>
      </c>
      <c r="D230" s="461"/>
      <c r="E230" s="461"/>
      <c r="F230" s="461"/>
      <c r="G230" s="10">
        <f t="shared" ref="G230:H230" si="25">G231</f>
        <v>224</v>
      </c>
      <c r="H230" s="10">
        <f t="shared" si="25"/>
        <v>224</v>
      </c>
    </row>
    <row r="231" spans="1:8" ht="15.75" x14ac:dyDescent="0.25">
      <c r="A231" s="29" t="s">
        <v>425</v>
      </c>
      <c r="B231" s="461" t="s">
        <v>1238</v>
      </c>
      <c r="C231" s="461" t="s">
        <v>264</v>
      </c>
      <c r="D231" s="461" t="s">
        <v>213</v>
      </c>
      <c r="E231" s="461"/>
      <c r="F231" s="461"/>
      <c r="G231" s="10">
        <f>G232+G236+G240+G244</f>
        <v>224</v>
      </c>
      <c r="H231" s="10">
        <f>H232+H236+H240+H244</f>
        <v>224</v>
      </c>
    </row>
    <row r="232" spans="1:8" ht="47.25" hidden="1" x14ac:dyDescent="0.25">
      <c r="A232" s="458" t="s">
        <v>789</v>
      </c>
      <c r="B232" s="454" t="s">
        <v>1318</v>
      </c>
      <c r="C232" s="461" t="s">
        <v>264</v>
      </c>
      <c r="D232" s="461" t="s">
        <v>213</v>
      </c>
      <c r="E232" s="461"/>
      <c r="F232" s="461"/>
      <c r="G232" s="451">
        <f>G233</f>
        <v>0</v>
      </c>
      <c r="H232" s="451">
        <f>H233</f>
        <v>0</v>
      </c>
    </row>
    <row r="233" spans="1:8" ht="47.25" hidden="1" x14ac:dyDescent="0.25">
      <c r="A233" s="458" t="s">
        <v>272</v>
      </c>
      <c r="B233" s="454" t="s">
        <v>1318</v>
      </c>
      <c r="C233" s="461" t="s">
        <v>264</v>
      </c>
      <c r="D233" s="461" t="s">
        <v>213</v>
      </c>
      <c r="E233" s="461" t="s">
        <v>273</v>
      </c>
      <c r="F233" s="461"/>
      <c r="G233" s="451">
        <f>G234</f>
        <v>0</v>
      </c>
      <c r="H233" s="451">
        <f>H234</f>
        <v>0</v>
      </c>
    </row>
    <row r="234" spans="1:8" ht="15.75" hidden="1" x14ac:dyDescent="0.25">
      <c r="A234" s="458" t="s">
        <v>274</v>
      </c>
      <c r="B234" s="454" t="s">
        <v>1318</v>
      </c>
      <c r="C234" s="461" t="s">
        <v>264</v>
      </c>
      <c r="D234" s="461" t="s">
        <v>213</v>
      </c>
      <c r="E234" s="461" t="s">
        <v>275</v>
      </c>
      <c r="F234" s="461"/>
      <c r="G234" s="451">
        <f>'пр.6.1.ведом.22-23 (2)'!G637</f>
        <v>0</v>
      </c>
      <c r="H234" s="451">
        <f>'пр.6.1.ведом.22-23 (2)'!H637</f>
        <v>0</v>
      </c>
    </row>
    <row r="235" spans="1:8" ht="31.5" hidden="1" x14ac:dyDescent="0.25">
      <c r="A235" s="29" t="s">
        <v>403</v>
      </c>
      <c r="B235" s="454" t="s">
        <v>1318</v>
      </c>
      <c r="C235" s="461" t="s">
        <v>264</v>
      </c>
      <c r="D235" s="461" t="s">
        <v>213</v>
      </c>
      <c r="E235" s="461" t="s">
        <v>275</v>
      </c>
      <c r="F235" s="461" t="s">
        <v>636</v>
      </c>
      <c r="G235" s="10">
        <f>G234</f>
        <v>0</v>
      </c>
      <c r="H235" s="10">
        <f>H234</f>
        <v>0</v>
      </c>
    </row>
    <row r="236" spans="1:8" ht="47.25" hidden="1" x14ac:dyDescent="0.25">
      <c r="A236" s="458" t="s">
        <v>278</v>
      </c>
      <c r="B236" s="454" t="s">
        <v>1319</v>
      </c>
      <c r="C236" s="461" t="s">
        <v>264</v>
      </c>
      <c r="D236" s="461" t="s">
        <v>213</v>
      </c>
      <c r="E236" s="461"/>
      <c r="F236" s="461"/>
      <c r="G236" s="451">
        <f t="shared" ref="G236:H237" si="26">G237</f>
        <v>0</v>
      </c>
      <c r="H236" s="451">
        <f t="shared" si="26"/>
        <v>0</v>
      </c>
    </row>
    <row r="237" spans="1:8" ht="47.25" hidden="1" x14ac:dyDescent="0.25">
      <c r="A237" s="458" t="s">
        <v>272</v>
      </c>
      <c r="B237" s="454" t="s">
        <v>1319</v>
      </c>
      <c r="C237" s="461" t="s">
        <v>264</v>
      </c>
      <c r="D237" s="461" t="s">
        <v>213</v>
      </c>
      <c r="E237" s="461" t="s">
        <v>273</v>
      </c>
      <c r="F237" s="461"/>
      <c r="G237" s="451">
        <f t="shared" si="26"/>
        <v>0</v>
      </c>
      <c r="H237" s="451">
        <f t="shared" si="26"/>
        <v>0</v>
      </c>
    </row>
    <row r="238" spans="1:8" ht="15.75" hidden="1" x14ac:dyDescent="0.25">
      <c r="A238" s="458" t="s">
        <v>274</v>
      </c>
      <c r="B238" s="454" t="s">
        <v>1319</v>
      </c>
      <c r="C238" s="461" t="s">
        <v>264</v>
      </c>
      <c r="D238" s="461" t="s">
        <v>213</v>
      </c>
      <c r="E238" s="461" t="s">
        <v>275</v>
      </c>
      <c r="F238" s="461"/>
      <c r="G238" s="451">
        <f>'пр.6.1.ведом.22-23 (2)'!G640</f>
        <v>0</v>
      </c>
      <c r="H238" s="451">
        <f>'пр.6.1.ведом.22-23 (2)'!H640</f>
        <v>0</v>
      </c>
    </row>
    <row r="239" spans="1:8" ht="31.5" hidden="1" x14ac:dyDescent="0.25">
      <c r="A239" s="29" t="s">
        <v>403</v>
      </c>
      <c r="B239" s="454" t="s">
        <v>1319</v>
      </c>
      <c r="C239" s="461" t="s">
        <v>264</v>
      </c>
      <c r="D239" s="461" t="s">
        <v>213</v>
      </c>
      <c r="E239" s="461" t="s">
        <v>275</v>
      </c>
      <c r="F239" s="461" t="s">
        <v>636</v>
      </c>
      <c r="G239" s="10">
        <f>G238</f>
        <v>0</v>
      </c>
      <c r="H239" s="10">
        <f>H238</f>
        <v>0</v>
      </c>
    </row>
    <row r="240" spans="1:8" ht="31.5" hidden="1" x14ac:dyDescent="0.25">
      <c r="A240" s="458" t="s">
        <v>280</v>
      </c>
      <c r="B240" s="454" t="s">
        <v>1320</v>
      </c>
      <c r="C240" s="461" t="s">
        <v>264</v>
      </c>
      <c r="D240" s="461" t="s">
        <v>213</v>
      </c>
      <c r="E240" s="461"/>
      <c r="F240" s="461"/>
      <c r="G240" s="451">
        <f t="shared" ref="G240:H241" si="27">G241</f>
        <v>0</v>
      </c>
      <c r="H240" s="451">
        <f t="shared" si="27"/>
        <v>0</v>
      </c>
    </row>
    <row r="241" spans="1:8" ht="47.25" hidden="1" x14ac:dyDescent="0.25">
      <c r="A241" s="458" t="s">
        <v>272</v>
      </c>
      <c r="B241" s="454" t="s">
        <v>1320</v>
      </c>
      <c r="C241" s="461" t="s">
        <v>264</v>
      </c>
      <c r="D241" s="461" t="s">
        <v>213</v>
      </c>
      <c r="E241" s="461" t="s">
        <v>273</v>
      </c>
      <c r="F241" s="461"/>
      <c r="G241" s="451">
        <f t="shared" si="27"/>
        <v>0</v>
      </c>
      <c r="H241" s="451">
        <f t="shared" si="27"/>
        <v>0</v>
      </c>
    </row>
    <row r="242" spans="1:8" ht="15.75" hidden="1" x14ac:dyDescent="0.25">
      <c r="A242" s="458" t="s">
        <v>274</v>
      </c>
      <c r="B242" s="454" t="s">
        <v>1320</v>
      </c>
      <c r="C242" s="461" t="s">
        <v>264</v>
      </c>
      <c r="D242" s="461" t="s">
        <v>213</v>
      </c>
      <c r="E242" s="461" t="s">
        <v>275</v>
      </c>
      <c r="F242" s="461"/>
      <c r="G242" s="451">
        <f>'пр.6.1.ведом.22-23 (2)'!G643</f>
        <v>0</v>
      </c>
      <c r="H242" s="451">
        <f>'пр.6.1.ведом.22-23 (2)'!H643</f>
        <v>0</v>
      </c>
    </row>
    <row r="243" spans="1:8" ht="31.5" hidden="1" x14ac:dyDescent="0.25">
      <c r="A243" s="29" t="s">
        <v>403</v>
      </c>
      <c r="B243" s="454" t="s">
        <v>1320</v>
      </c>
      <c r="C243" s="461" t="s">
        <v>264</v>
      </c>
      <c r="D243" s="461" t="s">
        <v>213</v>
      </c>
      <c r="E243" s="461" t="s">
        <v>275</v>
      </c>
      <c r="F243" s="461" t="s">
        <v>636</v>
      </c>
      <c r="G243" s="10">
        <f>G242</f>
        <v>0</v>
      </c>
      <c r="H243" s="10">
        <f>H242</f>
        <v>0</v>
      </c>
    </row>
    <row r="244" spans="1:8" ht="47.25" x14ac:dyDescent="0.25">
      <c r="A244" s="29" t="s">
        <v>282</v>
      </c>
      <c r="B244" s="454" t="s">
        <v>1254</v>
      </c>
      <c r="C244" s="461" t="s">
        <v>264</v>
      </c>
      <c r="D244" s="461" t="s">
        <v>213</v>
      </c>
      <c r="E244" s="461"/>
      <c r="F244" s="461"/>
      <c r="G244" s="10">
        <f t="shared" ref="G244:H245" si="28">G245</f>
        <v>224</v>
      </c>
      <c r="H244" s="10">
        <f t="shared" si="28"/>
        <v>224</v>
      </c>
    </row>
    <row r="245" spans="1:8" ht="47.25" x14ac:dyDescent="0.25">
      <c r="A245" s="29" t="s">
        <v>272</v>
      </c>
      <c r="B245" s="454" t="s">
        <v>1254</v>
      </c>
      <c r="C245" s="461" t="s">
        <v>264</v>
      </c>
      <c r="D245" s="461" t="s">
        <v>213</v>
      </c>
      <c r="E245" s="461" t="s">
        <v>273</v>
      </c>
      <c r="F245" s="461"/>
      <c r="G245" s="10">
        <f t="shared" si="28"/>
        <v>224</v>
      </c>
      <c r="H245" s="10">
        <f t="shared" si="28"/>
        <v>224</v>
      </c>
    </row>
    <row r="246" spans="1:8" ht="15.75" x14ac:dyDescent="0.25">
      <c r="A246" s="29" t="s">
        <v>274</v>
      </c>
      <c r="B246" s="454" t="s">
        <v>1254</v>
      </c>
      <c r="C246" s="461" t="s">
        <v>264</v>
      </c>
      <c r="D246" s="461" t="s">
        <v>213</v>
      </c>
      <c r="E246" s="461" t="s">
        <v>275</v>
      </c>
      <c r="F246" s="461"/>
      <c r="G246" s="10">
        <f>'пр.6.1.ведом.22-23 (2)'!G646</f>
        <v>224</v>
      </c>
      <c r="H246" s="10">
        <f>'пр.6.1.ведом.22-23 (2)'!H646</f>
        <v>224</v>
      </c>
    </row>
    <row r="247" spans="1:8" ht="31.5" x14ac:dyDescent="0.25">
      <c r="A247" s="29" t="s">
        <v>403</v>
      </c>
      <c r="B247" s="454" t="s">
        <v>1254</v>
      </c>
      <c r="C247" s="461" t="s">
        <v>264</v>
      </c>
      <c r="D247" s="461" t="s">
        <v>213</v>
      </c>
      <c r="E247" s="461" t="s">
        <v>275</v>
      </c>
      <c r="F247" s="461" t="s">
        <v>636</v>
      </c>
      <c r="G247" s="10">
        <f>G246</f>
        <v>224</v>
      </c>
      <c r="H247" s="10">
        <f>H246</f>
        <v>224</v>
      </c>
    </row>
    <row r="248" spans="1:8" ht="31.5" x14ac:dyDescent="0.25">
      <c r="A248" s="456" t="s">
        <v>943</v>
      </c>
      <c r="B248" s="457" t="s">
        <v>1240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ht="15.75" x14ac:dyDescent="0.25">
      <c r="A249" s="29" t="s">
        <v>263</v>
      </c>
      <c r="B249" s="454" t="s">
        <v>1240</v>
      </c>
      <c r="C249" s="461" t="s">
        <v>264</v>
      </c>
      <c r="D249" s="461"/>
      <c r="E249" s="461"/>
      <c r="F249" s="461"/>
      <c r="G249" s="10">
        <f t="shared" ref="G249:H252" si="29">G250</f>
        <v>5745.1</v>
      </c>
      <c r="H249" s="10">
        <f t="shared" si="29"/>
        <v>5745.1</v>
      </c>
    </row>
    <row r="250" spans="1:8" ht="22.7" customHeight="1" x14ac:dyDescent="0.25">
      <c r="A250" s="29" t="s">
        <v>466</v>
      </c>
      <c r="B250" s="454" t="s">
        <v>1240</v>
      </c>
      <c r="C250" s="461" t="s">
        <v>264</v>
      </c>
      <c r="D250" s="461" t="s">
        <v>264</v>
      </c>
      <c r="E250" s="461"/>
      <c r="F250" s="461"/>
      <c r="G250" s="10">
        <f>G251</f>
        <v>5745.1</v>
      </c>
      <c r="H250" s="10">
        <f>H251</f>
        <v>5745.1</v>
      </c>
    </row>
    <row r="251" spans="1:8" ht="47.25" x14ac:dyDescent="0.25">
      <c r="A251" s="31" t="s">
        <v>1060</v>
      </c>
      <c r="B251" s="454" t="s">
        <v>1262</v>
      </c>
      <c r="C251" s="461" t="s">
        <v>264</v>
      </c>
      <c r="D251" s="461" t="s">
        <v>264</v>
      </c>
      <c r="E251" s="461"/>
      <c r="F251" s="461"/>
      <c r="G251" s="10">
        <f t="shared" si="29"/>
        <v>5745.1</v>
      </c>
      <c r="H251" s="10">
        <f t="shared" si="29"/>
        <v>5745.1</v>
      </c>
    </row>
    <row r="252" spans="1:8" ht="47.25" x14ac:dyDescent="0.25">
      <c r="A252" s="458" t="s">
        <v>272</v>
      </c>
      <c r="B252" s="454" t="s">
        <v>1262</v>
      </c>
      <c r="C252" s="461" t="s">
        <v>264</v>
      </c>
      <c r="D252" s="461" t="s">
        <v>264</v>
      </c>
      <c r="E252" s="461" t="s">
        <v>273</v>
      </c>
      <c r="F252" s="461"/>
      <c r="G252" s="10">
        <f t="shared" si="29"/>
        <v>5745.1</v>
      </c>
      <c r="H252" s="10">
        <f t="shared" si="29"/>
        <v>5745.1</v>
      </c>
    </row>
    <row r="253" spans="1:8" ht="15.75" x14ac:dyDescent="0.25">
      <c r="A253" s="458" t="s">
        <v>274</v>
      </c>
      <c r="B253" s="454" t="s">
        <v>1262</v>
      </c>
      <c r="C253" s="461" t="s">
        <v>264</v>
      </c>
      <c r="D253" s="461" t="s">
        <v>264</v>
      </c>
      <c r="E253" s="461" t="s">
        <v>275</v>
      </c>
      <c r="F253" s="461"/>
      <c r="G253" s="10">
        <f>'пр.6.1.ведом.22-23 (2)'!G725</f>
        <v>5745.1</v>
      </c>
      <c r="H253" s="10">
        <f>'пр.6.1.ведом.22-23 (2)'!H725</f>
        <v>5745.1</v>
      </c>
    </row>
    <row r="254" spans="1:8" ht="31.5" x14ac:dyDescent="0.25">
      <c r="A254" s="29" t="s">
        <v>403</v>
      </c>
      <c r="B254" s="454" t="s">
        <v>1262</v>
      </c>
      <c r="C254" s="461" t="s">
        <v>264</v>
      </c>
      <c r="D254" s="461" t="s">
        <v>264</v>
      </c>
      <c r="E254" s="461" t="s">
        <v>275</v>
      </c>
      <c r="F254" s="461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4" t="s">
        <v>948</v>
      </c>
      <c r="B255" s="457" t="s">
        <v>1241</v>
      </c>
      <c r="C255" s="7"/>
      <c r="D255" s="7"/>
      <c r="E255" s="7"/>
      <c r="F255" s="7"/>
      <c r="G255" s="450">
        <f>G256</f>
        <v>9300</v>
      </c>
      <c r="H255" s="450">
        <f>H256</f>
        <v>9300</v>
      </c>
    </row>
    <row r="256" spans="1:8" ht="15.75" x14ac:dyDescent="0.25">
      <c r="A256" s="29" t="s">
        <v>263</v>
      </c>
      <c r="B256" s="454" t="s">
        <v>1241</v>
      </c>
      <c r="C256" s="461" t="s">
        <v>264</v>
      </c>
      <c r="D256" s="461"/>
      <c r="E256" s="461"/>
      <c r="F256" s="461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454" t="s">
        <v>1241</v>
      </c>
      <c r="C257" s="461" t="s">
        <v>264</v>
      </c>
      <c r="D257" s="461" t="s">
        <v>118</v>
      </c>
      <c r="E257" s="461"/>
      <c r="F257" s="461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454" t="s">
        <v>1259</v>
      </c>
      <c r="C258" s="461" t="s">
        <v>264</v>
      </c>
      <c r="D258" s="461" t="s">
        <v>118</v>
      </c>
      <c r="E258" s="461"/>
      <c r="F258" s="461"/>
      <c r="G258" s="10">
        <f t="shared" ref="G258:H259" si="30">G259</f>
        <v>0</v>
      </c>
      <c r="H258" s="10">
        <f t="shared" si="30"/>
        <v>0</v>
      </c>
    </row>
    <row r="259" spans="1:8" ht="47.25" hidden="1" x14ac:dyDescent="0.25">
      <c r="A259" s="29" t="s">
        <v>272</v>
      </c>
      <c r="B259" s="454" t="s">
        <v>1259</v>
      </c>
      <c r="C259" s="461" t="s">
        <v>264</v>
      </c>
      <c r="D259" s="461" t="s">
        <v>118</v>
      </c>
      <c r="E259" s="461" t="s">
        <v>273</v>
      </c>
      <c r="F259" s="461"/>
      <c r="G259" s="10">
        <f t="shared" si="30"/>
        <v>0</v>
      </c>
      <c r="H259" s="10">
        <f t="shared" si="30"/>
        <v>0</v>
      </c>
    </row>
    <row r="260" spans="1:8" ht="15.75" hidden="1" x14ac:dyDescent="0.25">
      <c r="A260" s="29" t="s">
        <v>274</v>
      </c>
      <c r="B260" s="454" t="s">
        <v>1259</v>
      </c>
      <c r="C260" s="461" t="s">
        <v>264</v>
      </c>
      <c r="D260" s="461" t="s">
        <v>118</v>
      </c>
      <c r="E260" s="461" t="s">
        <v>275</v>
      </c>
      <c r="F260" s="461"/>
      <c r="G260" s="10">
        <f>'пр.6.1.ведом.22-23 (2)'!G581</f>
        <v>0</v>
      </c>
      <c r="H260" s="10">
        <f>'пр.6.1.ведом.22-23 (2)'!H581</f>
        <v>0</v>
      </c>
    </row>
    <row r="261" spans="1:8" ht="31.5" hidden="1" x14ac:dyDescent="0.25">
      <c r="A261" s="29" t="s">
        <v>403</v>
      </c>
      <c r="B261" s="454" t="s">
        <v>1259</v>
      </c>
      <c r="C261" s="461" t="s">
        <v>264</v>
      </c>
      <c r="D261" s="461" t="s">
        <v>118</v>
      </c>
      <c r="E261" s="461" t="s">
        <v>275</v>
      </c>
      <c r="F261" s="461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454" t="s">
        <v>1242</v>
      </c>
      <c r="C262" s="454" t="s">
        <v>264</v>
      </c>
      <c r="D262" s="454" t="s">
        <v>118</v>
      </c>
      <c r="E262" s="454"/>
      <c r="F262" s="454"/>
      <c r="G262" s="10">
        <f t="shared" ref="G262:H263" si="31">G263</f>
        <v>3088</v>
      </c>
      <c r="H262" s="10">
        <f t="shared" si="31"/>
        <v>3088</v>
      </c>
    </row>
    <row r="263" spans="1:8" ht="47.25" x14ac:dyDescent="0.25">
      <c r="A263" s="29" t="s">
        <v>272</v>
      </c>
      <c r="B263" s="454" t="s">
        <v>1242</v>
      </c>
      <c r="C263" s="454" t="s">
        <v>264</v>
      </c>
      <c r="D263" s="454" t="s">
        <v>118</v>
      </c>
      <c r="E263" s="454" t="s">
        <v>273</v>
      </c>
      <c r="F263" s="454"/>
      <c r="G263" s="10">
        <f t="shared" si="31"/>
        <v>3088</v>
      </c>
      <c r="H263" s="10">
        <f t="shared" si="31"/>
        <v>3088</v>
      </c>
    </row>
    <row r="264" spans="1:8" ht="15.75" x14ac:dyDescent="0.25">
      <c r="A264" s="182" t="s">
        <v>274</v>
      </c>
      <c r="B264" s="454" t="s">
        <v>1242</v>
      </c>
      <c r="C264" s="454" t="s">
        <v>264</v>
      </c>
      <c r="D264" s="454" t="s">
        <v>118</v>
      </c>
      <c r="E264" s="454" t="s">
        <v>275</v>
      </c>
      <c r="F264" s="454"/>
      <c r="G264" s="10">
        <f>'пр.6.1.ведом.22-23 (2)'!G584</f>
        <v>3088</v>
      </c>
      <c r="H264" s="10">
        <f>'пр.6.1.ведом.22-23 (2)'!H584</f>
        <v>3088</v>
      </c>
    </row>
    <row r="265" spans="1:8" ht="31.5" x14ac:dyDescent="0.25">
      <c r="A265" s="29" t="s">
        <v>403</v>
      </c>
      <c r="B265" s="454" t="s">
        <v>1242</v>
      </c>
      <c r="C265" s="461" t="s">
        <v>264</v>
      </c>
      <c r="D265" s="461" t="s">
        <v>118</v>
      </c>
      <c r="E265" s="461" t="s">
        <v>275</v>
      </c>
      <c r="F265" s="461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454" t="s">
        <v>1243</v>
      </c>
      <c r="C266" s="454" t="s">
        <v>264</v>
      </c>
      <c r="D266" s="454" t="s">
        <v>118</v>
      </c>
      <c r="E266" s="454"/>
      <c r="F266" s="454"/>
      <c r="G266" s="10">
        <f t="shared" ref="G266:H267" si="32">G267</f>
        <v>1760</v>
      </c>
      <c r="H266" s="10">
        <f t="shared" si="32"/>
        <v>1760</v>
      </c>
    </row>
    <row r="267" spans="1:8" ht="47.25" x14ac:dyDescent="0.25">
      <c r="A267" s="29" t="s">
        <v>272</v>
      </c>
      <c r="B267" s="454" t="s">
        <v>1243</v>
      </c>
      <c r="C267" s="454" t="s">
        <v>264</v>
      </c>
      <c r="D267" s="454" t="s">
        <v>118</v>
      </c>
      <c r="E267" s="454" t="s">
        <v>273</v>
      </c>
      <c r="F267" s="454"/>
      <c r="G267" s="10">
        <f t="shared" si="32"/>
        <v>1760</v>
      </c>
      <c r="H267" s="10">
        <f t="shared" si="32"/>
        <v>1760</v>
      </c>
    </row>
    <row r="268" spans="1:8" ht="15.75" x14ac:dyDescent="0.25">
      <c r="A268" s="182" t="s">
        <v>274</v>
      </c>
      <c r="B268" s="454" t="s">
        <v>1243</v>
      </c>
      <c r="C268" s="454" t="s">
        <v>264</v>
      </c>
      <c r="D268" s="454" t="s">
        <v>118</v>
      </c>
      <c r="E268" s="454" t="s">
        <v>275</v>
      </c>
      <c r="F268" s="454"/>
      <c r="G268" s="10">
        <f>'пр.6.1.ведом.22-23 (2)'!G587</f>
        <v>1760</v>
      </c>
      <c r="H268" s="10">
        <f>'пр.6.1.ведом.22-23 (2)'!H587</f>
        <v>1760</v>
      </c>
    </row>
    <row r="269" spans="1:8" ht="31.5" x14ac:dyDescent="0.25">
      <c r="A269" s="29" t="s">
        <v>403</v>
      </c>
      <c r="B269" s="454" t="s">
        <v>1243</v>
      </c>
      <c r="C269" s="461" t="s">
        <v>264</v>
      </c>
      <c r="D269" s="461" t="s">
        <v>118</v>
      </c>
      <c r="E269" s="461" t="s">
        <v>275</v>
      </c>
      <c r="F269" s="461" t="s">
        <v>636</v>
      </c>
      <c r="G269" s="10">
        <f>G268</f>
        <v>1760</v>
      </c>
      <c r="H269" s="10">
        <f>'пр.6.1.ведом.22-23 (2)'!H587</f>
        <v>1760</v>
      </c>
    </row>
    <row r="270" spans="1:8" ht="15.75" x14ac:dyDescent="0.25">
      <c r="A270" s="29" t="s">
        <v>425</v>
      </c>
      <c r="B270" s="461" t="s">
        <v>1241</v>
      </c>
      <c r="C270" s="461" t="s">
        <v>264</v>
      </c>
      <c r="D270" s="461" t="s">
        <v>213</v>
      </c>
      <c r="E270" s="461"/>
      <c r="F270" s="461"/>
      <c r="G270" s="10">
        <f>G271+G275</f>
        <v>2888</v>
      </c>
      <c r="H270" s="10">
        <f>H271+H275</f>
        <v>2888</v>
      </c>
    </row>
    <row r="271" spans="1:8" ht="31.5" hidden="1" x14ac:dyDescent="0.25">
      <c r="A271" s="29" t="s">
        <v>284</v>
      </c>
      <c r="B271" s="454" t="s">
        <v>1259</v>
      </c>
      <c r="C271" s="461" t="s">
        <v>264</v>
      </c>
      <c r="D271" s="461" t="s">
        <v>213</v>
      </c>
      <c r="E271" s="461"/>
      <c r="F271" s="461"/>
      <c r="G271" s="10">
        <f t="shared" ref="G271:H272" si="33">G272</f>
        <v>0</v>
      </c>
      <c r="H271" s="10">
        <f t="shared" si="33"/>
        <v>0</v>
      </c>
    </row>
    <row r="272" spans="1:8" ht="47.25" hidden="1" x14ac:dyDescent="0.25">
      <c r="A272" s="29" t="s">
        <v>272</v>
      </c>
      <c r="B272" s="454" t="s">
        <v>1259</v>
      </c>
      <c r="C272" s="461" t="s">
        <v>264</v>
      </c>
      <c r="D272" s="461" t="s">
        <v>213</v>
      </c>
      <c r="E272" s="461" t="s">
        <v>273</v>
      </c>
      <c r="F272" s="461"/>
      <c r="G272" s="10">
        <f t="shared" si="33"/>
        <v>0</v>
      </c>
      <c r="H272" s="10">
        <f t="shared" si="33"/>
        <v>0</v>
      </c>
    </row>
    <row r="273" spans="1:8" ht="15.75" hidden="1" x14ac:dyDescent="0.25">
      <c r="A273" s="29" t="s">
        <v>274</v>
      </c>
      <c r="B273" s="454" t="s">
        <v>1259</v>
      </c>
      <c r="C273" s="461" t="s">
        <v>264</v>
      </c>
      <c r="D273" s="461" t="s">
        <v>213</v>
      </c>
      <c r="E273" s="461" t="s">
        <v>275</v>
      </c>
      <c r="F273" s="461"/>
      <c r="G273" s="10">
        <f>'пр.6.1.ведом.22-23 (2)'!G650</f>
        <v>0</v>
      </c>
      <c r="H273" s="10">
        <f>'пр.6.1.ведом.22-23 (2)'!H650</f>
        <v>0</v>
      </c>
    </row>
    <row r="274" spans="1:8" ht="31.5" hidden="1" x14ac:dyDescent="0.25">
      <c r="A274" s="29" t="s">
        <v>403</v>
      </c>
      <c r="B274" s="454" t="s">
        <v>1259</v>
      </c>
      <c r="C274" s="461" t="s">
        <v>264</v>
      </c>
      <c r="D274" s="461" t="s">
        <v>213</v>
      </c>
      <c r="E274" s="461" t="s">
        <v>275</v>
      </c>
      <c r="F274" s="461" t="s">
        <v>636</v>
      </c>
      <c r="G274" s="10">
        <f>G273</f>
        <v>0</v>
      </c>
      <c r="H274" s="10">
        <f>H273</f>
        <v>0</v>
      </c>
    </row>
    <row r="275" spans="1:8" ht="47.25" x14ac:dyDescent="0.25">
      <c r="A275" s="60" t="s">
        <v>764</v>
      </c>
      <c r="B275" s="454" t="s">
        <v>1242</v>
      </c>
      <c r="C275" s="461" t="s">
        <v>264</v>
      </c>
      <c r="D275" s="461" t="s">
        <v>213</v>
      </c>
      <c r="E275" s="461"/>
      <c r="F275" s="461"/>
      <c r="G275" s="10">
        <f t="shared" ref="G275:H276" si="34">G276</f>
        <v>2888</v>
      </c>
      <c r="H275" s="10">
        <f t="shared" si="34"/>
        <v>2888</v>
      </c>
    </row>
    <row r="276" spans="1:8" ht="47.25" x14ac:dyDescent="0.25">
      <c r="A276" s="29" t="s">
        <v>272</v>
      </c>
      <c r="B276" s="454" t="s">
        <v>1242</v>
      </c>
      <c r="C276" s="461" t="s">
        <v>264</v>
      </c>
      <c r="D276" s="461" t="s">
        <v>213</v>
      </c>
      <c r="E276" s="461" t="s">
        <v>273</v>
      </c>
      <c r="F276" s="461"/>
      <c r="G276" s="10">
        <f t="shared" si="34"/>
        <v>2888</v>
      </c>
      <c r="H276" s="10">
        <f t="shared" si="34"/>
        <v>2888</v>
      </c>
    </row>
    <row r="277" spans="1:8" ht="15.75" x14ac:dyDescent="0.25">
      <c r="A277" s="182" t="s">
        <v>274</v>
      </c>
      <c r="B277" s="454" t="s">
        <v>1242</v>
      </c>
      <c r="C277" s="461" t="s">
        <v>264</v>
      </c>
      <c r="D277" s="461" t="s">
        <v>213</v>
      </c>
      <c r="E277" s="461" t="s">
        <v>275</v>
      </c>
      <c r="F277" s="461"/>
      <c r="G277" s="10">
        <f>'пр.6.1.ведом.22-23 (2)'!G653</f>
        <v>2888</v>
      </c>
      <c r="H277" s="10">
        <f>'пр.6.1.ведом.22-23 (2)'!H653</f>
        <v>2888</v>
      </c>
    </row>
    <row r="278" spans="1:8" ht="31.5" x14ac:dyDescent="0.25">
      <c r="A278" s="29" t="s">
        <v>403</v>
      </c>
      <c r="B278" s="454" t="s">
        <v>1242</v>
      </c>
      <c r="C278" s="461" t="s">
        <v>264</v>
      </c>
      <c r="D278" s="461" t="s">
        <v>213</v>
      </c>
      <c r="E278" s="461" t="s">
        <v>275</v>
      </c>
      <c r="F278" s="461" t="s">
        <v>636</v>
      </c>
      <c r="G278" s="10">
        <f>G277</f>
        <v>2888</v>
      </c>
      <c r="H278" s="10">
        <f>H277</f>
        <v>2888</v>
      </c>
    </row>
    <row r="279" spans="1:8" ht="15.75" x14ac:dyDescent="0.25">
      <c r="A279" s="29" t="s">
        <v>265</v>
      </c>
      <c r="B279" s="461" t="s">
        <v>1241</v>
      </c>
      <c r="C279" s="461" t="s">
        <v>264</v>
      </c>
      <c r="D279" s="461" t="s">
        <v>215</v>
      </c>
      <c r="E279" s="461"/>
      <c r="F279" s="461"/>
      <c r="G279" s="10">
        <f>G280</f>
        <v>1564</v>
      </c>
      <c r="H279" s="10">
        <f>H280</f>
        <v>1564</v>
      </c>
    </row>
    <row r="280" spans="1:8" ht="47.25" x14ac:dyDescent="0.25">
      <c r="A280" s="45" t="s">
        <v>764</v>
      </c>
      <c r="B280" s="454" t="s">
        <v>1242</v>
      </c>
      <c r="C280" s="454" t="s">
        <v>264</v>
      </c>
      <c r="D280" s="454" t="s">
        <v>215</v>
      </c>
      <c r="E280" s="454"/>
      <c r="F280" s="454"/>
      <c r="G280" s="10">
        <f t="shared" ref="G280:H281" si="35">G281</f>
        <v>1564</v>
      </c>
      <c r="H280" s="10">
        <f t="shared" si="35"/>
        <v>1564</v>
      </c>
    </row>
    <row r="281" spans="1:8" ht="47.25" x14ac:dyDescent="0.25">
      <c r="A281" s="29" t="s">
        <v>272</v>
      </c>
      <c r="B281" s="454" t="s">
        <v>1242</v>
      </c>
      <c r="C281" s="454" t="s">
        <v>264</v>
      </c>
      <c r="D281" s="454" t="s">
        <v>215</v>
      </c>
      <c r="E281" s="454" t="s">
        <v>273</v>
      </c>
      <c r="F281" s="454"/>
      <c r="G281" s="10">
        <f t="shared" si="35"/>
        <v>1564</v>
      </c>
      <c r="H281" s="10">
        <f t="shared" si="35"/>
        <v>1564</v>
      </c>
    </row>
    <row r="282" spans="1:8" ht="15.75" x14ac:dyDescent="0.25">
      <c r="A282" s="31" t="s">
        <v>274</v>
      </c>
      <c r="B282" s="454" t="s">
        <v>1242</v>
      </c>
      <c r="C282" s="454" t="s">
        <v>264</v>
      </c>
      <c r="D282" s="454" t="s">
        <v>215</v>
      </c>
      <c r="E282" s="454" t="s">
        <v>275</v>
      </c>
      <c r="F282" s="454"/>
      <c r="G282" s="10">
        <f>'пр.6.1.ведом.22-23 (2)'!G714</f>
        <v>1564</v>
      </c>
      <c r="H282" s="10">
        <f>'пр.6.1.ведом.22-23 (2)'!H714</f>
        <v>1564</v>
      </c>
    </row>
    <row r="283" spans="1:8" ht="31.5" x14ac:dyDescent="0.25">
      <c r="A283" s="29" t="s">
        <v>403</v>
      </c>
      <c r="B283" s="454" t="s">
        <v>1242</v>
      </c>
      <c r="C283" s="461" t="s">
        <v>264</v>
      </c>
      <c r="D283" s="461" t="s">
        <v>215</v>
      </c>
      <c r="E283" s="461" t="s">
        <v>275</v>
      </c>
      <c r="F283" s="461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456" t="s">
        <v>933</v>
      </c>
      <c r="B284" s="457" t="s">
        <v>1244</v>
      </c>
      <c r="C284" s="457"/>
      <c r="D284" s="457"/>
      <c r="E284" s="457"/>
      <c r="F284" s="457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454" t="s">
        <v>1244</v>
      </c>
      <c r="C285" s="461" t="s">
        <v>264</v>
      </c>
      <c r="D285" s="461"/>
      <c r="E285" s="461"/>
      <c r="F285" s="461"/>
      <c r="G285" s="10">
        <f t="shared" ref="G285:H288" si="36">G286</f>
        <v>297.70000000000005</v>
      </c>
      <c r="H285" s="10">
        <f t="shared" si="36"/>
        <v>297.70000000000005</v>
      </c>
    </row>
    <row r="286" spans="1:8" ht="15.75" x14ac:dyDescent="0.25">
      <c r="A286" s="45" t="s">
        <v>404</v>
      </c>
      <c r="B286" s="454" t="s">
        <v>1244</v>
      </c>
      <c r="C286" s="461" t="s">
        <v>264</v>
      </c>
      <c r="D286" s="461" t="s">
        <v>118</v>
      </c>
      <c r="E286" s="461"/>
      <c r="F286" s="461"/>
      <c r="G286" s="10">
        <f t="shared" si="36"/>
        <v>297.70000000000005</v>
      </c>
      <c r="H286" s="10">
        <f t="shared" si="36"/>
        <v>297.70000000000005</v>
      </c>
    </row>
    <row r="287" spans="1:8" ht="126" x14ac:dyDescent="0.25">
      <c r="A287" s="458" t="s">
        <v>1515</v>
      </c>
      <c r="B287" s="454" t="s">
        <v>1245</v>
      </c>
      <c r="C287" s="454" t="s">
        <v>264</v>
      </c>
      <c r="D287" s="454" t="s">
        <v>118</v>
      </c>
      <c r="E287" s="454"/>
      <c r="F287" s="454"/>
      <c r="G287" s="10">
        <f t="shared" si="36"/>
        <v>297.70000000000005</v>
      </c>
      <c r="H287" s="10">
        <f t="shared" si="36"/>
        <v>297.70000000000005</v>
      </c>
    </row>
    <row r="288" spans="1:8" ht="47.25" x14ac:dyDescent="0.25">
      <c r="A288" s="458" t="s">
        <v>272</v>
      </c>
      <c r="B288" s="454" t="s">
        <v>1245</v>
      </c>
      <c r="C288" s="454" t="s">
        <v>264</v>
      </c>
      <c r="D288" s="454" t="s">
        <v>118</v>
      </c>
      <c r="E288" s="454" t="s">
        <v>273</v>
      </c>
      <c r="F288" s="454"/>
      <c r="G288" s="10">
        <f t="shared" si="36"/>
        <v>297.70000000000005</v>
      </c>
      <c r="H288" s="10">
        <f t="shared" si="36"/>
        <v>297.70000000000005</v>
      </c>
    </row>
    <row r="289" spans="1:8" ht="15.75" x14ac:dyDescent="0.25">
      <c r="A289" s="458" t="s">
        <v>274</v>
      </c>
      <c r="B289" s="454" t="s">
        <v>1245</v>
      </c>
      <c r="C289" s="454" t="s">
        <v>264</v>
      </c>
      <c r="D289" s="454" t="s">
        <v>118</v>
      </c>
      <c r="E289" s="454" t="s">
        <v>275</v>
      </c>
      <c r="F289" s="454"/>
      <c r="G289" s="10">
        <f>'пр.6.1.ведом.22-23 (2)'!G591</f>
        <v>297.70000000000005</v>
      </c>
      <c r="H289" s="10">
        <f>'пр.6.1.ведом.22-23 (2)'!H591</f>
        <v>297.70000000000005</v>
      </c>
    </row>
    <row r="290" spans="1:8" ht="31.5" x14ac:dyDescent="0.25">
      <c r="A290" s="29" t="s">
        <v>403</v>
      </c>
      <c r="B290" s="454" t="s">
        <v>1245</v>
      </c>
      <c r="C290" s="461" t="s">
        <v>264</v>
      </c>
      <c r="D290" s="461" t="s">
        <v>118</v>
      </c>
      <c r="E290" s="461" t="s">
        <v>275</v>
      </c>
      <c r="F290" s="461" t="s">
        <v>636</v>
      </c>
      <c r="G290" s="10">
        <f>G289</f>
        <v>297.70000000000005</v>
      </c>
      <c r="H290" s="10">
        <f>H289</f>
        <v>297.70000000000005</v>
      </c>
    </row>
    <row r="291" spans="1:8" ht="47.25" x14ac:dyDescent="0.25">
      <c r="A291" s="456" t="s">
        <v>938</v>
      </c>
      <c r="B291" s="457" t="s">
        <v>1255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ht="15.75" x14ac:dyDescent="0.25">
      <c r="A292" s="29" t="s">
        <v>263</v>
      </c>
      <c r="B292" s="454" t="s">
        <v>1255</v>
      </c>
      <c r="C292" s="461" t="s">
        <v>264</v>
      </c>
      <c r="D292" s="461"/>
      <c r="E292" s="461"/>
      <c r="F292" s="461"/>
      <c r="G292" s="10">
        <f t="shared" ref="G292:H292" si="37">G293</f>
        <v>3931.8</v>
      </c>
      <c r="H292" s="10">
        <f t="shared" si="37"/>
        <v>3865.2</v>
      </c>
    </row>
    <row r="293" spans="1:8" ht="15.75" x14ac:dyDescent="0.25">
      <c r="A293" s="29" t="s">
        <v>425</v>
      </c>
      <c r="B293" s="454" t="s">
        <v>1255</v>
      </c>
      <c r="C293" s="461" t="s">
        <v>264</v>
      </c>
      <c r="D293" s="461" t="s">
        <v>213</v>
      </c>
      <c r="E293" s="461"/>
      <c r="F293" s="461"/>
      <c r="G293" s="10">
        <f>G294</f>
        <v>3931.8</v>
      </c>
      <c r="H293" s="10">
        <f>H294</f>
        <v>3865.2</v>
      </c>
    </row>
    <row r="294" spans="1:8" ht="47.25" x14ac:dyDescent="0.25">
      <c r="A294" s="29" t="s">
        <v>602</v>
      </c>
      <c r="B294" s="454" t="s">
        <v>1256</v>
      </c>
      <c r="C294" s="461" t="s">
        <v>264</v>
      </c>
      <c r="D294" s="461" t="s">
        <v>213</v>
      </c>
      <c r="E294" s="461"/>
      <c r="F294" s="461"/>
      <c r="G294" s="10">
        <f t="shared" ref="G294:H295" si="38">G295</f>
        <v>3931.8</v>
      </c>
      <c r="H294" s="10">
        <f t="shared" si="38"/>
        <v>3865.2</v>
      </c>
    </row>
    <row r="295" spans="1:8" ht="47.25" x14ac:dyDescent="0.25">
      <c r="A295" s="29" t="s">
        <v>272</v>
      </c>
      <c r="B295" s="454" t="s">
        <v>1256</v>
      </c>
      <c r="C295" s="461" t="s">
        <v>264</v>
      </c>
      <c r="D295" s="461" t="s">
        <v>213</v>
      </c>
      <c r="E295" s="461" t="s">
        <v>273</v>
      </c>
      <c r="F295" s="461"/>
      <c r="G295" s="10">
        <f t="shared" si="38"/>
        <v>3931.8</v>
      </c>
      <c r="H295" s="10">
        <f t="shared" si="38"/>
        <v>3865.2</v>
      </c>
    </row>
    <row r="296" spans="1:8" ht="15.75" x14ac:dyDescent="0.25">
      <c r="A296" s="29" t="s">
        <v>274</v>
      </c>
      <c r="B296" s="454" t="s">
        <v>1256</v>
      </c>
      <c r="C296" s="461" t="s">
        <v>264</v>
      </c>
      <c r="D296" s="461" t="s">
        <v>213</v>
      </c>
      <c r="E296" s="461" t="s">
        <v>275</v>
      </c>
      <c r="F296" s="461"/>
      <c r="G296" s="451">
        <f>'пр.6.1.ведом.22-23 (2)'!G657</f>
        <v>3931.8</v>
      </c>
      <c r="H296" s="451">
        <f>'пр.6.1.ведом.22-23 (2)'!H657</f>
        <v>3865.2</v>
      </c>
    </row>
    <row r="297" spans="1:8" ht="31.5" x14ac:dyDescent="0.25">
      <c r="A297" s="29" t="s">
        <v>403</v>
      </c>
      <c r="B297" s="454" t="s">
        <v>1256</v>
      </c>
      <c r="C297" s="461" t="s">
        <v>264</v>
      </c>
      <c r="D297" s="461" t="s">
        <v>213</v>
      </c>
      <c r="E297" s="461" t="s">
        <v>275</v>
      </c>
      <c r="F297" s="461" t="s">
        <v>636</v>
      </c>
      <c r="G297" s="10">
        <f>G296</f>
        <v>3931.8</v>
      </c>
      <c r="H297" s="10">
        <f>H296</f>
        <v>3865.2</v>
      </c>
    </row>
    <row r="298" spans="1:8" ht="31.5" x14ac:dyDescent="0.25">
      <c r="A298" s="456" t="s">
        <v>939</v>
      </c>
      <c r="B298" s="457" t="s">
        <v>1257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ht="15.75" x14ac:dyDescent="0.25">
      <c r="A299" s="29" t="s">
        <v>263</v>
      </c>
      <c r="B299" s="454" t="s">
        <v>1257</v>
      </c>
      <c r="C299" s="461" t="s">
        <v>264</v>
      </c>
      <c r="D299" s="461"/>
      <c r="E299" s="461"/>
      <c r="F299" s="461"/>
      <c r="G299" s="10">
        <f t="shared" ref="G299:H302" si="39">G300</f>
        <v>1384.6</v>
      </c>
      <c r="H299" s="10">
        <f t="shared" si="39"/>
        <v>1384.6</v>
      </c>
    </row>
    <row r="300" spans="1:8" ht="15.75" x14ac:dyDescent="0.25">
      <c r="A300" s="29" t="s">
        <v>425</v>
      </c>
      <c r="B300" s="454" t="s">
        <v>1257</v>
      </c>
      <c r="C300" s="461" t="s">
        <v>264</v>
      </c>
      <c r="D300" s="461" t="s">
        <v>213</v>
      </c>
      <c r="E300" s="461"/>
      <c r="F300" s="461"/>
      <c r="G300" s="10">
        <f t="shared" si="39"/>
        <v>1384.6</v>
      </c>
      <c r="H300" s="10">
        <f t="shared" si="39"/>
        <v>1384.6</v>
      </c>
    </row>
    <row r="301" spans="1:8" ht="63" x14ac:dyDescent="0.25">
      <c r="A301" s="458" t="s">
        <v>438</v>
      </c>
      <c r="B301" s="454" t="s">
        <v>1258</v>
      </c>
      <c r="C301" s="461" t="s">
        <v>264</v>
      </c>
      <c r="D301" s="461" t="s">
        <v>213</v>
      </c>
      <c r="E301" s="461"/>
      <c r="F301" s="461"/>
      <c r="G301" s="10">
        <f t="shared" si="39"/>
        <v>1384.6</v>
      </c>
      <c r="H301" s="10">
        <f t="shared" si="39"/>
        <v>1384.6</v>
      </c>
    </row>
    <row r="302" spans="1:8" ht="47.25" x14ac:dyDescent="0.25">
      <c r="A302" s="458" t="s">
        <v>272</v>
      </c>
      <c r="B302" s="454" t="s">
        <v>1258</v>
      </c>
      <c r="C302" s="461" t="s">
        <v>264</v>
      </c>
      <c r="D302" s="461" t="s">
        <v>213</v>
      </c>
      <c r="E302" s="461" t="s">
        <v>273</v>
      </c>
      <c r="F302" s="461"/>
      <c r="G302" s="10">
        <f t="shared" si="39"/>
        <v>1384.6</v>
      </c>
      <c r="H302" s="10">
        <f t="shared" si="39"/>
        <v>1384.6</v>
      </c>
    </row>
    <row r="303" spans="1:8" ht="15.75" x14ac:dyDescent="0.25">
      <c r="A303" s="458" t="s">
        <v>274</v>
      </c>
      <c r="B303" s="454" t="s">
        <v>1258</v>
      </c>
      <c r="C303" s="461" t="s">
        <v>264</v>
      </c>
      <c r="D303" s="461" t="s">
        <v>213</v>
      </c>
      <c r="E303" s="461" t="s">
        <v>275</v>
      </c>
      <c r="F303" s="461"/>
      <c r="G303" s="10">
        <f>'пр.6.1.ведом.22-23 (2)'!G661</f>
        <v>1384.6</v>
      </c>
      <c r="H303" s="10">
        <f>'пр.6.1.ведом.22-23 (2)'!H661</f>
        <v>1384.6</v>
      </c>
    </row>
    <row r="304" spans="1:8" ht="31.5" x14ac:dyDescent="0.25">
      <c r="A304" s="29" t="s">
        <v>403</v>
      </c>
      <c r="B304" s="454" t="s">
        <v>1258</v>
      </c>
      <c r="C304" s="461" t="s">
        <v>264</v>
      </c>
      <c r="D304" s="461" t="s">
        <v>213</v>
      </c>
      <c r="E304" s="461" t="s">
        <v>275</v>
      </c>
      <c r="F304" s="461" t="s">
        <v>636</v>
      </c>
      <c r="G304" s="10">
        <f>G303</f>
        <v>1384.6</v>
      </c>
      <c r="H304" s="10">
        <f>H303</f>
        <v>1384.6</v>
      </c>
    </row>
    <row r="305" spans="1:8" ht="47.25" x14ac:dyDescent="0.25">
      <c r="A305" s="212" t="s">
        <v>940</v>
      </c>
      <c r="B305" s="457" t="s">
        <v>1260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ht="15.75" x14ac:dyDescent="0.25">
      <c r="A306" s="29" t="s">
        <v>263</v>
      </c>
      <c r="B306" s="454" t="s">
        <v>1260</v>
      </c>
      <c r="C306" s="461" t="s">
        <v>264</v>
      </c>
      <c r="D306" s="461"/>
      <c r="E306" s="461"/>
      <c r="F306" s="461"/>
      <c r="G306" s="10">
        <f t="shared" ref="G306:H309" si="40">G307</f>
        <v>755.8</v>
      </c>
      <c r="H306" s="10">
        <f t="shared" si="40"/>
        <v>759</v>
      </c>
    </row>
    <row r="307" spans="1:8" ht="15.75" x14ac:dyDescent="0.25">
      <c r="A307" s="29" t="s">
        <v>425</v>
      </c>
      <c r="B307" s="454" t="s">
        <v>1260</v>
      </c>
      <c r="C307" s="461" t="s">
        <v>264</v>
      </c>
      <c r="D307" s="461" t="s">
        <v>213</v>
      </c>
      <c r="E307" s="461"/>
      <c r="F307" s="461"/>
      <c r="G307" s="10">
        <f t="shared" si="40"/>
        <v>755.8</v>
      </c>
      <c r="H307" s="10">
        <f t="shared" si="40"/>
        <v>759</v>
      </c>
    </row>
    <row r="308" spans="1:8" ht="63" x14ac:dyDescent="0.25">
      <c r="A308" s="182" t="s">
        <v>828</v>
      </c>
      <c r="B308" s="454" t="s">
        <v>1429</v>
      </c>
      <c r="C308" s="461" t="s">
        <v>264</v>
      </c>
      <c r="D308" s="461" t="s">
        <v>213</v>
      </c>
      <c r="E308" s="461"/>
      <c r="F308" s="461"/>
      <c r="G308" s="10">
        <f t="shared" si="40"/>
        <v>755.8</v>
      </c>
      <c r="H308" s="10">
        <f t="shared" si="40"/>
        <v>759</v>
      </c>
    </row>
    <row r="309" spans="1:8" ht="47.25" x14ac:dyDescent="0.25">
      <c r="A309" s="29" t="s">
        <v>272</v>
      </c>
      <c r="B309" s="454" t="s">
        <v>1429</v>
      </c>
      <c r="C309" s="461" t="s">
        <v>264</v>
      </c>
      <c r="D309" s="461" t="s">
        <v>213</v>
      </c>
      <c r="E309" s="461" t="s">
        <v>273</v>
      </c>
      <c r="F309" s="461"/>
      <c r="G309" s="10">
        <f t="shared" si="40"/>
        <v>755.8</v>
      </c>
      <c r="H309" s="10">
        <f t="shared" si="40"/>
        <v>759</v>
      </c>
    </row>
    <row r="310" spans="1:8" ht="15.75" x14ac:dyDescent="0.25">
      <c r="A310" s="182" t="s">
        <v>274</v>
      </c>
      <c r="B310" s="454" t="s">
        <v>1429</v>
      </c>
      <c r="C310" s="461" t="s">
        <v>264</v>
      </c>
      <c r="D310" s="461" t="s">
        <v>213</v>
      </c>
      <c r="E310" s="461" t="s">
        <v>275</v>
      </c>
      <c r="F310" s="461"/>
      <c r="G310" s="10">
        <f>'пр.6.1.ведом.22-23 (2)'!G665</f>
        <v>755.8</v>
      </c>
      <c r="H310" s="10">
        <f>'пр.6.1.ведом.22-23 (2)'!H665</f>
        <v>759</v>
      </c>
    </row>
    <row r="311" spans="1:8" ht="31.5" x14ac:dyDescent="0.25">
      <c r="A311" s="29" t="s">
        <v>403</v>
      </c>
      <c r="B311" s="454" t="s">
        <v>1429</v>
      </c>
      <c r="C311" s="461" t="s">
        <v>264</v>
      </c>
      <c r="D311" s="461" t="s">
        <v>213</v>
      </c>
      <c r="E311" s="461" t="s">
        <v>275</v>
      </c>
      <c r="F311" s="461" t="s">
        <v>636</v>
      </c>
      <c r="G311" s="10">
        <f>G310</f>
        <v>755.8</v>
      </c>
      <c r="H311" s="10">
        <f>H310</f>
        <v>759</v>
      </c>
    </row>
    <row r="312" spans="1:8" ht="126" x14ac:dyDescent="0.25">
      <c r="A312" s="456" t="s">
        <v>1167</v>
      </c>
      <c r="B312" s="457" t="s">
        <v>1247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ht="15.75" x14ac:dyDescent="0.25">
      <c r="A313" s="29" t="s">
        <v>263</v>
      </c>
      <c r="B313" s="454" t="s">
        <v>1247</v>
      </c>
      <c r="C313" s="461" t="s">
        <v>264</v>
      </c>
      <c r="D313" s="461"/>
      <c r="E313" s="461"/>
      <c r="F313" s="461"/>
      <c r="G313" s="10">
        <f>G314</f>
        <v>1666.6</v>
      </c>
      <c r="H313" s="10">
        <f>H314</f>
        <v>915</v>
      </c>
    </row>
    <row r="314" spans="1:8" ht="15.75" x14ac:dyDescent="0.25">
      <c r="A314" s="45" t="s">
        <v>404</v>
      </c>
      <c r="B314" s="454" t="s">
        <v>1247</v>
      </c>
      <c r="C314" s="461" t="s">
        <v>264</v>
      </c>
      <c r="D314" s="461" t="s">
        <v>118</v>
      </c>
      <c r="E314" s="461"/>
      <c r="F314" s="461"/>
      <c r="G314" s="10">
        <f>G315+G319</f>
        <v>1666.6</v>
      </c>
      <c r="H314" s="10">
        <f>H315+H319</f>
        <v>915</v>
      </c>
    </row>
    <row r="315" spans="1:8" ht="94.5" hidden="1" x14ac:dyDescent="0.25">
      <c r="A315" s="149" t="s">
        <v>1186</v>
      </c>
      <c r="B315" s="454" t="s">
        <v>1248</v>
      </c>
      <c r="C315" s="461" t="s">
        <v>264</v>
      </c>
      <c r="D315" s="461" t="s">
        <v>118</v>
      </c>
      <c r="E315" s="461"/>
      <c r="F315" s="461"/>
      <c r="G315" s="10">
        <f>G316</f>
        <v>0</v>
      </c>
      <c r="H315" s="10">
        <f>H316</f>
        <v>0</v>
      </c>
    </row>
    <row r="316" spans="1:8" ht="47.25" hidden="1" x14ac:dyDescent="0.25">
      <c r="A316" s="458" t="s">
        <v>272</v>
      </c>
      <c r="B316" s="454" t="s">
        <v>1248</v>
      </c>
      <c r="C316" s="461" t="s">
        <v>264</v>
      </c>
      <c r="D316" s="461" t="s">
        <v>118</v>
      </c>
      <c r="E316" s="461" t="s">
        <v>273</v>
      </c>
      <c r="F316" s="461"/>
      <c r="G316" s="10">
        <f>G317</f>
        <v>0</v>
      </c>
      <c r="H316" s="10">
        <f>H317</f>
        <v>0</v>
      </c>
    </row>
    <row r="317" spans="1:8" ht="15.75" hidden="1" x14ac:dyDescent="0.25">
      <c r="A317" s="458" t="s">
        <v>274</v>
      </c>
      <c r="B317" s="454" t="s">
        <v>1248</v>
      </c>
      <c r="C317" s="461" t="s">
        <v>264</v>
      </c>
      <c r="D317" s="461" t="s">
        <v>118</v>
      </c>
      <c r="E317" s="461" t="s">
        <v>275</v>
      </c>
      <c r="F317" s="461"/>
      <c r="G317" s="10">
        <f>'пр.6.1.ведом.22-23 (2)'!G595</f>
        <v>0</v>
      </c>
      <c r="H317" s="10">
        <f>'пр.6.1.ведом.22-23 (2)'!H595</f>
        <v>0</v>
      </c>
    </row>
    <row r="318" spans="1:8" ht="31.5" hidden="1" x14ac:dyDescent="0.25">
      <c r="A318" s="29" t="s">
        <v>403</v>
      </c>
      <c r="B318" s="454" t="s">
        <v>1248</v>
      </c>
      <c r="C318" s="461" t="s">
        <v>264</v>
      </c>
      <c r="D318" s="461" t="s">
        <v>118</v>
      </c>
      <c r="E318" s="461" t="s">
        <v>275</v>
      </c>
      <c r="F318" s="461" t="s">
        <v>636</v>
      </c>
      <c r="G318" s="10">
        <f>G315</f>
        <v>0</v>
      </c>
      <c r="H318" s="10">
        <f>H315</f>
        <v>0</v>
      </c>
    </row>
    <row r="319" spans="1:8" ht="110.25" x14ac:dyDescent="0.25">
      <c r="A319" s="149" t="s">
        <v>1498</v>
      </c>
      <c r="B319" s="454" t="s">
        <v>1248</v>
      </c>
      <c r="C319" s="461" t="s">
        <v>264</v>
      </c>
      <c r="D319" s="461" t="s">
        <v>118</v>
      </c>
      <c r="E319" s="461"/>
      <c r="F319" s="461"/>
      <c r="G319" s="10">
        <f>G320</f>
        <v>1666.6</v>
      </c>
      <c r="H319" s="10">
        <f>H320</f>
        <v>915</v>
      </c>
    </row>
    <row r="320" spans="1:8" ht="47.25" x14ac:dyDescent="0.25">
      <c r="A320" s="458" t="s">
        <v>272</v>
      </c>
      <c r="B320" s="454" t="s">
        <v>1248</v>
      </c>
      <c r="C320" s="461" t="s">
        <v>264</v>
      </c>
      <c r="D320" s="461" t="s">
        <v>118</v>
      </c>
      <c r="E320" s="461" t="s">
        <v>273</v>
      </c>
      <c r="F320" s="461"/>
      <c r="G320" s="10">
        <f>G321</f>
        <v>1666.6</v>
      </c>
      <c r="H320" s="10">
        <f>H321</f>
        <v>915</v>
      </c>
    </row>
    <row r="321" spans="1:8" ht="15.75" x14ac:dyDescent="0.25">
      <c r="A321" s="458" t="s">
        <v>274</v>
      </c>
      <c r="B321" s="454" t="s">
        <v>1248</v>
      </c>
      <c r="C321" s="461" t="s">
        <v>264</v>
      </c>
      <c r="D321" s="461" t="s">
        <v>118</v>
      </c>
      <c r="E321" s="461" t="s">
        <v>275</v>
      </c>
      <c r="F321" s="461"/>
      <c r="G321" s="10">
        <f>'пр.6.1.ведом.22-23 (2)'!G598</f>
        <v>1666.6</v>
      </c>
      <c r="H321" s="10">
        <f>'пр.6.1.ведом.22-23 (2)'!H598</f>
        <v>915</v>
      </c>
    </row>
    <row r="322" spans="1:8" ht="31.5" x14ac:dyDescent="0.25">
      <c r="A322" s="29" t="s">
        <v>403</v>
      </c>
      <c r="B322" s="454" t="s">
        <v>1248</v>
      </c>
      <c r="C322" s="461" t="s">
        <v>264</v>
      </c>
      <c r="D322" s="461" t="s">
        <v>118</v>
      </c>
      <c r="E322" s="461" t="s">
        <v>275</v>
      </c>
      <c r="F322" s="461" t="s">
        <v>636</v>
      </c>
      <c r="G322" s="10">
        <f>G319</f>
        <v>1666.6</v>
      </c>
      <c r="H322" s="10">
        <f>H319</f>
        <v>915</v>
      </c>
    </row>
    <row r="323" spans="1:8" ht="47.25" x14ac:dyDescent="0.25">
      <c r="A323" s="288" t="s">
        <v>1408</v>
      </c>
      <c r="B323" s="457" t="s">
        <v>1407</v>
      </c>
      <c r="C323" s="457"/>
      <c r="D323" s="457"/>
      <c r="E323" s="457"/>
      <c r="F323" s="7"/>
      <c r="G323" s="59">
        <f t="shared" ref="G323:H327" si="41">G324</f>
        <v>5415.6500000000005</v>
      </c>
      <c r="H323" s="59">
        <f t="shared" si="41"/>
        <v>5142.4500000000007</v>
      </c>
    </row>
    <row r="324" spans="1:8" ht="15.75" x14ac:dyDescent="0.25">
      <c r="A324" s="182" t="s">
        <v>263</v>
      </c>
      <c r="B324" s="454" t="s">
        <v>1407</v>
      </c>
      <c r="C324" s="454" t="s">
        <v>264</v>
      </c>
      <c r="D324" s="454"/>
      <c r="E324" s="454"/>
      <c r="F324" s="461"/>
      <c r="G324" s="10">
        <f t="shared" si="41"/>
        <v>5415.6500000000005</v>
      </c>
      <c r="H324" s="10">
        <f t="shared" si="41"/>
        <v>5142.4500000000007</v>
      </c>
    </row>
    <row r="325" spans="1:8" ht="15.75" x14ac:dyDescent="0.25">
      <c r="A325" s="182" t="s">
        <v>425</v>
      </c>
      <c r="B325" s="454" t="s">
        <v>1407</v>
      </c>
      <c r="C325" s="454" t="s">
        <v>264</v>
      </c>
      <c r="D325" s="454" t="s">
        <v>213</v>
      </c>
      <c r="E325" s="454"/>
      <c r="F325" s="461"/>
      <c r="G325" s="10">
        <f t="shared" si="41"/>
        <v>5415.6500000000005</v>
      </c>
      <c r="H325" s="10">
        <f t="shared" si="41"/>
        <v>5142.4500000000007</v>
      </c>
    </row>
    <row r="326" spans="1:8" ht="78.75" x14ac:dyDescent="0.25">
      <c r="A326" s="287" t="s">
        <v>1394</v>
      </c>
      <c r="B326" s="454" t="s">
        <v>1454</v>
      </c>
      <c r="C326" s="454" t="s">
        <v>264</v>
      </c>
      <c r="D326" s="454" t="s">
        <v>213</v>
      </c>
      <c r="E326" s="454"/>
      <c r="F326" s="461"/>
      <c r="G326" s="10">
        <f t="shared" si="41"/>
        <v>5415.6500000000005</v>
      </c>
      <c r="H326" s="10">
        <f t="shared" si="41"/>
        <v>5142.4500000000007</v>
      </c>
    </row>
    <row r="327" spans="1:8" ht="47.25" x14ac:dyDescent="0.25">
      <c r="A327" s="31" t="s">
        <v>272</v>
      </c>
      <c r="B327" s="454" t="s">
        <v>1454</v>
      </c>
      <c r="C327" s="454" t="s">
        <v>264</v>
      </c>
      <c r="D327" s="454" t="s">
        <v>213</v>
      </c>
      <c r="E327" s="454" t="s">
        <v>273</v>
      </c>
      <c r="F327" s="461"/>
      <c r="G327" s="10">
        <f t="shared" si="41"/>
        <v>5415.6500000000005</v>
      </c>
      <c r="H327" s="10">
        <f t="shared" si="41"/>
        <v>5142.4500000000007</v>
      </c>
    </row>
    <row r="328" spans="1:8" ht="15.75" x14ac:dyDescent="0.25">
      <c r="A328" s="31" t="s">
        <v>274</v>
      </c>
      <c r="B328" s="454" t="s">
        <v>1454</v>
      </c>
      <c r="C328" s="454" t="s">
        <v>264</v>
      </c>
      <c r="D328" s="454" t="s">
        <v>213</v>
      </c>
      <c r="E328" s="454" t="s">
        <v>275</v>
      </c>
      <c r="F328" s="461"/>
      <c r="G328" s="10">
        <f>'пр.6.1.ведом.22-23 (2)'!G672</f>
        <v>5415.6500000000005</v>
      </c>
      <c r="H328" s="10">
        <f>'пр.6.1.ведом.22-23 (2)'!H672</f>
        <v>5142.4500000000007</v>
      </c>
    </row>
    <row r="329" spans="1:8" ht="31.5" x14ac:dyDescent="0.25">
      <c r="A329" s="182" t="s">
        <v>403</v>
      </c>
      <c r="B329" s="454" t="s">
        <v>1454</v>
      </c>
      <c r="C329" s="454" t="s">
        <v>264</v>
      </c>
      <c r="D329" s="454" t="s">
        <v>213</v>
      </c>
      <c r="E329" s="454" t="s">
        <v>275</v>
      </c>
      <c r="F329" s="461" t="s">
        <v>636</v>
      </c>
      <c r="G329" s="10">
        <f>G323</f>
        <v>5415.6500000000005</v>
      </c>
      <c r="H329" s="10">
        <f>H323</f>
        <v>5142.4500000000007</v>
      </c>
    </row>
    <row r="330" spans="1:8" ht="63" hidden="1" x14ac:dyDescent="0.25">
      <c r="A330" s="212" t="s">
        <v>1173</v>
      </c>
      <c r="B330" s="457" t="s">
        <v>1321</v>
      </c>
      <c r="C330" s="461"/>
      <c r="D330" s="461"/>
      <c r="E330" s="461"/>
      <c r="F330" s="461"/>
      <c r="G330" s="59">
        <f t="shared" ref="G330:H334" si="42">G331</f>
        <v>0</v>
      </c>
      <c r="H330" s="59">
        <f t="shared" si="42"/>
        <v>0</v>
      </c>
    </row>
    <row r="331" spans="1:8" ht="15.75" hidden="1" x14ac:dyDescent="0.25">
      <c r="A331" s="29" t="s">
        <v>263</v>
      </c>
      <c r="B331" s="454" t="s">
        <v>1321</v>
      </c>
      <c r="C331" s="461" t="s">
        <v>264</v>
      </c>
      <c r="D331" s="461"/>
      <c r="E331" s="461"/>
      <c r="F331" s="461"/>
      <c r="G331" s="10">
        <f t="shared" si="42"/>
        <v>0</v>
      </c>
      <c r="H331" s="10">
        <f t="shared" si="42"/>
        <v>0</v>
      </c>
    </row>
    <row r="332" spans="1:8" ht="15.75" hidden="1" x14ac:dyDescent="0.25">
      <c r="A332" s="29" t="s">
        <v>425</v>
      </c>
      <c r="B332" s="454" t="s">
        <v>1321</v>
      </c>
      <c r="C332" s="461" t="s">
        <v>264</v>
      </c>
      <c r="D332" s="461" t="s">
        <v>213</v>
      </c>
      <c r="E332" s="461"/>
      <c r="F332" s="461"/>
      <c r="G332" s="10">
        <f t="shared" si="42"/>
        <v>0</v>
      </c>
      <c r="H332" s="10">
        <f t="shared" si="42"/>
        <v>0</v>
      </c>
    </row>
    <row r="333" spans="1:8" ht="63" hidden="1" x14ac:dyDescent="0.25">
      <c r="A333" s="182" t="s">
        <v>1181</v>
      </c>
      <c r="B333" s="454" t="s">
        <v>1322</v>
      </c>
      <c r="C333" s="461" t="s">
        <v>264</v>
      </c>
      <c r="D333" s="461" t="s">
        <v>213</v>
      </c>
      <c r="E333" s="461"/>
      <c r="F333" s="461"/>
      <c r="G333" s="10">
        <f t="shared" si="42"/>
        <v>0</v>
      </c>
      <c r="H333" s="10">
        <f t="shared" si="42"/>
        <v>0</v>
      </c>
    </row>
    <row r="334" spans="1:8" ht="47.25" hidden="1" x14ac:dyDescent="0.25">
      <c r="A334" s="31" t="s">
        <v>272</v>
      </c>
      <c r="B334" s="454" t="s">
        <v>1322</v>
      </c>
      <c r="C334" s="461" t="s">
        <v>264</v>
      </c>
      <c r="D334" s="461" t="s">
        <v>213</v>
      </c>
      <c r="E334" s="461" t="s">
        <v>273</v>
      </c>
      <c r="F334" s="461"/>
      <c r="G334" s="10">
        <f t="shared" si="42"/>
        <v>0</v>
      </c>
      <c r="H334" s="10">
        <f t="shared" si="42"/>
        <v>0</v>
      </c>
    </row>
    <row r="335" spans="1:8" ht="15.75" hidden="1" x14ac:dyDescent="0.25">
      <c r="A335" s="31" t="s">
        <v>274</v>
      </c>
      <c r="B335" s="454" t="s">
        <v>1322</v>
      </c>
      <c r="C335" s="461" t="s">
        <v>264</v>
      </c>
      <c r="D335" s="461" t="s">
        <v>213</v>
      </c>
      <c r="E335" s="461" t="s">
        <v>275</v>
      </c>
      <c r="F335" s="461"/>
      <c r="G335" s="10">
        <f>'пр.6.1.ведом.22-23 (2)'!G676</f>
        <v>0</v>
      </c>
      <c r="H335" s="10">
        <f>'пр.6.1.ведом.22-23 (2)'!H675</f>
        <v>0</v>
      </c>
    </row>
    <row r="336" spans="1:8" ht="31.5" hidden="1" x14ac:dyDescent="0.25">
      <c r="A336" s="29" t="s">
        <v>403</v>
      </c>
      <c r="B336" s="454" t="s">
        <v>1322</v>
      </c>
      <c r="C336" s="461" t="s">
        <v>264</v>
      </c>
      <c r="D336" s="461" t="s">
        <v>213</v>
      </c>
      <c r="E336" s="461" t="s">
        <v>275</v>
      </c>
      <c r="F336" s="461" t="s">
        <v>636</v>
      </c>
      <c r="G336" s="10">
        <f>G330</f>
        <v>0</v>
      </c>
      <c r="H336" s="10">
        <f>H335</f>
        <v>0</v>
      </c>
    </row>
    <row r="337" spans="1:8" ht="31.5" x14ac:dyDescent="0.25">
      <c r="A337" s="34" t="s">
        <v>1477</v>
      </c>
      <c r="B337" s="457" t="s">
        <v>1475</v>
      </c>
      <c r="C337" s="461"/>
      <c r="D337" s="461"/>
      <c r="E337" s="461"/>
      <c r="F337" s="461"/>
      <c r="G337" s="59">
        <f t="shared" ref="G337:H341" si="43">G338</f>
        <v>1749.4499999999998</v>
      </c>
      <c r="H337" s="59">
        <f t="shared" si="43"/>
        <v>2341</v>
      </c>
    </row>
    <row r="338" spans="1:8" ht="15.75" x14ac:dyDescent="0.25">
      <c r="A338" s="29" t="s">
        <v>263</v>
      </c>
      <c r="B338" s="454" t="s">
        <v>1475</v>
      </c>
      <c r="C338" s="461" t="s">
        <v>264</v>
      </c>
      <c r="D338" s="461"/>
      <c r="E338" s="461"/>
      <c r="F338" s="461"/>
      <c r="G338" s="10">
        <f t="shared" si="43"/>
        <v>1749.4499999999998</v>
      </c>
      <c r="H338" s="10">
        <f t="shared" si="43"/>
        <v>2341</v>
      </c>
    </row>
    <row r="339" spans="1:8" ht="15.75" x14ac:dyDescent="0.25">
      <c r="A339" s="29" t="s">
        <v>425</v>
      </c>
      <c r="B339" s="454" t="s">
        <v>1475</v>
      </c>
      <c r="C339" s="461" t="s">
        <v>264</v>
      </c>
      <c r="D339" s="461" t="s">
        <v>213</v>
      </c>
      <c r="E339" s="461"/>
      <c r="F339" s="461"/>
      <c r="G339" s="10">
        <f t="shared" si="43"/>
        <v>1749.4499999999998</v>
      </c>
      <c r="H339" s="10">
        <f t="shared" si="43"/>
        <v>2341</v>
      </c>
    </row>
    <row r="340" spans="1:8" ht="63" x14ac:dyDescent="0.25">
      <c r="A340" s="31" t="s">
        <v>1529</v>
      </c>
      <c r="B340" s="454" t="s">
        <v>1476</v>
      </c>
      <c r="C340" s="461" t="s">
        <v>264</v>
      </c>
      <c r="D340" s="461" t="s">
        <v>213</v>
      </c>
      <c r="E340" s="461"/>
      <c r="F340" s="461"/>
      <c r="G340" s="10">
        <f t="shared" si="43"/>
        <v>1749.4499999999998</v>
      </c>
      <c r="H340" s="10">
        <f t="shared" si="43"/>
        <v>2341</v>
      </c>
    </row>
    <row r="341" spans="1:8" ht="47.25" x14ac:dyDescent="0.25">
      <c r="A341" s="31" t="s">
        <v>272</v>
      </c>
      <c r="B341" s="454" t="s">
        <v>1476</v>
      </c>
      <c r="C341" s="461" t="s">
        <v>264</v>
      </c>
      <c r="D341" s="461" t="s">
        <v>213</v>
      </c>
      <c r="E341" s="461" t="s">
        <v>273</v>
      </c>
      <c r="F341" s="461"/>
      <c r="G341" s="10">
        <f t="shared" si="43"/>
        <v>1749.4499999999998</v>
      </c>
      <c r="H341" s="10">
        <f t="shared" si="43"/>
        <v>2341</v>
      </c>
    </row>
    <row r="342" spans="1:8" ht="15.75" x14ac:dyDescent="0.25">
      <c r="A342" s="31" t="s">
        <v>274</v>
      </c>
      <c r="B342" s="454" t="s">
        <v>1476</v>
      </c>
      <c r="C342" s="461" t="s">
        <v>264</v>
      </c>
      <c r="D342" s="461" t="s">
        <v>213</v>
      </c>
      <c r="E342" s="461" t="s">
        <v>275</v>
      </c>
      <c r="F342" s="461"/>
      <c r="G342" s="10">
        <f>'пр.6.1.ведом.22-23 (2)'!G680</f>
        <v>1749.4499999999998</v>
      </c>
      <c r="H342" s="10">
        <f>'пр.6.1.ведом.22-23 (2)'!H680</f>
        <v>2341</v>
      </c>
    </row>
    <row r="343" spans="1:8" ht="31.5" x14ac:dyDescent="0.25">
      <c r="A343" s="29" t="s">
        <v>403</v>
      </c>
      <c r="B343" s="454" t="s">
        <v>1476</v>
      </c>
      <c r="C343" s="461" t="s">
        <v>264</v>
      </c>
      <c r="D343" s="461" t="s">
        <v>213</v>
      </c>
      <c r="E343" s="461" t="s">
        <v>275</v>
      </c>
      <c r="F343" s="461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1387</v>
      </c>
      <c r="B344" s="193" t="s">
        <v>156</v>
      </c>
      <c r="C344" s="7"/>
      <c r="D344" s="193"/>
      <c r="E344" s="193"/>
      <c r="F344" s="193"/>
      <c r="G344" s="59">
        <f>G346</f>
        <v>150</v>
      </c>
      <c r="H344" s="59">
        <f>H346</f>
        <v>150</v>
      </c>
    </row>
    <row r="345" spans="1:8" ht="47.25" x14ac:dyDescent="0.25">
      <c r="A345" s="456" t="s">
        <v>1065</v>
      </c>
      <c r="B345" s="457" t="s">
        <v>1062</v>
      </c>
      <c r="C345" s="7"/>
      <c r="D345" s="7"/>
      <c r="E345" s="7"/>
      <c r="F345" s="7"/>
      <c r="G345" s="59">
        <f t="shared" ref="G345:H349" si="44">G346</f>
        <v>150</v>
      </c>
      <c r="H345" s="59">
        <f t="shared" si="44"/>
        <v>150</v>
      </c>
    </row>
    <row r="346" spans="1:8" ht="15.75" x14ac:dyDescent="0.25">
      <c r="A346" s="45" t="s">
        <v>232</v>
      </c>
      <c r="B346" s="5" t="s">
        <v>1062</v>
      </c>
      <c r="C346" s="461" t="s">
        <v>150</v>
      </c>
      <c r="D346" s="461"/>
      <c r="E346" s="461"/>
      <c r="F346" s="461"/>
      <c r="G346" s="10">
        <f t="shared" si="44"/>
        <v>150</v>
      </c>
      <c r="H346" s="10">
        <f t="shared" si="44"/>
        <v>150</v>
      </c>
    </row>
    <row r="347" spans="1:8" ht="15.75" x14ac:dyDescent="0.25">
      <c r="A347" s="45" t="s">
        <v>775</v>
      </c>
      <c r="B347" s="5" t="s">
        <v>1062</v>
      </c>
      <c r="C347" s="461" t="s">
        <v>150</v>
      </c>
      <c r="D347" s="461" t="s">
        <v>238</v>
      </c>
      <c r="E347" s="461"/>
      <c r="F347" s="461"/>
      <c r="G347" s="10">
        <f t="shared" si="44"/>
        <v>150</v>
      </c>
      <c r="H347" s="10">
        <f t="shared" si="44"/>
        <v>150</v>
      </c>
    </row>
    <row r="348" spans="1:8" ht="31.5" x14ac:dyDescent="0.25">
      <c r="A348" s="458" t="s">
        <v>1066</v>
      </c>
      <c r="B348" s="454" t="s">
        <v>1063</v>
      </c>
      <c r="C348" s="461" t="s">
        <v>150</v>
      </c>
      <c r="D348" s="461" t="s">
        <v>238</v>
      </c>
      <c r="E348" s="461"/>
      <c r="F348" s="461"/>
      <c r="G348" s="10">
        <f t="shared" si="44"/>
        <v>150</v>
      </c>
      <c r="H348" s="10">
        <f t="shared" si="44"/>
        <v>150</v>
      </c>
    </row>
    <row r="349" spans="1:8" ht="15.75" x14ac:dyDescent="0.25">
      <c r="A349" s="458" t="s">
        <v>135</v>
      </c>
      <c r="B349" s="454" t="s">
        <v>1063</v>
      </c>
      <c r="C349" s="461" t="s">
        <v>150</v>
      </c>
      <c r="D349" s="461" t="s">
        <v>238</v>
      </c>
      <c r="E349" s="461" t="s">
        <v>132</v>
      </c>
      <c r="F349" s="461"/>
      <c r="G349" s="10">
        <f t="shared" si="44"/>
        <v>150</v>
      </c>
      <c r="H349" s="10">
        <f t="shared" si="44"/>
        <v>150</v>
      </c>
    </row>
    <row r="350" spans="1:8" ht="63" x14ac:dyDescent="0.25">
      <c r="A350" s="458" t="s">
        <v>184</v>
      </c>
      <c r="B350" s="454" t="s">
        <v>1063</v>
      </c>
      <c r="C350" s="461" t="s">
        <v>150</v>
      </c>
      <c r="D350" s="461" t="s">
        <v>238</v>
      </c>
      <c r="E350" s="461" t="s">
        <v>134</v>
      </c>
      <c r="F350" s="461"/>
      <c r="G350" s="10">
        <f>'пр.6.1.ведом.22-23 (2)'!G217</f>
        <v>150</v>
      </c>
      <c r="H350" s="10">
        <f>'пр.6.1.ведом.22-23 (2)'!H217</f>
        <v>150</v>
      </c>
    </row>
    <row r="351" spans="1:8" ht="31.5" x14ac:dyDescent="0.25">
      <c r="A351" s="29" t="s">
        <v>148</v>
      </c>
      <c r="B351" s="454" t="s">
        <v>1063</v>
      </c>
      <c r="C351" s="461" t="s">
        <v>150</v>
      </c>
      <c r="D351" s="461" t="s">
        <v>238</v>
      </c>
      <c r="E351" s="461" t="s">
        <v>134</v>
      </c>
      <c r="F351" s="461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458" t="s">
        <v>239</v>
      </c>
      <c r="B352" s="454" t="s">
        <v>1064</v>
      </c>
      <c r="C352" s="461" t="s">
        <v>150</v>
      </c>
      <c r="D352" s="461" t="s">
        <v>238</v>
      </c>
      <c r="E352" s="461"/>
      <c r="F352" s="461"/>
      <c r="G352" s="10" t="e">
        <f>G353</f>
        <v>#REF!</v>
      </c>
      <c r="H352" s="10" t="e">
        <f>H353</f>
        <v>#REF!</v>
      </c>
    </row>
    <row r="353" spans="1:8" ht="15.75" hidden="1" x14ac:dyDescent="0.25">
      <c r="A353" s="458" t="s">
        <v>135</v>
      </c>
      <c r="B353" s="454" t="s">
        <v>1064</v>
      </c>
      <c r="C353" s="461" t="s">
        <v>150</v>
      </c>
      <c r="D353" s="461" t="s">
        <v>238</v>
      </c>
      <c r="E353" s="461" t="s">
        <v>145</v>
      </c>
      <c r="F353" s="461"/>
      <c r="G353" s="10" t="e">
        <f>G354</f>
        <v>#REF!</v>
      </c>
      <c r="H353" s="10" t="e">
        <f>H354</f>
        <v>#REF!</v>
      </c>
    </row>
    <row r="354" spans="1:8" ht="63" hidden="1" x14ac:dyDescent="0.25">
      <c r="A354" s="458" t="s">
        <v>184</v>
      </c>
      <c r="B354" s="454" t="s">
        <v>1064</v>
      </c>
      <c r="C354" s="461" t="s">
        <v>150</v>
      </c>
      <c r="D354" s="461" t="s">
        <v>238</v>
      </c>
      <c r="E354" s="461" t="s">
        <v>160</v>
      </c>
      <c r="F354" s="461"/>
      <c r="G354" s="10" t="e">
        <f>'пр.6.1.ведом.22-23 (2)'!#REF!</f>
        <v>#REF!</v>
      </c>
      <c r="H354" s="10" t="e">
        <f>'пр.6.1.ведом.22-23 (2)'!#REF!</f>
        <v>#REF!</v>
      </c>
    </row>
    <row r="355" spans="1:8" ht="31.5" hidden="1" x14ac:dyDescent="0.25">
      <c r="A355" s="29" t="s">
        <v>148</v>
      </c>
      <c r="B355" s="454" t="s">
        <v>1064</v>
      </c>
      <c r="C355" s="461" t="s">
        <v>150</v>
      </c>
      <c r="D355" s="461" t="s">
        <v>238</v>
      </c>
      <c r="E355" s="461" t="s">
        <v>160</v>
      </c>
      <c r="F355" s="461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62" t="s">
        <v>1367</v>
      </c>
      <c r="B356" s="193" t="s">
        <v>162</v>
      </c>
      <c r="C356" s="7"/>
      <c r="D356" s="7"/>
      <c r="E356" s="7"/>
      <c r="F356" s="7"/>
      <c r="G356" s="59">
        <f>G357+G364+G387</f>
        <v>724</v>
      </c>
      <c r="H356" s="59">
        <f>H357+H364+H387</f>
        <v>724</v>
      </c>
    </row>
    <row r="357" spans="1:8" ht="78.75" x14ac:dyDescent="0.25">
      <c r="A357" s="289" t="s">
        <v>1342</v>
      </c>
      <c r="B357" s="7" t="s">
        <v>849</v>
      </c>
      <c r="C357" s="7"/>
      <c r="D357" s="8"/>
      <c r="E357" s="193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61" t="s">
        <v>118</v>
      </c>
      <c r="D358" s="5"/>
      <c r="E358" s="5"/>
      <c r="F358" s="461"/>
      <c r="G358" s="10">
        <f t="shared" ref="G358:H358" si="45">G359</f>
        <v>606</v>
      </c>
      <c r="H358" s="10">
        <f t="shared" si="45"/>
        <v>606</v>
      </c>
    </row>
    <row r="359" spans="1:8" ht="78.75" x14ac:dyDescent="0.25">
      <c r="A359" s="29" t="s">
        <v>149</v>
      </c>
      <c r="B359" s="5" t="s">
        <v>849</v>
      </c>
      <c r="C359" s="461" t="s">
        <v>118</v>
      </c>
      <c r="D359" s="9" t="s">
        <v>150</v>
      </c>
      <c r="E359" s="5"/>
      <c r="F359" s="461"/>
      <c r="G359" s="10">
        <f>G360</f>
        <v>606</v>
      </c>
      <c r="H359" s="10">
        <f>H360</f>
        <v>606</v>
      </c>
    </row>
    <row r="360" spans="1:8" ht="63" x14ac:dyDescent="0.25">
      <c r="A360" s="29" t="s">
        <v>1309</v>
      </c>
      <c r="B360" s="461" t="s">
        <v>841</v>
      </c>
      <c r="C360" s="461" t="s">
        <v>118</v>
      </c>
      <c r="D360" s="9" t="s">
        <v>150</v>
      </c>
      <c r="E360" s="461"/>
      <c r="F360" s="461"/>
      <c r="G360" s="10">
        <f t="shared" ref="G360:H361" si="46">G361</f>
        <v>606</v>
      </c>
      <c r="H360" s="10">
        <f t="shared" si="46"/>
        <v>606</v>
      </c>
    </row>
    <row r="361" spans="1:8" ht="31.5" x14ac:dyDescent="0.25">
      <c r="A361" s="29" t="s">
        <v>131</v>
      </c>
      <c r="B361" s="461" t="s">
        <v>841</v>
      </c>
      <c r="C361" s="461" t="s">
        <v>118</v>
      </c>
      <c r="D361" s="9" t="s">
        <v>150</v>
      </c>
      <c r="E361" s="461" t="s">
        <v>132</v>
      </c>
      <c r="F361" s="461"/>
      <c r="G361" s="10">
        <f t="shared" si="46"/>
        <v>606</v>
      </c>
      <c r="H361" s="10">
        <f t="shared" si="46"/>
        <v>606</v>
      </c>
    </row>
    <row r="362" spans="1:8" ht="47.25" x14ac:dyDescent="0.25">
      <c r="A362" s="29" t="s">
        <v>133</v>
      </c>
      <c r="B362" s="461" t="s">
        <v>841</v>
      </c>
      <c r="C362" s="461" t="s">
        <v>118</v>
      </c>
      <c r="D362" s="9" t="s">
        <v>150</v>
      </c>
      <c r="E362" s="461" t="s">
        <v>134</v>
      </c>
      <c r="F362" s="461"/>
      <c r="G362" s="10">
        <f>'пр.6.1.ведом.22-23 (2)'!G93</f>
        <v>606</v>
      </c>
      <c r="H362" s="10">
        <f>'пр.6.1.ведом.22-23 (2)'!H93</f>
        <v>606</v>
      </c>
    </row>
    <row r="363" spans="1:8" ht="31.5" x14ac:dyDescent="0.25">
      <c r="A363" s="29" t="s">
        <v>148</v>
      </c>
      <c r="B363" s="461" t="s">
        <v>841</v>
      </c>
      <c r="C363" s="461" t="s">
        <v>118</v>
      </c>
      <c r="D363" s="9" t="s">
        <v>150</v>
      </c>
      <c r="E363" s="461" t="s">
        <v>134</v>
      </c>
      <c r="F363" s="461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15" t="s">
        <v>843</v>
      </c>
      <c r="B364" s="7" t="s">
        <v>850</v>
      </c>
      <c r="C364" s="7"/>
      <c r="D364" s="8"/>
      <c r="E364" s="193"/>
      <c r="F364" s="7"/>
      <c r="G364" s="59">
        <f>G365</f>
        <v>117.5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61" t="s">
        <v>118</v>
      </c>
      <c r="D365" s="5"/>
      <c r="E365" s="5"/>
      <c r="F365" s="461"/>
      <c r="G365" s="10">
        <f>G371+G366</f>
        <v>117.5</v>
      </c>
      <c r="H365" s="10">
        <f>H371+H366</f>
        <v>117.5</v>
      </c>
    </row>
    <row r="366" spans="1:8" ht="47.25" x14ac:dyDescent="0.25">
      <c r="A366" s="458" t="s">
        <v>575</v>
      </c>
      <c r="B366" s="5" t="s">
        <v>850</v>
      </c>
      <c r="C366" s="461" t="s">
        <v>118</v>
      </c>
      <c r="D366" s="9" t="s">
        <v>213</v>
      </c>
      <c r="E366" s="5"/>
      <c r="F366" s="461"/>
      <c r="G366" s="10">
        <f t="shared" ref="G366:H368" si="47">G367</f>
        <v>40.5</v>
      </c>
      <c r="H366" s="10">
        <f t="shared" si="47"/>
        <v>40.5</v>
      </c>
    </row>
    <row r="367" spans="1:8" ht="63" x14ac:dyDescent="0.25">
      <c r="A367" s="31" t="s">
        <v>695</v>
      </c>
      <c r="B367" s="461" t="s">
        <v>993</v>
      </c>
      <c r="C367" s="454" t="s">
        <v>118</v>
      </c>
      <c r="D367" s="9" t="s">
        <v>213</v>
      </c>
      <c r="E367" s="5"/>
      <c r="F367" s="461"/>
      <c r="G367" s="10">
        <f t="shared" si="47"/>
        <v>40.5</v>
      </c>
      <c r="H367" s="10">
        <f t="shared" si="47"/>
        <v>40.5</v>
      </c>
    </row>
    <row r="368" spans="1:8" ht="31.5" x14ac:dyDescent="0.25">
      <c r="A368" s="458" t="s">
        <v>131</v>
      </c>
      <c r="B368" s="461" t="s">
        <v>696</v>
      </c>
      <c r="C368" s="454" t="s">
        <v>118</v>
      </c>
      <c r="D368" s="9" t="s">
        <v>213</v>
      </c>
      <c r="E368" s="5">
        <v>200</v>
      </c>
      <c r="F368" s="461"/>
      <c r="G368" s="10">
        <f t="shared" si="47"/>
        <v>40.5</v>
      </c>
      <c r="H368" s="10">
        <f t="shared" si="47"/>
        <v>40.5</v>
      </c>
    </row>
    <row r="369" spans="1:8" ht="47.25" x14ac:dyDescent="0.25">
      <c r="A369" s="458" t="s">
        <v>133</v>
      </c>
      <c r="B369" s="461" t="s">
        <v>696</v>
      </c>
      <c r="C369" s="454" t="s">
        <v>118</v>
      </c>
      <c r="D369" s="9" t="s">
        <v>213</v>
      </c>
      <c r="E369" s="5">
        <v>240</v>
      </c>
      <c r="F369" s="461"/>
      <c r="G369" s="10">
        <f>'[1]Пр.5 ведом.21'!G47</f>
        <v>40.5</v>
      </c>
      <c r="H369" s="10">
        <f>H370</f>
        <v>40.5</v>
      </c>
    </row>
    <row r="370" spans="1:8" ht="31.5" x14ac:dyDescent="0.25">
      <c r="A370" s="458" t="s">
        <v>148</v>
      </c>
      <c r="B370" s="461" t="s">
        <v>696</v>
      </c>
      <c r="C370" s="454" t="s">
        <v>118</v>
      </c>
      <c r="D370" s="9" t="s">
        <v>213</v>
      </c>
      <c r="E370" s="5">
        <v>240</v>
      </c>
      <c r="F370" s="461" t="s">
        <v>641</v>
      </c>
      <c r="G370" s="10">
        <f>G367</f>
        <v>40.5</v>
      </c>
      <c r="H370" s="10">
        <f>'пр.6.1.ведом.22-23 (2)'!H48</f>
        <v>40.5</v>
      </c>
    </row>
    <row r="371" spans="1:8" ht="78.75" x14ac:dyDescent="0.25">
      <c r="A371" s="29" t="s">
        <v>149</v>
      </c>
      <c r="B371" s="5" t="s">
        <v>850</v>
      </c>
      <c r="C371" s="461" t="s">
        <v>118</v>
      </c>
      <c r="D371" s="9" t="s">
        <v>150</v>
      </c>
      <c r="E371" s="5"/>
      <c r="F371" s="461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61" t="s">
        <v>842</v>
      </c>
      <c r="C372" s="461" t="s">
        <v>118</v>
      </c>
      <c r="D372" s="9" t="s">
        <v>150</v>
      </c>
      <c r="E372" s="461"/>
      <c r="F372" s="461"/>
      <c r="G372" s="10">
        <f>G373+G376</f>
        <v>77</v>
      </c>
      <c r="H372" s="10">
        <f>H373+H376</f>
        <v>77</v>
      </c>
    </row>
    <row r="373" spans="1:8" ht="94.5" x14ac:dyDescent="0.25">
      <c r="A373" s="458" t="s">
        <v>127</v>
      </c>
      <c r="B373" s="461" t="s">
        <v>842</v>
      </c>
      <c r="C373" s="461" t="s">
        <v>118</v>
      </c>
      <c r="D373" s="9" t="s">
        <v>150</v>
      </c>
      <c r="E373" s="461" t="s">
        <v>128</v>
      </c>
      <c r="F373" s="461"/>
      <c r="G373" s="10">
        <f>G374</f>
        <v>37</v>
      </c>
      <c r="H373" s="10">
        <f>H374</f>
        <v>37</v>
      </c>
    </row>
    <row r="374" spans="1:8" ht="31.5" x14ac:dyDescent="0.25">
      <c r="A374" s="458" t="s">
        <v>129</v>
      </c>
      <c r="B374" s="461" t="s">
        <v>842</v>
      </c>
      <c r="C374" s="461" t="s">
        <v>118</v>
      </c>
      <c r="D374" s="9" t="s">
        <v>150</v>
      </c>
      <c r="E374" s="461" t="s">
        <v>130</v>
      </c>
      <c r="F374" s="461"/>
      <c r="G374" s="10">
        <f>'пр.6.1.ведом.22-23 (2)'!G97</f>
        <v>37</v>
      </c>
      <c r="H374" s="10">
        <f>'пр.6.1.ведом.22-23 (2)'!H97</f>
        <v>37</v>
      </c>
    </row>
    <row r="375" spans="1:8" ht="31.5" x14ac:dyDescent="0.25">
      <c r="A375" s="29" t="s">
        <v>1323</v>
      </c>
      <c r="B375" s="461" t="s">
        <v>842</v>
      </c>
      <c r="C375" s="461" t="s">
        <v>118</v>
      </c>
      <c r="D375" s="9" t="s">
        <v>150</v>
      </c>
      <c r="E375" s="461" t="s">
        <v>130</v>
      </c>
      <c r="F375" s="461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458" t="s">
        <v>131</v>
      </c>
      <c r="B376" s="461" t="s">
        <v>842</v>
      </c>
      <c r="C376" s="461" t="s">
        <v>118</v>
      </c>
      <c r="D376" s="9" t="s">
        <v>150</v>
      </c>
      <c r="E376" s="461" t="s">
        <v>132</v>
      </c>
      <c r="F376" s="461"/>
      <c r="G376" s="10">
        <f>G377</f>
        <v>40</v>
      </c>
      <c r="H376" s="10">
        <f>H377</f>
        <v>40</v>
      </c>
    </row>
    <row r="377" spans="1:8" ht="47.25" x14ac:dyDescent="0.25">
      <c r="A377" s="458" t="s">
        <v>133</v>
      </c>
      <c r="B377" s="461" t="s">
        <v>842</v>
      </c>
      <c r="C377" s="461" t="s">
        <v>118</v>
      </c>
      <c r="D377" s="9" t="s">
        <v>150</v>
      </c>
      <c r="E377" s="461" t="s">
        <v>134</v>
      </c>
      <c r="F377" s="461"/>
      <c r="G377" s="10">
        <f>'пр.6.1.ведом.22-23 (2)'!G99</f>
        <v>40</v>
      </c>
      <c r="H377" s="10">
        <f>'пр.6.1.ведом.22-23 (2)'!H99</f>
        <v>40</v>
      </c>
    </row>
    <row r="378" spans="1:8" ht="31.5" x14ac:dyDescent="0.25">
      <c r="A378" s="29" t="s">
        <v>148</v>
      </c>
      <c r="B378" s="461" t="s">
        <v>842</v>
      </c>
      <c r="C378" s="461" t="s">
        <v>118</v>
      </c>
      <c r="D378" s="9" t="s">
        <v>150</v>
      </c>
      <c r="E378" s="461" t="s">
        <v>134</v>
      </c>
      <c r="F378" s="461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61" t="s">
        <v>993</v>
      </c>
      <c r="C379" s="461" t="s">
        <v>118</v>
      </c>
      <c r="D379" s="9" t="s">
        <v>150</v>
      </c>
      <c r="E379" s="5"/>
      <c r="F379" s="461"/>
      <c r="G379" s="10">
        <f>G380</f>
        <v>0</v>
      </c>
      <c r="H379" s="10">
        <f>H380</f>
        <v>0</v>
      </c>
    </row>
    <row r="380" spans="1:8" ht="31.5" hidden="1" x14ac:dyDescent="0.25">
      <c r="A380" s="458" t="s">
        <v>131</v>
      </c>
      <c r="B380" s="461" t="s">
        <v>993</v>
      </c>
      <c r="C380" s="461" t="s">
        <v>118</v>
      </c>
      <c r="D380" s="9" t="s">
        <v>150</v>
      </c>
      <c r="E380" s="5">
        <v>200</v>
      </c>
      <c r="F380" s="461"/>
      <c r="G380" s="10">
        <f>G381</f>
        <v>0</v>
      </c>
      <c r="H380" s="10">
        <f>H381</f>
        <v>0</v>
      </c>
    </row>
    <row r="381" spans="1:8" ht="47.25" hidden="1" x14ac:dyDescent="0.25">
      <c r="A381" s="458" t="s">
        <v>133</v>
      </c>
      <c r="B381" s="461" t="s">
        <v>993</v>
      </c>
      <c r="C381" s="461" t="s">
        <v>118</v>
      </c>
      <c r="D381" s="9" t="s">
        <v>150</v>
      </c>
      <c r="E381" s="5">
        <v>240</v>
      </c>
      <c r="F381" s="461"/>
      <c r="G381" s="10">
        <f>'[1]Пр.5 ведом.21'!G99</f>
        <v>0</v>
      </c>
      <c r="H381" s="10">
        <f>'пр.6.1.ведом.22-23 (2)'!H102</f>
        <v>0</v>
      </c>
    </row>
    <row r="382" spans="1:8" ht="31.5" hidden="1" x14ac:dyDescent="0.25">
      <c r="A382" s="29" t="s">
        <v>148</v>
      </c>
      <c r="B382" s="461" t="s">
        <v>993</v>
      </c>
      <c r="C382" s="461" t="s">
        <v>118</v>
      </c>
      <c r="D382" s="9" t="s">
        <v>150</v>
      </c>
      <c r="E382" s="5">
        <v>240</v>
      </c>
      <c r="F382" s="461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454" t="s">
        <v>992</v>
      </c>
      <c r="C383" s="461" t="s">
        <v>118</v>
      </c>
      <c r="D383" s="9" t="s">
        <v>150</v>
      </c>
      <c r="E383" s="5"/>
      <c r="F383" s="461"/>
      <c r="G383" s="10">
        <f>G384</f>
        <v>0</v>
      </c>
      <c r="H383" s="10">
        <f>H384</f>
        <v>0</v>
      </c>
    </row>
    <row r="384" spans="1:8" ht="31.5" hidden="1" x14ac:dyDescent="0.25">
      <c r="A384" s="458" t="s">
        <v>131</v>
      </c>
      <c r="B384" s="454" t="s">
        <v>992</v>
      </c>
      <c r="C384" s="461" t="s">
        <v>118</v>
      </c>
      <c r="D384" s="9" t="s">
        <v>150</v>
      </c>
      <c r="E384" s="5">
        <v>200</v>
      </c>
      <c r="F384" s="461"/>
      <c r="G384" s="10">
        <f>G385</f>
        <v>0</v>
      </c>
      <c r="H384" s="10">
        <f>H385</f>
        <v>0</v>
      </c>
    </row>
    <row r="385" spans="1:8" ht="47.25" hidden="1" x14ac:dyDescent="0.25">
      <c r="A385" s="458" t="s">
        <v>133</v>
      </c>
      <c r="B385" s="454" t="s">
        <v>992</v>
      </c>
      <c r="C385" s="461" t="s">
        <v>118</v>
      </c>
      <c r="D385" s="9" t="s">
        <v>150</v>
      </c>
      <c r="E385" s="5">
        <v>240</v>
      </c>
      <c r="F385" s="461"/>
      <c r="G385" s="10">
        <f>'пр.6.1.ведом.22-23 (2)'!G105</f>
        <v>0</v>
      </c>
      <c r="H385" s="10">
        <f>'пр.6.1.ведом.22-23 (2)'!H105</f>
        <v>0</v>
      </c>
    </row>
    <row r="386" spans="1:8" ht="31.5" hidden="1" x14ac:dyDescent="0.25">
      <c r="A386" s="29" t="s">
        <v>148</v>
      </c>
      <c r="B386" s="454" t="s">
        <v>992</v>
      </c>
      <c r="C386" s="461" t="s">
        <v>118</v>
      </c>
      <c r="D386" s="9" t="s">
        <v>150</v>
      </c>
      <c r="E386" s="5">
        <v>240</v>
      </c>
      <c r="F386" s="461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16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ht="15.75" x14ac:dyDescent="0.25">
      <c r="A388" s="45" t="s">
        <v>117</v>
      </c>
      <c r="B388" s="461" t="s">
        <v>851</v>
      </c>
      <c r="C388" s="461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ht="78.75" x14ac:dyDescent="0.25">
      <c r="A389" s="29" t="s">
        <v>149</v>
      </c>
      <c r="B389" s="461" t="s">
        <v>851</v>
      </c>
      <c r="C389" s="461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61" t="s">
        <v>844</v>
      </c>
      <c r="C390" s="461" t="s">
        <v>118</v>
      </c>
      <c r="D390" s="9" t="s">
        <v>150</v>
      </c>
      <c r="E390" s="461"/>
      <c r="F390" s="461"/>
      <c r="G390" s="10">
        <f>G391</f>
        <v>0.5</v>
      </c>
      <c r="H390" s="10">
        <f>H391</f>
        <v>0.5</v>
      </c>
    </row>
    <row r="391" spans="1:8" ht="31.5" x14ac:dyDescent="0.25">
      <c r="A391" s="458" t="s">
        <v>131</v>
      </c>
      <c r="B391" s="461" t="s">
        <v>844</v>
      </c>
      <c r="C391" s="461" t="s">
        <v>118</v>
      </c>
      <c r="D391" s="9" t="s">
        <v>150</v>
      </c>
      <c r="E391" s="461" t="s">
        <v>132</v>
      </c>
      <c r="F391" s="461"/>
      <c r="G391" s="10">
        <f>G392</f>
        <v>0.5</v>
      </c>
      <c r="H391" s="10">
        <f>H392</f>
        <v>0.5</v>
      </c>
    </row>
    <row r="392" spans="1:8" ht="47.25" x14ac:dyDescent="0.25">
      <c r="A392" s="458" t="s">
        <v>133</v>
      </c>
      <c r="B392" s="461" t="s">
        <v>844</v>
      </c>
      <c r="C392" s="461" t="s">
        <v>118</v>
      </c>
      <c r="D392" s="9" t="s">
        <v>150</v>
      </c>
      <c r="E392" s="461" t="s">
        <v>134</v>
      </c>
      <c r="F392" s="461"/>
      <c r="G392" s="10">
        <f>'пр.6.1.ведом.22-23 (2)'!G109</f>
        <v>0.5</v>
      </c>
      <c r="H392" s="10">
        <f>'пр.6.1.ведом.22-23 (2)'!H109</f>
        <v>0.5</v>
      </c>
    </row>
    <row r="393" spans="1:8" ht="31.5" x14ac:dyDescent="0.25">
      <c r="A393" s="29" t="s">
        <v>148</v>
      </c>
      <c r="B393" s="461" t="s">
        <v>844</v>
      </c>
      <c r="C393" s="461" t="s">
        <v>118</v>
      </c>
      <c r="D393" s="9" t="s">
        <v>150</v>
      </c>
      <c r="E393" s="461" t="s">
        <v>134</v>
      </c>
      <c r="F393" s="461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454" t="s">
        <v>845</v>
      </c>
      <c r="C394" s="461" t="s">
        <v>118</v>
      </c>
      <c r="D394" s="9" t="s">
        <v>150</v>
      </c>
      <c r="E394" s="461"/>
      <c r="F394" s="461"/>
      <c r="G394" s="10">
        <f>G395</f>
        <v>0</v>
      </c>
      <c r="H394" s="10">
        <f>H395</f>
        <v>0</v>
      </c>
    </row>
    <row r="395" spans="1:8" ht="31.5" hidden="1" x14ac:dyDescent="0.25">
      <c r="A395" s="458" t="s">
        <v>131</v>
      </c>
      <c r="B395" s="454" t="s">
        <v>845</v>
      </c>
      <c r="C395" s="461" t="s">
        <v>118</v>
      </c>
      <c r="D395" s="9" t="s">
        <v>150</v>
      </c>
      <c r="E395" s="461" t="s">
        <v>132</v>
      </c>
      <c r="F395" s="461"/>
      <c r="G395" s="10">
        <f>G396</f>
        <v>0</v>
      </c>
      <c r="H395" s="10">
        <f>H396</f>
        <v>0</v>
      </c>
    </row>
    <row r="396" spans="1:8" ht="47.25" hidden="1" x14ac:dyDescent="0.25">
      <c r="A396" s="458" t="s">
        <v>133</v>
      </c>
      <c r="B396" s="454" t="s">
        <v>845</v>
      </c>
      <c r="C396" s="461" t="s">
        <v>118</v>
      </c>
      <c r="D396" s="9" t="s">
        <v>150</v>
      </c>
      <c r="E396" s="461" t="s">
        <v>134</v>
      </c>
      <c r="F396" s="461"/>
      <c r="G396" s="10">
        <f>'пр.6.1.ведом.22-23 (2)'!G112</f>
        <v>0</v>
      </c>
      <c r="H396" s="10">
        <f>'пр.6.1.ведом.22-23 (2)'!H112</f>
        <v>0</v>
      </c>
    </row>
    <row r="397" spans="1:8" ht="31.5" hidden="1" x14ac:dyDescent="0.25">
      <c r="A397" s="29" t="s">
        <v>148</v>
      </c>
      <c r="B397" s="454" t="s">
        <v>845</v>
      </c>
      <c r="C397" s="461" t="s">
        <v>118</v>
      </c>
      <c r="D397" s="9" t="s">
        <v>150</v>
      </c>
      <c r="E397" s="461" t="s">
        <v>134</v>
      </c>
      <c r="F397" s="461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62" t="s">
        <v>1349</v>
      </c>
      <c r="B398" s="193" t="s">
        <v>254</v>
      </c>
      <c r="C398" s="461"/>
      <c r="D398" s="461"/>
      <c r="E398" s="461"/>
      <c r="F398" s="461"/>
      <c r="G398" s="59">
        <f t="shared" ref="G398:H398" si="48">G400</f>
        <v>10</v>
      </c>
      <c r="H398" s="59">
        <f t="shared" si="48"/>
        <v>10</v>
      </c>
    </row>
    <row r="399" spans="1:8" ht="47.25" x14ac:dyDescent="0.25">
      <c r="A399" s="456" t="s">
        <v>884</v>
      </c>
      <c r="B399" s="457" t="s">
        <v>882</v>
      </c>
      <c r="C399" s="461"/>
      <c r="D399" s="461"/>
      <c r="E399" s="461"/>
      <c r="F399" s="461"/>
      <c r="G399" s="59">
        <f t="shared" ref="G399:H400" si="49">G400</f>
        <v>10</v>
      </c>
      <c r="H399" s="59">
        <f t="shared" si="49"/>
        <v>10</v>
      </c>
    </row>
    <row r="400" spans="1:8" ht="15.75" x14ac:dyDescent="0.25">
      <c r="A400" s="29" t="s">
        <v>243</v>
      </c>
      <c r="B400" s="5" t="s">
        <v>882</v>
      </c>
      <c r="C400" s="461" t="s">
        <v>244</v>
      </c>
      <c r="D400" s="461"/>
      <c r="E400" s="461"/>
      <c r="F400" s="461"/>
      <c r="G400" s="10">
        <f t="shared" si="49"/>
        <v>10</v>
      </c>
      <c r="H400" s="10">
        <f t="shared" si="49"/>
        <v>10</v>
      </c>
    </row>
    <row r="401" spans="1:8" ht="15.75" x14ac:dyDescent="0.25">
      <c r="A401" s="29" t="s">
        <v>252</v>
      </c>
      <c r="B401" s="5" t="s">
        <v>882</v>
      </c>
      <c r="C401" s="461" t="s">
        <v>244</v>
      </c>
      <c r="D401" s="461" t="s">
        <v>215</v>
      </c>
      <c r="E401" s="461"/>
      <c r="F401" s="461"/>
      <c r="G401" s="10">
        <f>G402</f>
        <v>10</v>
      </c>
      <c r="H401" s="10">
        <f>H402</f>
        <v>10</v>
      </c>
    </row>
    <row r="402" spans="1:8" ht="31.5" x14ac:dyDescent="0.25">
      <c r="A402" s="458" t="s">
        <v>883</v>
      </c>
      <c r="B402" s="454" t="s">
        <v>1189</v>
      </c>
      <c r="C402" s="461" t="s">
        <v>244</v>
      </c>
      <c r="D402" s="461" t="s">
        <v>215</v>
      </c>
      <c r="E402" s="461"/>
      <c r="F402" s="461"/>
      <c r="G402" s="10">
        <f t="shared" ref="G402:H403" si="50">G403</f>
        <v>10</v>
      </c>
      <c r="H402" s="10">
        <f t="shared" si="50"/>
        <v>10</v>
      </c>
    </row>
    <row r="403" spans="1:8" ht="31.5" x14ac:dyDescent="0.25">
      <c r="A403" s="458" t="s">
        <v>248</v>
      </c>
      <c r="B403" s="454" t="s">
        <v>1189</v>
      </c>
      <c r="C403" s="461" t="s">
        <v>244</v>
      </c>
      <c r="D403" s="461" t="s">
        <v>215</v>
      </c>
      <c r="E403" s="461" t="s">
        <v>249</v>
      </c>
      <c r="F403" s="461"/>
      <c r="G403" s="10">
        <f t="shared" si="50"/>
        <v>10</v>
      </c>
      <c r="H403" s="10">
        <f t="shared" si="50"/>
        <v>10</v>
      </c>
    </row>
    <row r="404" spans="1:8" ht="47.25" x14ac:dyDescent="0.25">
      <c r="A404" s="458" t="s">
        <v>250</v>
      </c>
      <c r="B404" s="454" t="s">
        <v>1189</v>
      </c>
      <c r="C404" s="461" t="s">
        <v>244</v>
      </c>
      <c r="D404" s="461" t="s">
        <v>215</v>
      </c>
      <c r="E404" s="461" t="s">
        <v>251</v>
      </c>
      <c r="F404" s="461"/>
      <c r="G404" s="10">
        <f>'пр.6.1.ведом.22-23 (2)'!G230</f>
        <v>10</v>
      </c>
      <c r="H404" s="10">
        <f>'пр.6.1.ведом.22-23 (2)'!H230</f>
        <v>10</v>
      </c>
    </row>
    <row r="405" spans="1:8" ht="31.5" x14ac:dyDescent="0.25">
      <c r="A405" s="29" t="s">
        <v>148</v>
      </c>
      <c r="B405" s="454" t="s">
        <v>1189</v>
      </c>
      <c r="C405" s="461" t="s">
        <v>244</v>
      </c>
      <c r="D405" s="461" t="s">
        <v>215</v>
      </c>
      <c r="E405" s="461" t="s">
        <v>251</v>
      </c>
      <c r="F405" s="461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62" t="s">
        <v>1372</v>
      </c>
      <c r="B406" s="3" t="s">
        <v>482</v>
      </c>
      <c r="C406" s="68"/>
      <c r="D406" s="68"/>
      <c r="E406" s="68"/>
      <c r="F406" s="68"/>
      <c r="G406" s="450">
        <f>G407+G414+G429+G440+G447</f>
        <v>52873.1</v>
      </c>
      <c r="H406" s="450">
        <f>H407+H414+H429+H440+H447</f>
        <v>52873.1</v>
      </c>
    </row>
    <row r="407" spans="1:8" ht="47.25" x14ac:dyDescent="0.25">
      <c r="A407" s="456" t="s">
        <v>937</v>
      </c>
      <c r="B407" s="457" t="s">
        <v>1264</v>
      </c>
      <c r="C407" s="7"/>
      <c r="D407" s="7"/>
      <c r="E407" s="218"/>
      <c r="F407" s="193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61" t="s">
        <v>1264</v>
      </c>
      <c r="C408" s="2">
        <v>11</v>
      </c>
      <c r="D408" s="68"/>
      <c r="E408" s="68"/>
      <c r="F408" s="68"/>
      <c r="G408" s="10">
        <f t="shared" ref="G408:H411" si="51">G409</f>
        <v>47819.6</v>
      </c>
      <c r="H408" s="10">
        <f t="shared" si="51"/>
        <v>47819.6</v>
      </c>
    </row>
    <row r="409" spans="1:8" ht="16.5" x14ac:dyDescent="0.25">
      <c r="A409" s="29" t="s">
        <v>492</v>
      </c>
      <c r="B409" s="461" t="s">
        <v>1264</v>
      </c>
      <c r="C409" s="461" t="s">
        <v>491</v>
      </c>
      <c r="D409" s="461" t="s">
        <v>118</v>
      </c>
      <c r="E409" s="71"/>
      <c r="F409" s="5"/>
      <c r="G409" s="10">
        <f t="shared" si="51"/>
        <v>47819.6</v>
      </c>
      <c r="H409" s="10">
        <f t="shared" si="51"/>
        <v>47819.6</v>
      </c>
    </row>
    <row r="410" spans="1:8" ht="47.25" x14ac:dyDescent="0.25">
      <c r="A410" s="458" t="s">
        <v>1294</v>
      </c>
      <c r="B410" s="454" t="s">
        <v>1265</v>
      </c>
      <c r="C410" s="461" t="s">
        <v>491</v>
      </c>
      <c r="D410" s="461" t="s">
        <v>118</v>
      </c>
      <c r="E410" s="71"/>
      <c r="F410" s="5"/>
      <c r="G410" s="10">
        <f t="shared" si="51"/>
        <v>47819.6</v>
      </c>
      <c r="H410" s="10">
        <f t="shared" si="51"/>
        <v>47819.6</v>
      </c>
    </row>
    <row r="411" spans="1:8" ht="47.25" x14ac:dyDescent="0.25">
      <c r="A411" s="29" t="s">
        <v>272</v>
      </c>
      <c r="B411" s="454" t="s">
        <v>1265</v>
      </c>
      <c r="C411" s="461" t="s">
        <v>491</v>
      </c>
      <c r="D411" s="461" t="s">
        <v>118</v>
      </c>
      <c r="E411" s="461" t="s">
        <v>273</v>
      </c>
      <c r="F411" s="5"/>
      <c r="G411" s="10">
        <f t="shared" si="51"/>
        <v>47819.6</v>
      </c>
      <c r="H411" s="10">
        <f t="shared" si="51"/>
        <v>47819.6</v>
      </c>
    </row>
    <row r="412" spans="1:8" ht="15.75" x14ac:dyDescent="0.25">
      <c r="A412" s="29" t="s">
        <v>274</v>
      </c>
      <c r="B412" s="454" t="s">
        <v>1265</v>
      </c>
      <c r="C412" s="461" t="s">
        <v>491</v>
      </c>
      <c r="D412" s="461" t="s">
        <v>118</v>
      </c>
      <c r="E412" s="461" t="s">
        <v>275</v>
      </c>
      <c r="F412" s="5"/>
      <c r="G412" s="10">
        <f>'пр.6.1.ведом.22-23 (2)'!G770</f>
        <v>47819.6</v>
      </c>
      <c r="H412" s="10">
        <f>'пр.6.1.ведом.22-23 (2)'!H770</f>
        <v>47819.6</v>
      </c>
    </row>
    <row r="413" spans="1:8" ht="47.25" x14ac:dyDescent="0.25">
      <c r="A413" s="45" t="s">
        <v>480</v>
      </c>
      <c r="B413" s="454" t="s">
        <v>1265</v>
      </c>
      <c r="C413" s="461" t="s">
        <v>491</v>
      </c>
      <c r="D413" s="461" t="s">
        <v>118</v>
      </c>
      <c r="E413" s="461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456" t="s">
        <v>945</v>
      </c>
      <c r="B414" s="457" t="s">
        <v>1266</v>
      </c>
      <c r="C414" s="7"/>
      <c r="D414" s="7"/>
      <c r="E414" s="7"/>
      <c r="F414" s="193"/>
      <c r="G414" s="59">
        <f>G415</f>
        <v>36</v>
      </c>
      <c r="H414" s="59">
        <f>H415</f>
        <v>36</v>
      </c>
    </row>
    <row r="415" spans="1:8" ht="15.75" x14ac:dyDescent="0.25">
      <c r="A415" s="29" t="s">
        <v>490</v>
      </c>
      <c r="B415" s="454" t="s">
        <v>1266</v>
      </c>
      <c r="C415" s="2">
        <v>11</v>
      </c>
      <c r="D415" s="68"/>
      <c r="E415" s="68"/>
      <c r="F415" s="68"/>
      <c r="G415" s="10">
        <f t="shared" ref="G415:H415" si="52">G416</f>
        <v>36</v>
      </c>
      <c r="H415" s="10">
        <f t="shared" si="52"/>
        <v>36</v>
      </c>
    </row>
    <row r="416" spans="1:8" ht="16.5" x14ac:dyDescent="0.25">
      <c r="A416" s="29" t="s">
        <v>492</v>
      </c>
      <c r="B416" s="454" t="s">
        <v>1266</v>
      </c>
      <c r="C416" s="461" t="s">
        <v>491</v>
      </c>
      <c r="D416" s="461" t="s">
        <v>118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278</v>
      </c>
      <c r="B417" s="454" t="s">
        <v>1324</v>
      </c>
      <c r="C417" s="461" t="s">
        <v>491</v>
      </c>
      <c r="D417" s="461" t="s">
        <v>118</v>
      </c>
      <c r="E417" s="461"/>
      <c r="F417" s="5"/>
      <c r="G417" s="10">
        <f t="shared" ref="G417:H418" si="53">G418</f>
        <v>0</v>
      </c>
      <c r="H417" s="10">
        <f t="shared" si="53"/>
        <v>0</v>
      </c>
    </row>
    <row r="418" spans="1:8" ht="47.25" hidden="1" x14ac:dyDescent="0.25">
      <c r="A418" s="29" t="s">
        <v>272</v>
      </c>
      <c r="B418" s="454" t="s">
        <v>1324</v>
      </c>
      <c r="C418" s="461" t="s">
        <v>491</v>
      </c>
      <c r="D418" s="461" t="s">
        <v>118</v>
      </c>
      <c r="E418" s="461" t="s">
        <v>273</v>
      </c>
      <c r="F418" s="5"/>
      <c r="G418" s="10">
        <f t="shared" si="53"/>
        <v>0</v>
      </c>
      <c r="H418" s="10">
        <f t="shared" si="53"/>
        <v>0</v>
      </c>
    </row>
    <row r="419" spans="1:8" ht="15.75" hidden="1" x14ac:dyDescent="0.25">
      <c r="A419" s="29" t="s">
        <v>274</v>
      </c>
      <c r="B419" s="454" t="s">
        <v>1324</v>
      </c>
      <c r="C419" s="461" t="s">
        <v>491</v>
      </c>
      <c r="D419" s="461" t="s">
        <v>118</v>
      </c>
      <c r="E419" s="461" t="s">
        <v>275</v>
      </c>
      <c r="F419" s="5"/>
      <c r="G419" s="10">
        <f>'пр.6.1.ведом.22-23 (2)'!G774</f>
        <v>0</v>
      </c>
      <c r="H419" s="10">
        <f>'пр.6.1.ведом.22-23 (2)'!H774</f>
        <v>0</v>
      </c>
    </row>
    <row r="420" spans="1:8" ht="47.25" hidden="1" x14ac:dyDescent="0.25">
      <c r="A420" s="45" t="s">
        <v>480</v>
      </c>
      <c r="B420" s="454" t="s">
        <v>1324</v>
      </c>
      <c r="C420" s="461" t="s">
        <v>491</v>
      </c>
      <c r="D420" s="461" t="s">
        <v>118</v>
      </c>
      <c r="E420" s="461" t="s">
        <v>275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280</v>
      </c>
      <c r="B421" s="454" t="s">
        <v>1325</v>
      </c>
      <c r="C421" s="461" t="s">
        <v>491</v>
      </c>
      <c r="D421" s="461" t="s">
        <v>118</v>
      </c>
      <c r="E421" s="461"/>
      <c r="F421" s="5"/>
      <c r="G421" s="10">
        <f t="shared" ref="G421:H422" si="54">G422</f>
        <v>0</v>
      </c>
      <c r="H421" s="10">
        <f t="shared" si="54"/>
        <v>0</v>
      </c>
    </row>
    <row r="422" spans="1:8" ht="47.25" hidden="1" x14ac:dyDescent="0.25">
      <c r="A422" s="29" t="s">
        <v>272</v>
      </c>
      <c r="B422" s="454" t="s">
        <v>1325</v>
      </c>
      <c r="C422" s="461" t="s">
        <v>491</v>
      </c>
      <c r="D422" s="461" t="s">
        <v>118</v>
      </c>
      <c r="E422" s="461" t="s">
        <v>273</v>
      </c>
      <c r="F422" s="5"/>
      <c r="G422" s="10">
        <f t="shared" si="54"/>
        <v>0</v>
      </c>
      <c r="H422" s="10">
        <f t="shared" si="54"/>
        <v>0</v>
      </c>
    </row>
    <row r="423" spans="1:8" ht="15.75" hidden="1" x14ac:dyDescent="0.25">
      <c r="A423" s="29" t="s">
        <v>274</v>
      </c>
      <c r="B423" s="454" t="s">
        <v>1325</v>
      </c>
      <c r="C423" s="461" t="s">
        <v>491</v>
      </c>
      <c r="D423" s="461" t="s">
        <v>118</v>
      </c>
      <c r="E423" s="461" t="s">
        <v>275</v>
      </c>
      <c r="F423" s="5"/>
      <c r="G423" s="10">
        <f>'пр.6.1.ведом.22-23 (2)'!G777</f>
        <v>0</v>
      </c>
      <c r="H423" s="10">
        <f>'пр.6.1.ведом.22-23 (2)'!H777</f>
        <v>0</v>
      </c>
    </row>
    <row r="424" spans="1:8" ht="47.25" hidden="1" x14ac:dyDescent="0.25">
      <c r="A424" s="45" t="s">
        <v>480</v>
      </c>
      <c r="B424" s="454" t="s">
        <v>1325</v>
      </c>
      <c r="C424" s="461" t="s">
        <v>491</v>
      </c>
      <c r="D424" s="461" t="s">
        <v>118</v>
      </c>
      <c r="E424" s="461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458" t="s">
        <v>830</v>
      </c>
      <c r="B425" s="454" t="s">
        <v>1267</v>
      </c>
      <c r="C425" s="461" t="s">
        <v>491</v>
      </c>
      <c r="D425" s="461" t="s">
        <v>118</v>
      </c>
      <c r="E425" s="461"/>
      <c r="F425" s="5"/>
      <c r="G425" s="10">
        <f>G426</f>
        <v>36</v>
      </c>
      <c r="H425" s="10">
        <f>H426</f>
        <v>36</v>
      </c>
    </row>
    <row r="426" spans="1:8" ht="47.25" x14ac:dyDescent="0.25">
      <c r="A426" s="458" t="s">
        <v>272</v>
      </c>
      <c r="B426" s="454" t="s">
        <v>1267</v>
      </c>
      <c r="C426" s="461" t="s">
        <v>491</v>
      </c>
      <c r="D426" s="461" t="s">
        <v>118</v>
      </c>
      <c r="E426" s="461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458" t="s">
        <v>274</v>
      </c>
      <c r="B427" s="454" t="s">
        <v>1267</v>
      </c>
      <c r="C427" s="461" t="s">
        <v>491</v>
      </c>
      <c r="D427" s="461" t="s">
        <v>118</v>
      </c>
      <c r="E427" s="461" t="s">
        <v>275</v>
      </c>
      <c r="F427" s="5"/>
      <c r="G427" s="10">
        <f>'пр.6.1.ведом.22-23 (2)'!G781</f>
        <v>36</v>
      </c>
      <c r="H427" s="10">
        <f>'пр.6.1.ведом.22-23 (2)'!H781</f>
        <v>36</v>
      </c>
    </row>
    <row r="428" spans="1:8" ht="47.25" x14ac:dyDescent="0.25">
      <c r="A428" s="45" t="s">
        <v>480</v>
      </c>
      <c r="B428" s="454" t="s">
        <v>1267</v>
      </c>
      <c r="C428" s="461" t="s">
        <v>491</v>
      </c>
      <c r="D428" s="461" t="s">
        <v>118</v>
      </c>
      <c r="E428" s="461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456" t="s">
        <v>947</v>
      </c>
      <c r="B429" s="457" t="s">
        <v>1268</v>
      </c>
      <c r="C429" s="7"/>
      <c r="D429" s="7"/>
      <c r="E429" s="7"/>
      <c r="F429" s="193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454" t="s">
        <v>1268</v>
      </c>
      <c r="C430" s="2">
        <v>11</v>
      </c>
      <c r="D430" s="68"/>
      <c r="E430" s="68"/>
      <c r="F430" s="68"/>
      <c r="G430" s="10">
        <f t="shared" ref="G430:H430" si="55">G431</f>
        <v>1204</v>
      </c>
      <c r="H430" s="10">
        <f t="shared" si="55"/>
        <v>1204</v>
      </c>
    </row>
    <row r="431" spans="1:8" ht="16.5" x14ac:dyDescent="0.25">
      <c r="A431" s="29" t="s">
        <v>492</v>
      </c>
      <c r="B431" s="454" t="s">
        <v>1268</v>
      </c>
      <c r="C431" s="461" t="s">
        <v>491</v>
      </c>
      <c r="D431" s="461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454" t="s">
        <v>1306</v>
      </c>
      <c r="C432" s="461" t="s">
        <v>491</v>
      </c>
      <c r="D432" s="461" t="s">
        <v>118</v>
      </c>
      <c r="E432" s="461"/>
      <c r="F432" s="5"/>
      <c r="G432" s="10">
        <f t="shared" ref="G432:H433" si="56">G433</f>
        <v>0</v>
      </c>
      <c r="H432" s="10">
        <f t="shared" si="56"/>
        <v>0</v>
      </c>
    </row>
    <row r="433" spans="1:8" ht="47.25" hidden="1" x14ac:dyDescent="0.25">
      <c r="A433" s="29" t="s">
        <v>272</v>
      </c>
      <c r="B433" s="454" t="s">
        <v>1306</v>
      </c>
      <c r="C433" s="461" t="s">
        <v>491</v>
      </c>
      <c r="D433" s="461" t="s">
        <v>118</v>
      </c>
      <c r="E433" s="461" t="s">
        <v>273</v>
      </c>
      <c r="F433" s="5"/>
      <c r="G433" s="10">
        <f t="shared" si="56"/>
        <v>0</v>
      </c>
      <c r="H433" s="10">
        <f t="shared" si="56"/>
        <v>0</v>
      </c>
    </row>
    <row r="434" spans="1:8" ht="15.75" hidden="1" x14ac:dyDescent="0.25">
      <c r="A434" s="29" t="s">
        <v>274</v>
      </c>
      <c r="B434" s="454" t="s">
        <v>1306</v>
      </c>
      <c r="C434" s="461" t="s">
        <v>491</v>
      </c>
      <c r="D434" s="461" t="s">
        <v>118</v>
      </c>
      <c r="E434" s="461" t="s">
        <v>275</v>
      </c>
      <c r="F434" s="5"/>
      <c r="G434" s="10">
        <f>'пр.6.1.ведом.22-23 (2)'!G785</f>
        <v>0</v>
      </c>
      <c r="H434" s="10">
        <f>'пр.6.1.ведом.22-23 (2)'!H785</f>
        <v>0</v>
      </c>
    </row>
    <row r="435" spans="1:8" ht="47.25" hidden="1" x14ac:dyDescent="0.25">
      <c r="A435" s="45" t="s">
        <v>480</v>
      </c>
      <c r="B435" s="454" t="s">
        <v>1306</v>
      </c>
      <c r="C435" s="461" t="s">
        <v>491</v>
      </c>
      <c r="D435" s="461" t="s">
        <v>118</v>
      </c>
      <c r="E435" s="461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454" t="s">
        <v>1269</v>
      </c>
      <c r="C436" s="461" t="s">
        <v>491</v>
      </c>
      <c r="D436" s="461" t="s">
        <v>118</v>
      </c>
      <c r="E436" s="461"/>
      <c r="F436" s="5"/>
      <c r="G436" s="10">
        <f t="shared" ref="G436:H437" si="57">G437</f>
        <v>1204</v>
      </c>
      <c r="H436" s="10">
        <f t="shared" si="57"/>
        <v>1204</v>
      </c>
    </row>
    <row r="437" spans="1:8" ht="47.25" x14ac:dyDescent="0.25">
      <c r="A437" s="31" t="s">
        <v>272</v>
      </c>
      <c r="B437" s="454" t="s">
        <v>1269</v>
      </c>
      <c r="C437" s="461" t="s">
        <v>491</v>
      </c>
      <c r="D437" s="461" t="s">
        <v>118</v>
      </c>
      <c r="E437" s="461" t="s">
        <v>273</v>
      </c>
      <c r="F437" s="5"/>
      <c r="G437" s="10">
        <f t="shared" si="57"/>
        <v>1204</v>
      </c>
      <c r="H437" s="10">
        <f t="shared" si="57"/>
        <v>1204</v>
      </c>
    </row>
    <row r="438" spans="1:8" ht="15.75" x14ac:dyDescent="0.25">
      <c r="A438" s="31" t="s">
        <v>274</v>
      </c>
      <c r="B438" s="454" t="s">
        <v>1269</v>
      </c>
      <c r="C438" s="461" t="s">
        <v>491</v>
      </c>
      <c r="D438" s="461" t="s">
        <v>118</v>
      </c>
      <c r="E438" s="461" t="s">
        <v>275</v>
      </c>
      <c r="F438" s="5"/>
      <c r="G438" s="10">
        <f>'пр.6.1.ведом.22-23 (2)'!G788</f>
        <v>1204</v>
      </c>
      <c r="H438" s="10">
        <f>'пр.6.1.ведом.22-23 (2)'!H788</f>
        <v>1204</v>
      </c>
    </row>
    <row r="439" spans="1:8" ht="47.25" x14ac:dyDescent="0.25">
      <c r="A439" s="45" t="s">
        <v>480</v>
      </c>
      <c r="B439" s="454" t="s">
        <v>1269</v>
      </c>
      <c r="C439" s="461" t="s">
        <v>491</v>
      </c>
      <c r="D439" s="461" t="s">
        <v>118</v>
      </c>
      <c r="E439" s="461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456" t="s">
        <v>900</v>
      </c>
      <c r="B440" s="457" t="s">
        <v>1270</v>
      </c>
      <c r="C440" s="7"/>
      <c r="D440" s="7"/>
      <c r="E440" s="7"/>
      <c r="F440" s="193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454" t="s">
        <v>1270</v>
      </c>
      <c r="C441" s="2">
        <v>11</v>
      </c>
      <c r="D441" s="68"/>
      <c r="E441" s="68"/>
      <c r="F441" s="68"/>
      <c r="G441" s="10">
        <f t="shared" ref="G441:H444" si="58">G442</f>
        <v>813.5</v>
      </c>
      <c r="H441" s="10">
        <f t="shared" si="58"/>
        <v>813.5</v>
      </c>
    </row>
    <row r="442" spans="1:8" ht="16.5" x14ac:dyDescent="0.25">
      <c r="A442" s="29" t="s">
        <v>492</v>
      </c>
      <c r="B442" s="454" t="s">
        <v>1270</v>
      </c>
      <c r="C442" s="461" t="s">
        <v>491</v>
      </c>
      <c r="D442" s="461" t="s">
        <v>118</v>
      </c>
      <c r="E442" s="71"/>
      <c r="F442" s="5"/>
      <c r="G442" s="10">
        <f t="shared" si="58"/>
        <v>813.5</v>
      </c>
      <c r="H442" s="10">
        <f t="shared" si="58"/>
        <v>813.5</v>
      </c>
    </row>
    <row r="443" spans="1:8" ht="110.25" x14ac:dyDescent="0.25">
      <c r="A443" s="31" t="s">
        <v>464</v>
      </c>
      <c r="B443" s="454" t="s">
        <v>1405</v>
      </c>
      <c r="C443" s="461" t="s">
        <v>491</v>
      </c>
      <c r="D443" s="461" t="s">
        <v>118</v>
      </c>
      <c r="E443" s="461"/>
      <c r="F443" s="5"/>
      <c r="G443" s="10">
        <f t="shared" si="58"/>
        <v>813.5</v>
      </c>
      <c r="H443" s="10">
        <f t="shared" si="58"/>
        <v>813.5</v>
      </c>
    </row>
    <row r="444" spans="1:8" ht="47.25" x14ac:dyDescent="0.25">
      <c r="A444" s="458" t="s">
        <v>272</v>
      </c>
      <c r="B444" s="454" t="s">
        <v>1405</v>
      </c>
      <c r="C444" s="461" t="s">
        <v>491</v>
      </c>
      <c r="D444" s="461" t="s">
        <v>118</v>
      </c>
      <c r="E444" s="461" t="s">
        <v>273</v>
      </c>
      <c r="F444" s="5"/>
      <c r="G444" s="10">
        <f t="shared" si="58"/>
        <v>813.5</v>
      </c>
      <c r="H444" s="10">
        <f t="shared" si="58"/>
        <v>813.5</v>
      </c>
    </row>
    <row r="445" spans="1:8" ht="15.75" x14ac:dyDescent="0.25">
      <c r="A445" s="458" t="s">
        <v>274</v>
      </c>
      <c r="B445" s="454" t="s">
        <v>1405</v>
      </c>
      <c r="C445" s="461" t="s">
        <v>491</v>
      </c>
      <c r="D445" s="461" t="s">
        <v>118</v>
      </c>
      <c r="E445" s="461" t="s">
        <v>275</v>
      </c>
      <c r="F445" s="5"/>
      <c r="G445" s="10">
        <f>'пр.6.1.ведом.22-23 (2)'!G792</f>
        <v>813.5</v>
      </c>
      <c r="H445" s="10">
        <f>'пр.6.1.ведом.22-23 (2)'!H792</f>
        <v>813.5</v>
      </c>
    </row>
    <row r="446" spans="1:8" ht="47.25" x14ac:dyDescent="0.25">
      <c r="A446" s="45" t="s">
        <v>480</v>
      </c>
      <c r="B446" s="454" t="s">
        <v>1405</v>
      </c>
      <c r="C446" s="461" t="s">
        <v>491</v>
      </c>
      <c r="D446" s="461" t="s">
        <v>118</v>
      </c>
      <c r="E446" s="461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1272</v>
      </c>
      <c r="C447" s="7"/>
      <c r="D447" s="7"/>
      <c r="E447" s="7"/>
      <c r="F447" s="193"/>
      <c r="G447" s="450">
        <f t="shared" ref="G447:H449" si="59">G448</f>
        <v>3000</v>
      </c>
      <c r="H447" s="450">
        <f t="shared" si="59"/>
        <v>3000</v>
      </c>
    </row>
    <row r="448" spans="1:8" ht="15.75" x14ac:dyDescent="0.25">
      <c r="A448" s="29" t="s">
        <v>490</v>
      </c>
      <c r="B448" s="461" t="s">
        <v>1272</v>
      </c>
      <c r="C448" s="461" t="s">
        <v>491</v>
      </c>
      <c r="D448" s="461"/>
      <c r="E448" s="461"/>
      <c r="F448" s="5"/>
      <c r="G448" s="451">
        <f t="shared" si="59"/>
        <v>3000</v>
      </c>
      <c r="H448" s="451">
        <f t="shared" si="59"/>
        <v>3000</v>
      </c>
    </row>
    <row r="449" spans="1:12" ht="31.5" x14ac:dyDescent="0.25">
      <c r="A449" s="458" t="s">
        <v>500</v>
      </c>
      <c r="B449" s="461" t="s">
        <v>1272</v>
      </c>
      <c r="C449" s="461" t="s">
        <v>491</v>
      </c>
      <c r="D449" s="461" t="s">
        <v>234</v>
      </c>
      <c r="E449" s="461"/>
      <c r="F449" s="5"/>
      <c r="G449" s="451">
        <f t="shared" si="59"/>
        <v>3000</v>
      </c>
      <c r="H449" s="451">
        <f t="shared" si="59"/>
        <v>3000</v>
      </c>
    </row>
    <row r="450" spans="1:12" ht="31.5" x14ac:dyDescent="0.25">
      <c r="A450" s="29" t="s">
        <v>952</v>
      </c>
      <c r="B450" s="461" t="s">
        <v>1273</v>
      </c>
      <c r="C450" s="461" t="s">
        <v>491</v>
      </c>
      <c r="D450" s="461" t="s">
        <v>234</v>
      </c>
      <c r="E450" s="461"/>
      <c r="F450" s="5"/>
      <c r="G450" s="451">
        <f>G451+G454</f>
        <v>3000</v>
      </c>
      <c r="H450" s="451">
        <f>H451+H454</f>
        <v>3000</v>
      </c>
    </row>
    <row r="451" spans="1:12" ht="94.5" x14ac:dyDescent="0.25">
      <c r="A451" s="458" t="s">
        <v>127</v>
      </c>
      <c r="B451" s="461" t="s">
        <v>1273</v>
      </c>
      <c r="C451" s="461" t="s">
        <v>491</v>
      </c>
      <c r="D451" s="461" t="s">
        <v>234</v>
      </c>
      <c r="E451" s="461" t="s">
        <v>128</v>
      </c>
      <c r="F451" s="5"/>
      <c r="G451" s="451">
        <f t="shared" ref="G451:H451" si="60">G452</f>
        <v>2500</v>
      </c>
      <c r="H451" s="451">
        <f t="shared" si="60"/>
        <v>2500</v>
      </c>
    </row>
    <row r="452" spans="1:12" ht="31.5" x14ac:dyDescent="0.25">
      <c r="A452" s="458" t="s">
        <v>342</v>
      </c>
      <c r="B452" s="461" t="s">
        <v>1273</v>
      </c>
      <c r="C452" s="461" t="s">
        <v>491</v>
      </c>
      <c r="D452" s="461" t="s">
        <v>234</v>
      </c>
      <c r="E452" s="461" t="s">
        <v>209</v>
      </c>
      <c r="F452" s="5"/>
      <c r="G452" s="451">
        <f>'пр.6.1.ведом.22-23 (2)'!G828</f>
        <v>2500</v>
      </c>
      <c r="H452" s="451">
        <f>'пр.6.1.ведом.22-23 (2)'!H828</f>
        <v>2500</v>
      </c>
    </row>
    <row r="453" spans="1:12" ht="47.25" x14ac:dyDescent="0.25">
      <c r="A453" s="45" t="s">
        <v>480</v>
      </c>
      <c r="B453" s="461" t="s">
        <v>1273</v>
      </c>
      <c r="C453" s="461" t="s">
        <v>491</v>
      </c>
      <c r="D453" s="461" t="s">
        <v>234</v>
      </c>
      <c r="E453" s="461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61" t="s">
        <v>1273</v>
      </c>
      <c r="C454" s="461" t="s">
        <v>491</v>
      </c>
      <c r="D454" s="461" t="s">
        <v>234</v>
      </c>
      <c r="E454" s="461" t="s">
        <v>132</v>
      </c>
      <c r="F454" s="5"/>
      <c r="G454" s="451">
        <f t="shared" ref="G454:H454" si="61">G455</f>
        <v>500</v>
      </c>
      <c r="H454" s="451">
        <f t="shared" si="61"/>
        <v>500</v>
      </c>
    </row>
    <row r="455" spans="1:12" ht="47.25" x14ac:dyDescent="0.25">
      <c r="A455" s="29" t="s">
        <v>133</v>
      </c>
      <c r="B455" s="461" t="s">
        <v>1273</v>
      </c>
      <c r="C455" s="461" t="s">
        <v>491</v>
      </c>
      <c r="D455" s="461" t="s">
        <v>234</v>
      </c>
      <c r="E455" s="461" t="s">
        <v>134</v>
      </c>
      <c r="F455" s="5"/>
      <c r="G455" s="451">
        <f>'пр.6.1.ведом.22-23 (2)'!G830</f>
        <v>500</v>
      </c>
      <c r="H455" s="451">
        <f>'пр.6.1.ведом.22-23 (2)'!H830</f>
        <v>500</v>
      </c>
    </row>
    <row r="456" spans="1:12" ht="47.25" x14ac:dyDescent="0.25">
      <c r="A456" s="45" t="s">
        <v>480</v>
      </c>
      <c r="B456" s="461" t="s">
        <v>1273</v>
      </c>
      <c r="C456" s="461" t="s">
        <v>491</v>
      </c>
      <c r="D456" s="461" t="s">
        <v>234</v>
      </c>
      <c r="E456" s="461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ht="78.75" hidden="1" x14ac:dyDescent="0.25">
      <c r="A457" s="456" t="s">
        <v>1332</v>
      </c>
      <c r="B457" s="457" t="s">
        <v>1271</v>
      </c>
      <c r="C457" s="7"/>
      <c r="D457" s="7"/>
      <c r="E457" s="7"/>
      <c r="F457" s="193"/>
      <c r="G457" s="59">
        <f>G458</f>
        <v>769.23</v>
      </c>
      <c r="H457" s="10"/>
    </row>
    <row r="458" spans="1:12" ht="15.75" hidden="1" x14ac:dyDescent="0.25">
      <c r="A458" s="29" t="s">
        <v>490</v>
      </c>
      <c r="B458" s="454" t="s">
        <v>1271</v>
      </c>
      <c r="C458" s="461" t="s">
        <v>491</v>
      </c>
      <c r="D458" s="461"/>
      <c r="E458" s="461"/>
      <c r="F458" s="5"/>
      <c r="G458" s="10">
        <f>G459</f>
        <v>769.23</v>
      </c>
      <c r="H458" s="10"/>
    </row>
    <row r="459" spans="1:12" ht="15.75" hidden="1" x14ac:dyDescent="0.25">
      <c r="A459" s="29" t="s">
        <v>492</v>
      </c>
      <c r="B459" s="454" t="s">
        <v>1271</v>
      </c>
      <c r="C459" s="461" t="s">
        <v>491</v>
      </c>
      <c r="D459" s="461" t="s">
        <v>118</v>
      </c>
      <c r="E459" s="461"/>
      <c r="F459" s="5"/>
      <c r="G459" s="10">
        <f>G460</f>
        <v>769.23</v>
      </c>
      <c r="H459" s="10"/>
    </row>
    <row r="460" spans="1:12" ht="63" hidden="1" x14ac:dyDescent="0.25">
      <c r="A460" s="458" t="s">
        <v>1194</v>
      </c>
      <c r="B460" s="454" t="s">
        <v>1326</v>
      </c>
      <c r="C460" s="461" t="s">
        <v>491</v>
      </c>
      <c r="D460" s="461" t="s">
        <v>118</v>
      </c>
      <c r="E460" s="461"/>
      <c r="F460" s="5"/>
      <c r="G460" s="10">
        <f>G461</f>
        <v>769.23</v>
      </c>
      <c r="H460" s="10"/>
    </row>
    <row r="461" spans="1:12" ht="47.25" hidden="1" x14ac:dyDescent="0.25">
      <c r="A461" s="458" t="s">
        <v>272</v>
      </c>
      <c r="B461" s="454" t="s">
        <v>1326</v>
      </c>
      <c r="C461" s="461" t="s">
        <v>491</v>
      </c>
      <c r="D461" s="461" t="s">
        <v>118</v>
      </c>
      <c r="E461" s="461" t="s">
        <v>273</v>
      </c>
      <c r="F461" s="5"/>
      <c r="G461" s="10">
        <f>G462</f>
        <v>769.23</v>
      </c>
      <c r="H461" s="10"/>
    </row>
    <row r="462" spans="1:12" ht="15.75" hidden="1" x14ac:dyDescent="0.25">
      <c r="A462" s="458" t="s">
        <v>274</v>
      </c>
      <c r="B462" s="454" t="s">
        <v>1326</v>
      </c>
      <c r="C462" s="461" t="s">
        <v>491</v>
      </c>
      <c r="D462" s="461" t="s">
        <v>118</v>
      </c>
      <c r="E462" s="461" t="s">
        <v>275</v>
      </c>
      <c r="F462" s="5"/>
      <c r="G462" s="10">
        <f>'[1]Пр.5 ведом.21'!G784</f>
        <v>769.23</v>
      </c>
      <c r="H462" s="10"/>
    </row>
    <row r="463" spans="1:12" ht="47.25" hidden="1" x14ac:dyDescent="0.25">
      <c r="A463" s="45" t="s">
        <v>480</v>
      </c>
      <c r="B463" s="454" t="s">
        <v>1326</v>
      </c>
      <c r="C463" s="461" t="s">
        <v>491</v>
      </c>
      <c r="D463" s="461" t="s">
        <v>118</v>
      </c>
      <c r="E463" s="461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62" t="s">
        <v>1354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 s="449">
        <v>81484.899999999994</v>
      </c>
      <c r="J464" s="22">
        <f>I464-G464</f>
        <v>1.0000000009313226E-2</v>
      </c>
      <c r="K464" s="449">
        <v>82684.899999999994</v>
      </c>
      <c r="L464" s="22">
        <f>K464-H464</f>
        <v>1.0000000009313226E-2</v>
      </c>
    </row>
    <row r="465" spans="1:8" ht="47.25" x14ac:dyDescent="0.25">
      <c r="A465" s="456" t="s">
        <v>1300</v>
      </c>
      <c r="B465" s="457" t="s">
        <v>1204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ht="15.75" x14ac:dyDescent="0.25">
      <c r="A466" s="458" t="s">
        <v>263</v>
      </c>
      <c r="B466" s="454" t="s">
        <v>1204</v>
      </c>
      <c r="C466" s="461" t="s">
        <v>264</v>
      </c>
      <c r="D466" s="461"/>
      <c r="E466" s="461"/>
      <c r="F466" s="2"/>
      <c r="G466" s="10">
        <f>G467</f>
        <v>15854.01</v>
      </c>
      <c r="H466" s="10">
        <f>H467</f>
        <v>15854.01</v>
      </c>
    </row>
    <row r="467" spans="1:8" ht="15.75" x14ac:dyDescent="0.25">
      <c r="A467" s="458" t="s">
        <v>265</v>
      </c>
      <c r="B467" s="454" t="s">
        <v>1204</v>
      </c>
      <c r="C467" s="461" t="s">
        <v>264</v>
      </c>
      <c r="D467" s="461" t="s">
        <v>215</v>
      </c>
      <c r="E467" s="461"/>
      <c r="F467" s="2"/>
      <c r="G467" s="10">
        <f>G468</f>
        <v>15854.01</v>
      </c>
      <c r="H467" s="10">
        <f>H468</f>
        <v>15854.01</v>
      </c>
    </row>
    <row r="468" spans="1:8" ht="31.5" x14ac:dyDescent="0.25">
      <c r="A468" s="458" t="s">
        <v>800</v>
      </c>
      <c r="B468" s="454" t="s">
        <v>1205</v>
      </c>
      <c r="C468" s="461" t="s">
        <v>264</v>
      </c>
      <c r="D468" s="461" t="s">
        <v>215</v>
      </c>
      <c r="E468" s="461"/>
      <c r="F468" s="2"/>
      <c r="G468" s="10">
        <f>G469+G472+G475</f>
        <v>15854.01</v>
      </c>
      <c r="H468" s="10">
        <f>H469+H472+H475</f>
        <v>15854.01</v>
      </c>
    </row>
    <row r="469" spans="1:8" ht="94.5" x14ac:dyDescent="0.25">
      <c r="A469" s="458" t="s">
        <v>127</v>
      </c>
      <c r="B469" s="454" t="s">
        <v>1205</v>
      </c>
      <c r="C469" s="461" t="s">
        <v>264</v>
      </c>
      <c r="D469" s="461" t="s">
        <v>215</v>
      </c>
      <c r="E469" s="454" t="s">
        <v>128</v>
      </c>
      <c r="F469" s="2"/>
      <c r="G469" s="10">
        <f>G470</f>
        <v>14172.31</v>
      </c>
      <c r="H469" s="10">
        <f>H470</f>
        <v>14172.31</v>
      </c>
    </row>
    <row r="470" spans="1:8" ht="31.5" x14ac:dyDescent="0.25">
      <c r="A470" s="46" t="s">
        <v>342</v>
      </c>
      <c r="B470" s="454" t="s">
        <v>1205</v>
      </c>
      <c r="C470" s="461" t="s">
        <v>264</v>
      </c>
      <c r="D470" s="461" t="s">
        <v>215</v>
      </c>
      <c r="E470" s="454" t="s">
        <v>209</v>
      </c>
      <c r="F470" s="2"/>
      <c r="G470" s="10">
        <f>'пр.6.1.ведом.22-23 (2)'!G299</f>
        <v>14172.31</v>
      </c>
      <c r="H470" s="10">
        <f>'пр.6.1.ведом.22-23 (2)'!H299</f>
        <v>14172.31</v>
      </c>
    </row>
    <row r="471" spans="1:8" ht="47.25" x14ac:dyDescent="0.25">
      <c r="A471" s="45" t="s">
        <v>261</v>
      </c>
      <c r="B471" s="454" t="s">
        <v>1205</v>
      </c>
      <c r="C471" s="461" t="s">
        <v>264</v>
      </c>
      <c r="D471" s="461" t="s">
        <v>215</v>
      </c>
      <c r="E471" s="454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ht="31.5" x14ac:dyDescent="0.25">
      <c r="A472" s="458" t="s">
        <v>131</v>
      </c>
      <c r="B472" s="454" t="s">
        <v>1205</v>
      </c>
      <c r="C472" s="461" t="s">
        <v>264</v>
      </c>
      <c r="D472" s="461" t="s">
        <v>215</v>
      </c>
      <c r="E472" s="454" t="s">
        <v>132</v>
      </c>
      <c r="F472" s="2"/>
      <c r="G472" s="10">
        <f>G473</f>
        <v>1603.7</v>
      </c>
      <c r="H472" s="10">
        <f>H473</f>
        <v>1603.7</v>
      </c>
    </row>
    <row r="473" spans="1:8" ht="47.25" x14ac:dyDescent="0.25">
      <c r="A473" s="458" t="s">
        <v>133</v>
      </c>
      <c r="B473" s="454" t="s">
        <v>1205</v>
      </c>
      <c r="C473" s="461" t="s">
        <v>264</v>
      </c>
      <c r="D473" s="461" t="s">
        <v>215</v>
      </c>
      <c r="E473" s="454" t="s">
        <v>134</v>
      </c>
      <c r="F473" s="2"/>
      <c r="G473" s="10">
        <f>'пр.6.1.ведом.22-23 (2)'!G301</f>
        <v>1603.7</v>
      </c>
      <c r="H473" s="10">
        <f>'пр.6.1.ведом.22-23 (2)'!H301</f>
        <v>1603.7</v>
      </c>
    </row>
    <row r="474" spans="1:8" ht="47.25" x14ac:dyDescent="0.25">
      <c r="A474" s="45" t="s">
        <v>261</v>
      </c>
      <c r="B474" s="454" t="s">
        <v>1205</v>
      </c>
      <c r="C474" s="461" t="s">
        <v>264</v>
      </c>
      <c r="D474" s="461" t="s">
        <v>215</v>
      </c>
      <c r="E474" s="454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ht="15.75" x14ac:dyDescent="0.25">
      <c r="A475" s="458" t="s">
        <v>135</v>
      </c>
      <c r="B475" s="454" t="s">
        <v>1205</v>
      </c>
      <c r="C475" s="461" t="s">
        <v>264</v>
      </c>
      <c r="D475" s="461" t="s">
        <v>215</v>
      </c>
      <c r="E475" s="454" t="s">
        <v>145</v>
      </c>
      <c r="F475" s="2"/>
      <c r="G475" s="10">
        <f>G476</f>
        <v>78</v>
      </c>
      <c r="H475" s="10">
        <f>H476</f>
        <v>78</v>
      </c>
    </row>
    <row r="476" spans="1:8" ht="15.75" x14ac:dyDescent="0.25">
      <c r="A476" s="458" t="s">
        <v>704</v>
      </c>
      <c r="B476" s="454" t="s">
        <v>1205</v>
      </c>
      <c r="C476" s="461" t="s">
        <v>264</v>
      </c>
      <c r="D476" s="461" t="s">
        <v>215</v>
      </c>
      <c r="E476" s="454" t="s">
        <v>138</v>
      </c>
      <c r="F476" s="2"/>
      <c r="G476" s="10">
        <f>'пр.6.1.ведом.22-23 (2)'!G303</f>
        <v>78</v>
      </c>
      <c r="H476" s="10">
        <f>'пр.6.1.ведом.22-23 (2)'!H303</f>
        <v>78</v>
      </c>
    </row>
    <row r="477" spans="1:8" ht="47.25" x14ac:dyDescent="0.25">
      <c r="A477" s="45" t="s">
        <v>261</v>
      </c>
      <c r="B477" s="454" t="s">
        <v>1205</v>
      </c>
      <c r="C477" s="461" t="s">
        <v>264</v>
      </c>
      <c r="D477" s="461" t="s">
        <v>215</v>
      </c>
      <c r="E477" s="454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454" t="s">
        <v>1204</v>
      </c>
      <c r="C478" s="461" t="s">
        <v>299</v>
      </c>
      <c r="D478" s="73"/>
      <c r="E478" s="73"/>
      <c r="F478" s="2"/>
      <c r="G478" s="10">
        <f t="shared" ref="G478:H479" si="62">G479</f>
        <v>51840.479999999996</v>
      </c>
      <c r="H478" s="10">
        <f t="shared" si="62"/>
        <v>51840.479999999996</v>
      </c>
    </row>
    <row r="479" spans="1:8" ht="15.75" x14ac:dyDescent="0.25">
      <c r="A479" s="73" t="s">
        <v>300</v>
      </c>
      <c r="B479" s="454" t="s">
        <v>1204</v>
      </c>
      <c r="C479" s="461" t="s">
        <v>299</v>
      </c>
      <c r="D479" s="461" t="s">
        <v>118</v>
      </c>
      <c r="E479" s="73"/>
      <c r="F479" s="2"/>
      <c r="G479" s="10">
        <f t="shared" si="62"/>
        <v>51840.479999999996</v>
      </c>
      <c r="H479" s="10">
        <f t="shared" si="62"/>
        <v>51840.479999999996</v>
      </c>
    </row>
    <row r="480" spans="1:8" ht="31.5" x14ac:dyDescent="0.25">
      <c r="A480" s="458" t="s">
        <v>800</v>
      </c>
      <c r="B480" s="454" t="s">
        <v>1205</v>
      </c>
      <c r="C480" s="461" t="s">
        <v>299</v>
      </c>
      <c r="D480" s="461" t="s">
        <v>118</v>
      </c>
      <c r="E480" s="461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458" t="s">
        <v>127</v>
      </c>
      <c r="B481" s="454" t="s">
        <v>1205</v>
      </c>
      <c r="C481" s="461" t="s">
        <v>299</v>
      </c>
      <c r="D481" s="461" t="s">
        <v>118</v>
      </c>
      <c r="E481" s="461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458" t="s">
        <v>208</v>
      </c>
      <c r="B482" s="454" t="s">
        <v>1205</v>
      </c>
      <c r="C482" s="461" t="s">
        <v>299</v>
      </c>
      <c r="D482" s="461" t="s">
        <v>118</v>
      </c>
      <c r="E482" s="461" t="s">
        <v>209</v>
      </c>
      <c r="F482" s="2"/>
      <c r="G482" s="10">
        <f>'пр.6.1.ведом.22-23 (2)'!G363</f>
        <v>43271.28</v>
      </c>
      <c r="H482" s="10">
        <f>'пр.6.1.ведом.22-23 (2)'!H363</f>
        <v>43271.28</v>
      </c>
    </row>
    <row r="483" spans="1:8" ht="47.25" x14ac:dyDescent="0.25">
      <c r="A483" s="45" t="s">
        <v>261</v>
      </c>
      <c r="B483" s="454" t="s">
        <v>1205</v>
      </c>
      <c r="C483" s="461" t="s">
        <v>299</v>
      </c>
      <c r="D483" s="461" t="s">
        <v>118</v>
      </c>
      <c r="E483" s="461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458" t="s">
        <v>131</v>
      </c>
      <c r="B484" s="454" t="s">
        <v>1205</v>
      </c>
      <c r="C484" s="461" t="s">
        <v>299</v>
      </c>
      <c r="D484" s="461" t="s">
        <v>118</v>
      </c>
      <c r="E484" s="461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458" t="s">
        <v>133</v>
      </c>
      <c r="B485" s="454" t="s">
        <v>1205</v>
      </c>
      <c r="C485" s="461" t="s">
        <v>299</v>
      </c>
      <c r="D485" s="461" t="s">
        <v>118</v>
      </c>
      <c r="E485" s="461" t="s">
        <v>134</v>
      </c>
      <c r="F485" s="2"/>
      <c r="G485" s="10">
        <f>'пр.6.1.ведом.22-23 (2)'!G365</f>
        <v>8506.2000000000007</v>
      </c>
      <c r="H485" s="10">
        <f>'пр.6.1.ведом.22-23 (2)'!H365</f>
        <v>8506.2000000000007</v>
      </c>
    </row>
    <row r="486" spans="1:8" ht="47.25" x14ac:dyDescent="0.25">
      <c r="A486" s="45" t="s">
        <v>261</v>
      </c>
      <c r="B486" s="454" t="s">
        <v>1205</v>
      </c>
      <c r="C486" s="461" t="s">
        <v>299</v>
      </c>
      <c r="D486" s="461" t="s">
        <v>118</v>
      </c>
      <c r="E486" s="461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458" t="s">
        <v>135</v>
      </c>
      <c r="B487" s="454" t="s">
        <v>1205</v>
      </c>
      <c r="C487" s="461" t="s">
        <v>299</v>
      </c>
      <c r="D487" s="461" t="s">
        <v>118</v>
      </c>
      <c r="E487" s="461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458" t="s">
        <v>137</v>
      </c>
      <c r="B488" s="454" t="s">
        <v>1205</v>
      </c>
      <c r="C488" s="461" t="s">
        <v>299</v>
      </c>
      <c r="D488" s="461" t="s">
        <v>118</v>
      </c>
      <c r="E488" s="461" t="s">
        <v>138</v>
      </c>
      <c r="F488" s="2"/>
      <c r="G488" s="10">
        <f>'пр.6.1.ведом.22-23 (2)'!G367</f>
        <v>63</v>
      </c>
      <c r="H488" s="10">
        <f>'пр.6.1.ведом.22-23 (2)'!H367</f>
        <v>63</v>
      </c>
    </row>
    <row r="489" spans="1:8" ht="47.25" x14ac:dyDescent="0.25">
      <c r="A489" s="45" t="s">
        <v>261</v>
      </c>
      <c r="B489" s="454" t="s">
        <v>1205</v>
      </c>
      <c r="C489" s="461" t="s">
        <v>299</v>
      </c>
      <c r="D489" s="461" t="s">
        <v>118</v>
      </c>
      <c r="E489" s="461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ht="15.75" x14ac:dyDescent="0.25">
      <c r="A490" s="458" t="s">
        <v>582</v>
      </c>
      <c r="B490" s="454" t="s">
        <v>1204</v>
      </c>
      <c r="C490" s="461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ht="15.75" x14ac:dyDescent="0.25">
      <c r="A491" s="458" t="s">
        <v>583</v>
      </c>
      <c r="B491" s="454" t="s">
        <v>1204</v>
      </c>
      <c r="C491" s="461" t="s">
        <v>238</v>
      </c>
      <c r="D491" s="461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ht="31.5" x14ac:dyDescent="0.25">
      <c r="A492" s="458" t="s">
        <v>800</v>
      </c>
      <c r="B492" s="454" t="s">
        <v>1205</v>
      </c>
      <c r="C492" s="461" t="s">
        <v>238</v>
      </c>
      <c r="D492" s="461" t="s">
        <v>213</v>
      </c>
      <c r="E492" s="461"/>
      <c r="F492" s="2"/>
      <c r="G492" s="10">
        <f>G493+G496+G499</f>
        <v>5522.3</v>
      </c>
      <c r="H492" s="10">
        <f>H493+H496+H499</f>
        <v>5522.3</v>
      </c>
    </row>
    <row r="493" spans="1:8" ht="94.5" x14ac:dyDescent="0.25">
      <c r="A493" s="458" t="s">
        <v>127</v>
      </c>
      <c r="B493" s="454" t="s">
        <v>1205</v>
      </c>
      <c r="C493" s="461" t="s">
        <v>238</v>
      </c>
      <c r="D493" s="461" t="s">
        <v>213</v>
      </c>
      <c r="E493" s="461" t="s">
        <v>128</v>
      </c>
      <c r="F493" s="2"/>
      <c r="G493" s="10">
        <f>G494</f>
        <v>4897.2</v>
      </c>
      <c r="H493" s="10">
        <f>H494</f>
        <v>4897.2</v>
      </c>
    </row>
    <row r="494" spans="1:8" ht="31.5" x14ac:dyDescent="0.25">
      <c r="A494" s="458" t="s">
        <v>208</v>
      </c>
      <c r="B494" s="454" t="s">
        <v>1205</v>
      </c>
      <c r="C494" s="461" t="s">
        <v>238</v>
      </c>
      <c r="D494" s="461" t="s">
        <v>213</v>
      </c>
      <c r="E494" s="461" t="s">
        <v>209</v>
      </c>
      <c r="F494" s="2"/>
      <c r="G494" s="10">
        <f>'пр.6.1.ведом.22-23 (2)'!G474</f>
        <v>4897.2</v>
      </c>
      <c r="H494" s="10">
        <f>'пр.6.1.ведом.22-23 (2)'!H474</f>
        <v>4897.2</v>
      </c>
    </row>
    <row r="495" spans="1:8" ht="47.25" x14ac:dyDescent="0.25">
      <c r="A495" s="45" t="s">
        <v>261</v>
      </c>
      <c r="B495" s="454" t="s">
        <v>1205</v>
      </c>
      <c r="C495" s="461" t="s">
        <v>238</v>
      </c>
      <c r="D495" s="461" t="s">
        <v>213</v>
      </c>
      <c r="E495" s="461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ht="31.5" x14ac:dyDescent="0.25">
      <c r="A496" s="458" t="s">
        <v>131</v>
      </c>
      <c r="B496" s="454" t="s">
        <v>1205</v>
      </c>
      <c r="C496" s="461" t="s">
        <v>238</v>
      </c>
      <c r="D496" s="461" t="s">
        <v>213</v>
      </c>
      <c r="E496" s="461" t="s">
        <v>132</v>
      </c>
      <c r="F496" s="2"/>
      <c r="G496" s="10">
        <f>G497</f>
        <v>595.1</v>
      </c>
      <c r="H496" s="10">
        <f>H497</f>
        <v>595.1</v>
      </c>
    </row>
    <row r="497" spans="1:8" ht="47.25" x14ac:dyDescent="0.25">
      <c r="A497" s="458" t="s">
        <v>133</v>
      </c>
      <c r="B497" s="454" t="s">
        <v>1205</v>
      </c>
      <c r="C497" s="461" t="s">
        <v>238</v>
      </c>
      <c r="D497" s="461" t="s">
        <v>213</v>
      </c>
      <c r="E497" s="461" t="s">
        <v>134</v>
      </c>
      <c r="F497" s="2"/>
      <c r="G497" s="10">
        <f>'пр.6.1.ведом.22-23 (2)'!G476</f>
        <v>595.1</v>
      </c>
      <c r="H497" s="10">
        <f>'пр.6.1.ведом.22-23 (2)'!H476</f>
        <v>595.1</v>
      </c>
    </row>
    <row r="498" spans="1:8" ht="47.25" x14ac:dyDescent="0.25">
      <c r="A498" s="45" t="s">
        <v>261</v>
      </c>
      <c r="B498" s="454" t="s">
        <v>1205</v>
      </c>
      <c r="C498" s="461" t="s">
        <v>238</v>
      </c>
      <c r="D498" s="461" t="s">
        <v>213</v>
      </c>
      <c r="E498" s="461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ht="15.75" x14ac:dyDescent="0.25">
      <c r="A499" s="458" t="s">
        <v>135</v>
      </c>
      <c r="B499" s="454" t="s">
        <v>1205</v>
      </c>
      <c r="C499" s="461" t="s">
        <v>238</v>
      </c>
      <c r="D499" s="461" t="s">
        <v>213</v>
      </c>
      <c r="E499" s="461" t="s">
        <v>145</v>
      </c>
      <c r="F499" s="2"/>
      <c r="G499" s="10">
        <f>G500</f>
        <v>30</v>
      </c>
      <c r="H499" s="10">
        <f>H500</f>
        <v>30</v>
      </c>
    </row>
    <row r="500" spans="1:8" ht="15.75" x14ac:dyDescent="0.25">
      <c r="A500" s="458" t="s">
        <v>137</v>
      </c>
      <c r="B500" s="454" t="s">
        <v>1205</v>
      </c>
      <c r="C500" s="461" t="s">
        <v>238</v>
      </c>
      <c r="D500" s="461" t="s">
        <v>213</v>
      </c>
      <c r="E500" s="461" t="s">
        <v>138</v>
      </c>
      <c r="F500" s="2"/>
      <c r="G500" s="10">
        <f>'пр.6.1.ведом.22-23 (2)'!G478</f>
        <v>30</v>
      </c>
      <c r="H500" s="10">
        <f>'пр.6.1.ведом.22-23 (2)'!H478</f>
        <v>30</v>
      </c>
    </row>
    <row r="501" spans="1:8" ht="47.25" x14ac:dyDescent="0.25">
      <c r="A501" s="45" t="s">
        <v>261</v>
      </c>
      <c r="B501" s="454" t="s">
        <v>1205</v>
      </c>
      <c r="C501" s="461" t="s">
        <v>238</v>
      </c>
      <c r="D501" s="461" t="s">
        <v>213</v>
      </c>
      <c r="E501" s="461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2" t="s">
        <v>1327</v>
      </c>
      <c r="B502" s="457" t="s">
        <v>1206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ht="15.75" x14ac:dyDescent="0.25">
      <c r="A503" s="458" t="s">
        <v>263</v>
      </c>
      <c r="B503" s="454" t="s">
        <v>1206</v>
      </c>
      <c r="C503" s="461" t="s">
        <v>264</v>
      </c>
      <c r="D503" s="461"/>
      <c r="E503" s="461"/>
      <c r="F503" s="2"/>
      <c r="G503" s="10">
        <f t="shared" ref="G503:H506" si="63">G504</f>
        <v>1295</v>
      </c>
      <c r="H503" s="10">
        <f t="shared" si="63"/>
        <v>1295</v>
      </c>
    </row>
    <row r="504" spans="1:8" ht="15.75" x14ac:dyDescent="0.25">
      <c r="A504" s="458" t="s">
        <v>265</v>
      </c>
      <c r="B504" s="454" t="s">
        <v>1206</v>
      </c>
      <c r="C504" s="461" t="s">
        <v>264</v>
      </c>
      <c r="D504" s="461" t="s">
        <v>215</v>
      </c>
      <c r="E504" s="461"/>
      <c r="F504" s="2"/>
      <c r="G504" s="10">
        <f>G505+G509</f>
        <v>1295</v>
      </c>
      <c r="H504" s="10">
        <f>H505+H509</f>
        <v>1295</v>
      </c>
    </row>
    <row r="505" spans="1:8" ht="31.5" x14ac:dyDescent="0.25">
      <c r="A505" s="194" t="s">
        <v>799</v>
      </c>
      <c r="B505" s="454" t="s">
        <v>1207</v>
      </c>
      <c r="C505" s="461" t="s">
        <v>264</v>
      </c>
      <c r="D505" s="461" t="s">
        <v>215</v>
      </c>
      <c r="E505" s="454"/>
      <c r="F505" s="2"/>
      <c r="G505" s="10">
        <f t="shared" si="63"/>
        <v>45</v>
      </c>
      <c r="H505" s="10">
        <f t="shared" si="63"/>
        <v>45</v>
      </c>
    </row>
    <row r="506" spans="1:8" ht="31.5" x14ac:dyDescent="0.25">
      <c r="A506" s="458" t="s">
        <v>248</v>
      </c>
      <c r="B506" s="454" t="s">
        <v>1207</v>
      </c>
      <c r="C506" s="461" t="s">
        <v>264</v>
      </c>
      <c r="D506" s="461" t="s">
        <v>215</v>
      </c>
      <c r="E506" s="454" t="s">
        <v>249</v>
      </c>
      <c r="F506" s="2"/>
      <c r="G506" s="10">
        <f t="shared" si="63"/>
        <v>45</v>
      </c>
      <c r="H506" s="10">
        <f t="shared" si="63"/>
        <v>45</v>
      </c>
    </row>
    <row r="507" spans="1:8" ht="15.75" x14ac:dyDescent="0.25">
      <c r="A507" s="458" t="s">
        <v>820</v>
      </c>
      <c r="B507" s="454" t="s">
        <v>1207</v>
      </c>
      <c r="C507" s="461" t="s">
        <v>264</v>
      </c>
      <c r="D507" s="461" t="s">
        <v>215</v>
      </c>
      <c r="E507" s="454" t="s">
        <v>819</v>
      </c>
      <c r="F507" s="2"/>
      <c r="G507" s="10">
        <f>'пр.6.1.ведом.22-23 (2)'!G307</f>
        <v>45</v>
      </c>
      <c r="H507" s="10">
        <f>'пр.6.1.ведом.22-23 (2)'!H307</f>
        <v>45</v>
      </c>
    </row>
    <row r="508" spans="1:8" ht="47.25" x14ac:dyDescent="0.25">
      <c r="A508" s="45" t="s">
        <v>261</v>
      </c>
      <c r="B508" s="454" t="s">
        <v>1207</v>
      </c>
      <c r="C508" s="461" t="s">
        <v>264</v>
      </c>
      <c r="D508" s="461" t="s">
        <v>215</v>
      </c>
      <c r="E508" s="454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ht="47.25" x14ac:dyDescent="0.25">
      <c r="A509" s="31" t="s">
        <v>816</v>
      </c>
      <c r="B509" s="454" t="s">
        <v>1208</v>
      </c>
      <c r="C509" s="461" t="s">
        <v>264</v>
      </c>
      <c r="D509" s="461" t="s">
        <v>215</v>
      </c>
      <c r="E509" s="454"/>
      <c r="F509" s="2"/>
      <c r="G509" s="10">
        <f>G510+G513</f>
        <v>1250</v>
      </c>
      <c r="H509" s="10">
        <f>H510+H513</f>
        <v>1250</v>
      </c>
    </row>
    <row r="510" spans="1:8" ht="94.5" x14ac:dyDescent="0.25">
      <c r="A510" s="458" t="s">
        <v>127</v>
      </c>
      <c r="B510" s="454" t="s">
        <v>1208</v>
      </c>
      <c r="C510" s="461" t="s">
        <v>264</v>
      </c>
      <c r="D510" s="461" t="s">
        <v>215</v>
      </c>
      <c r="E510" s="454" t="s">
        <v>128</v>
      </c>
      <c r="F510" s="2"/>
      <c r="G510" s="10">
        <f>G511</f>
        <v>1250</v>
      </c>
      <c r="H510" s="10">
        <f>H511</f>
        <v>1250</v>
      </c>
    </row>
    <row r="511" spans="1:8" ht="31.5" x14ac:dyDescent="0.25">
      <c r="A511" s="46" t="s">
        <v>342</v>
      </c>
      <c r="B511" s="454" t="s">
        <v>1208</v>
      </c>
      <c r="C511" s="461" t="s">
        <v>264</v>
      </c>
      <c r="D511" s="461" t="s">
        <v>215</v>
      </c>
      <c r="E511" s="454" t="s">
        <v>209</v>
      </c>
      <c r="F511" s="2"/>
      <c r="G511" s="10">
        <f>'пр.6.1.ведом.22-23 (2)'!G310</f>
        <v>1250</v>
      </c>
      <c r="H511" s="10">
        <f>'пр.6.1.ведом.22-23 (2)'!H310</f>
        <v>1250</v>
      </c>
    </row>
    <row r="512" spans="1:8" ht="47.25" x14ac:dyDescent="0.25">
      <c r="A512" s="45" t="s">
        <v>261</v>
      </c>
      <c r="B512" s="454" t="s">
        <v>1208</v>
      </c>
      <c r="C512" s="461" t="s">
        <v>264</v>
      </c>
      <c r="D512" s="461" t="s">
        <v>215</v>
      </c>
      <c r="E512" s="454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ht="31.5" hidden="1" x14ac:dyDescent="0.25">
      <c r="A513" s="458" t="s">
        <v>131</v>
      </c>
      <c r="B513" s="454" t="s">
        <v>1208</v>
      </c>
      <c r="C513" s="461" t="s">
        <v>264</v>
      </c>
      <c r="D513" s="461" t="s">
        <v>215</v>
      </c>
      <c r="E513" s="454" t="s">
        <v>132</v>
      </c>
      <c r="F513" s="2"/>
      <c r="G513" s="10">
        <f>G514</f>
        <v>0</v>
      </c>
      <c r="H513" s="10">
        <f>H514</f>
        <v>0</v>
      </c>
    </row>
    <row r="514" spans="1:8" ht="47.25" hidden="1" x14ac:dyDescent="0.25">
      <c r="A514" s="458" t="s">
        <v>133</v>
      </c>
      <c r="B514" s="454" t="s">
        <v>1208</v>
      </c>
      <c r="C514" s="461" t="s">
        <v>264</v>
      </c>
      <c r="D514" s="461" t="s">
        <v>215</v>
      </c>
      <c r="E514" s="454" t="s">
        <v>134</v>
      </c>
      <c r="F514" s="2"/>
      <c r="G514" s="10">
        <f>'пр.6.1.ведом.22-23 (2)'!G312</f>
        <v>0</v>
      </c>
      <c r="H514" s="10">
        <f>'пр.6.1.ведом.22-23 (2)'!H312</f>
        <v>0</v>
      </c>
    </row>
    <row r="515" spans="1:8" ht="47.25" hidden="1" x14ac:dyDescent="0.25">
      <c r="A515" s="45" t="s">
        <v>261</v>
      </c>
      <c r="B515" s="454" t="s">
        <v>1208</v>
      </c>
      <c r="C515" s="461" t="s">
        <v>264</v>
      </c>
      <c r="D515" s="461" t="s">
        <v>215</v>
      </c>
      <c r="E515" s="454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454" t="s">
        <v>1206</v>
      </c>
      <c r="C516" s="461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454" t="s">
        <v>1206</v>
      </c>
      <c r="C517" s="461" t="s">
        <v>299</v>
      </c>
      <c r="D517" s="461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65" customHeight="1" x14ac:dyDescent="0.25">
      <c r="A518" s="31" t="s">
        <v>816</v>
      </c>
      <c r="B518" s="454" t="s">
        <v>1208</v>
      </c>
      <c r="C518" s="461" t="s">
        <v>299</v>
      </c>
      <c r="D518" s="461" t="s">
        <v>118</v>
      </c>
      <c r="E518" s="461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458" t="s">
        <v>127</v>
      </c>
      <c r="B519" s="454" t="s">
        <v>1208</v>
      </c>
      <c r="C519" s="461" t="s">
        <v>299</v>
      </c>
      <c r="D519" s="461" t="s">
        <v>118</v>
      </c>
      <c r="E519" s="461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458" t="s">
        <v>208</v>
      </c>
      <c r="B520" s="454" t="s">
        <v>1208</v>
      </c>
      <c r="C520" s="461" t="s">
        <v>299</v>
      </c>
      <c r="D520" s="461" t="s">
        <v>118</v>
      </c>
      <c r="E520" s="461" t="s">
        <v>209</v>
      </c>
      <c r="F520" s="2"/>
      <c r="G520" s="10">
        <f>'пр.6.1.ведом.22-23 (2)'!G371</f>
        <v>0</v>
      </c>
      <c r="H520" s="10">
        <f>'пр.6.1.ведом.22-23 (2)'!H371</f>
        <v>0</v>
      </c>
    </row>
    <row r="521" spans="1:8" ht="47.25" hidden="1" x14ac:dyDescent="0.25">
      <c r="A521" s="45" t="s">
        <v>261</v>
      </c>
      <c r="B521" s="454" t="s">
        <v>1208</v>
      </c>
      <c r="C521" s="461" t="s">
        <v>299</v>
      </c>
      <c r="D521" s="461" t="s">
        <v>118</v>
      </c>
      <c r="E521" s="461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458" t="s">
        <v>131</v>
      </c>
      <c r="B522" s="454" t="s">
        <v>1208</v>
      </c>
      <c r="C522" s="461" t="s">
        <v>299</v>
      </c>
      <c r="D522" s="461" t="s">
        <v>118</v>
      </c>
      <c r="E522" s="461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458" t="s">
        <v>133</v>
      </c>
      <c r="B523" s="454" t="s">
        <v>1208</v>
      </c>
      <c r="C523" s="461" t="s">
        <v>299</v>
      </c>
      <c r="D523" s="461" t="s">
        <v>118</v>
      </c>
      <c r="E523" s="461" t="s">
        <v>134</v>
      </c>
      <c r="F523" s="2"/>
      <c r="G523" s="10">
        <f>'пр.6.1.ведом.22-23 (2)'!G373</f>
        <v>1380</v>
      </c>
      <c r="H523" s="10">
        <f>'пр.6.1.ведом.22-23 (2)'!H373</f>
        <v>1380</v>
      </c>
    </row>
    <row r="524" spans="1:8" ht="47.25" x14ac:dyDescent="0.25">
      <c r="A524" s="45" t="s">
        <v>261</v>
      </c>
      <c r="B524" s="454" t="s">
        <v>1208</v>
      </c>
      <c r="C524" s="461" t="s">
        <v>299</v>
      </c>
      <c r="D524" s="461" t="s">
        <v>118</v>
      </c>
      <c r="E524" s="461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456" t="s">
        <v>947</v>
      </c>
      <c r="B525" s="457" t="s">
        <v>1209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ht="15.75" x14ac:dyDescent="0.25">
      <c r="A526" s="458" t="s">
        <v>263</v>
      </c>
      <c r="B526" s="454" t="s">
        <v>1209</v>
      </c>
      <c r="C526" s="461" t="s">
        <v>264</v>
      </c>
      <c r="D526" s="461"/>
      <c r="E526" s="461"/>
      <c r="F526" s="2"/>
      <c r="G526" s="10">
        <f t="shared" ref="G526:H529" si="64">G527</f>
        <v>506</v>
      </c>
      <c r="H526" s="10">
        <f t="shared" si="64"/>
        <v>506</v>
      </c>
    </row>
    <row r="527" spans="1:8" ht="15.75" x14ac:dyDescent="0.25">
      <c r="A527" s="458" t="s">
        <v>265</v>
      </c>
      <c r="B527" s="454" t="s">
        <v>1209</v>
      </c>
      <c r="C527" s="461" t="s">
        <v>264</v>
      </c>
      <c r="D527" s="461" t="s">
        <v>215</v>
      </c>
      <c r="E527" s="461"/>
      <c r="F527" s="2"/>
      <c r="G527" s="10">
        <f t="shared" si="64"/>
        <v>506</v>
      </c>
      <c r="H527" s="10">
        <f t="shared" si="64"/>
        <v>506</v>
      </c>
    </row>
    <row r="528" spans="1:8" ht="47.25" x14ac:dyDescent="0.25">
      <c r="A528" s="458" t="s">
        <v>839</v>
      </c>
      <c r="B528" s="454" t="s">
        <v>1210</v>
      </c>
      <c r="C528" s="461" t="s">
        <v>264</v>
      </c>
      <c r="D528" s="461" t="s">
        <v>215</v>
      </c>
      <c r="E528" s="454"/>
      <c r="F528" s="2"/>
      <c r="G528" s="10">
        <f t="shared" si="64"/>
        <v>506</v>
      </c>
      <c r="H528" s="10">
        <f t="shared" si="64"/>
        <v>506</v>
      </c>
    </row>
    <row r="529" spans="1:8" ht="94.5" x14ac:dyDescent="0.25">
      <c r="A529" s="458" t="s">
        <v>127</v>
      </c>
      <c r="B529" s="454" t="s">
        <v>1210</v>
      </c>
      <c r="C529" s="461" t="s">
        <v>264</v>
      </c>
      <c r="D529" s="461" t="s">
        <v>215</v>
      </c>
      <c r="E529" s="454" t="s">
        <v>128</v>
      </c>
      <c r="F529" s="2"/>
      <c r="G529" s="10">
        <f t="shared" si="64"/>
        <v>506</v>
      </c>
      <c r="H529" s="10">
        <f t="shared" si="64"/>
        <v>506</v>
      </c>
    </row>
    <row r="530" spans="1:8" ht="31.5" x14ac:dyDescent="0.25">
      <c r="A530" s="458" t="s">
        <v>129</v>
      </c>
      <c r="B530" s="454" t="s">
        <v>1210</v>
      </c>
      <c r="C530" s="461" t="s">
        <v>264</v>
      </c>
      <c r="D530" s="461" t="s">
        <v>215</v>
      </c>
      <c r="E530" s="454" t="s">
        <v>209</v>
      </c>
      <c r="F530" s="2"/>
      <c r="G530" s="10">
        <f>'пр.6.1.ведом.22-23 (2)'!G316</f>
        <v>506</v>
      </c>
      <c r="H530" s="10">
        <f>'пр.6.1.ведом.22-23 (2)'!H316</f>
        <v>506</v>
      </c>
    </row>
    <row r="531" spans="1:8" ht="47.25" x14ac:dyDescent="0.25">
      <c r="A531" s="45" t="s">
        <v>261</v>
      </c>
      <c r="B531" s="454" t="s">
        <v>1210</v>
      </c>
      <c r="C531" s="461" t="s">
        <v>264</v>
      </c>
      <c r="D531" s="461" t="s">
        <v>215</v>
      </c>
      <c r="E531" s="454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454" t="s">
        <v>1209</v>
      </c>
      <c r="C532" s="461" t="s">
        <v>299</v>
      </c>
      <c r="D532" s="73"/>
      <c r="E532" s="73"/>
      <c r="F532" s="2"/>
      <c r="G532" s="10">
        <f t="shared" ref="G532:H535" si="65">G533</f>
        <v>875</v>
      </c>
      <c r="H532" s="10">
        <f t="shared" si="65"/>
        <v>875</v>
      </c>
    </row>
    <row r="533" spans="1:8" ht="15.75" x14ac:dyDescent="0.25">
      <c r="A533" s="73" t="s">
        <v>300</v>
      </c>
      <c r="B533" s="454" t="s">
        <v>1209</v>
      </c>
      <c r="C533" s="461" t="s">
        <v>299</v>
      </c>
      <c r="D533" s="461" t="s">
        <v>118</v>
      </c>
      <c r="E533" s="73"/>
      <c r="F533" s="2"/>
      <c r="G533" s="10">
        <f t="shared" si="65"/>
        <v>875</v>
      </c>
      <c r="H533" s="10">
        <f t="shared" si="65"/>
        <v>875</v>
      </c>
    </row>
    <row r="534" spans="1:8" ht="47.25" x14ac:dyDescent="0.25">
      <c r="A534" s="458" t="s">
        <v>839</v>
      </c>
      <c r="B534" s="454" t="s">
        <v>1210</v>
      </c>
      <c r="C534" s="461" t="s">
        <v>299</v>
      </c>
      <c r="D534" s="461" t="s">
        <v>118</v>
      </c>
      <c r="E534" s="461"/>
      <c r="F534" s="2"/>
      <c r="G534" s="10">
        <f t="shared" si="65"/>
        <v>875</v>
      </c>
      <c r="H534" s="10">
        <f t="shared" si="65"/>
        <v>875</v>
      </c>
    </row>
    <row r="535" spans="1:8" ht="94.5" x14ac:dyDescent="0.25">
      <c r="A535" s="458" t="s">
        <v>127</v>
      </c>
      <c r="B535" s="454" t="s">
        <v>1210</v>
      </c>
      <c r="C535" s="461" t="s">
        <v>299</v>
      </c>
      <c r="D535" s="461" t="s">
        <v>118</v>
      </c>
      <c r="E535" s="461" t="s">
        <v>128</v>
      </c>
      <c r="F535" s="2"/>
      <c r="G535" s="10">
        <f t="shared" si="65"/>
        <v>875</v>
      </c>
      <c r="H535" s="10">
        <f t="shared" si="65"/>
        <v>875</v>
      </c>
    </row>
    <row r="536" spans="1:8" ht="31.5" x14ac:dyDescent="0.25">
      <c r="A536" s="458" t="s">
        <v>129</v>
      </c>
      <c r="B536" s="454" t="s">
        <v>1210</v>
      </c>
      <c r="C536" s="461" t="s">
        <v>299</v>
      </c>
      <c r="D536" s="461" t="s">
        <v>118</v>
      </c>
      <c r="E536" s="461" t="s">
        <v>209</v>
      </c>
      <c r="F536" s="2"/>
      <c r="G536" s="10">
        <f>'пр.6.1.ведом.22-23 (2)'!G377</f>
        <v>875</v>
      </c>
      <c r="H536" s="10">
        <f>'пр.6.1.ведом.22-23 (2)'!H377</f>
        <v>875</v>
      </c>
    </row>
    <row r="537" spans="1:8" ht="47.25" x14ac:dyDescent="0.25">
      <c r="A537" s="45" t="s">
        <v>261</v>
      </c>
      <c r="B537" s="454" t="s">
        <v>1210</v>
      </c>
      <c r="C537" s="461" t="s">
        <v>299</v>
      </c>
      <c r="D537" s="461" t="s">
        <v>118</v>
      </c>
      <c r="E537" s="461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ht="15.75" x14ac:dyDescent="0.25">
      <c r="A538" s="68" t="s">
        <v>582</v>
      </c>
      <c r="B538" s="454" t="s">
        <v>1209</v>
      </c>
      <c r="C538" s="461" t="s">
        <v>238</v>
      </c>
      <c r="D538" s="73"/>
      <c r="E538" s="73"/>
      <c r="F538" s="2"/>
      <c r="G538" s="10">
        <f t="shared" ref="G538:H541" si="66">G539</f>
        <v>276</v>
      </c>
      <c r="H538" s="10">
        <f t="shared" si="66"/>
        <v>276</v>
      </c>
    </row>
    <row r="539" spans="1:8" ht="15.75" x14ac:dyDescent="0.25">
      <c r="A539" s="458" t="s">
        <v>583</v>
      </c>
      <c r="B539" s="454" t="s">
        <v>1209</v>
      </c>
      <c r="C539" s="461" t="s">
        <v>238</v>
      </c>
      <c r="D539" s="461" t="s">
        <v>213</v>
      </c>
      <c r="E539" s="73"/>
      <c r="F539" s="2"/>
      <c r="G539" s="10">
        <f t="shared" si="66"/>
        <v>276</v>
      </c>
      <c r="H539" s="10">
        <f t="shared" si="66"/>
        <v>276</v>
      </c>
    </row>
    <row r="540" spans="1:8" ht="47.25" x14ac:dyDescent="0.25">
      <c r="A540" s="458" t="s">
        <v>839</v>
      </c>
      <c r="B540" s="454" t="s">
        <v>1210</v>
      </c>
      <c r="C540" s="461" t="s">
        <v>238</v>
      </c>
      <c r="D540" s="461" t="s">
        <v>213</v>
      </c>
      <c r="E540" s="461"/>
      <c r="F540" s="2"/>
      <c r="G540" s="10">
        <f t="shared" si="66"/>
        <v>276</v>
      </c>
      <c r="H540" s="10">
        <f t="shared" si="66"/>
        <v>276</v>
      </c>
    </row>
    <row r="541" spans="1:8" ht="94.5" x14ac:dyDescent="0.25">
      <c r="A541" s="458" t="s">
        <v>127</v>
      </c>
      <c r="B541" s="454" t="s">
        <v>1210</v>
      </c>
      <c r="C541" s="461" t="s">
        <v>238</v>
      </c>
      <c r="D541" s="461" t="s">
        <v>213</v>
      </c>
      <c r="E541" s="461" t="s">
        <v>128</v>
      </c>
      <c r="F541" s="2"/>
      <c r="G541" s="10">
        <f t="shared" si="66"/>
        <v>276</v>
      </c>
      <c r="H541" s="10">
        <f t="shared" si="66"/>
        <v>276</v>
      </c>
    </row>
    <row r="542" spans="1:8" ht="31.5" x14ac:dyDescent="0.25">
      <c r="A542" s="458" t="s">
        <v>129</v>
      </c>
      <c r="B542" s="454" t="s">
        <v>1210</v>
      </c>
      <c r="C542" s="461" t="s">
        <v>238</v>
      </c>
      <c r="D542" s="461" t="s">
        <v>213</v>
      </c>
      <c r="E542" s="461" t="s">
        <v>209</v>
      </c>
      <c r="F542" s="2"/>
      <c r="G542" s="10">
        <f>'пр.6.1.ведом.22-23 (2)'!G482</f>
        <v>276</v>
      </c>
      <c r="H542" s="10">
        <f>'пр.6.1.ведом.22-23 (2)'!H482</f>
        <v>276</v>
      </c>
    </row>
    <row r="543" spans="1:8" ht="47.25" x14ac:dyDescent="0.25">
      <c r="A543" s="45" t="s">
        <v>261</v>
      </c>
      <c r="B543" s="454" t="s">
        <v>1210</v>
      </c>
      <c r="C543" s="461" t="s">
        <v>238</v>
      </c>
      <c r="D543" s="461" t="s">
        <v>213</v>
      </c>
      <c r="E543" s="461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3" t="s">
        <v>900</v>
      </c>
      <c r="B544" s="457" t="s">
        <v>1211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ht="15.75" x14ac:dyDescent="0.25">
      <c r="A545" s="458" t="s">
        <v>263</v>
      </c>
      <c r="B545" s="454" t="s">
        <v>1211</v>
      </c>
      <c r="C545" s="461" t="s">
        <v>264</v>
      </c>
      <c r="D545" s="461"/>
      <c r="E545" s="461"/>
      <c r="F545" s="2"/>
      <c r="G545" s="10">
        <f>G546</f>
        <v>1075.4000000000001</v>
      </c>
      <c r="H545" s="10">
        <f>H546</f>
        <v>1075.4000000000001</v>
      </c>
    </row>
    <row r="546" spans="1:8" ht="15.75" x14ac:dyDescent="0.25">
      <c r="A546" s="458" t="s">
        <v>265</v>
      </c>
      <c r="B546" s="454" t="s">
        <v>1211</v>
      </c>
      <c r="C546" s="461" t="s">
        <v>264</v>
      </c>
      <c r="D546" s="461" t="s">
        <v>215</v>
      </c>
      <c r="E546" s="461"/>
      <c r="F546" s="2"/>
      <c r="G546" s="10">
        <f>G551+G555+G547</f>
        <v>1075.4000000000001</v>
      </c>
      <c r="H546" s="10">
        <f>H551+H555+H547</f>
        <v>1075.4000000000001</v>
      </c>
    </row>
    <row r="547" spans="1:8" ht="110.25" x14ac:dyDescent="0.25">
      <c r="A547" s="31" t="s">
        <v>293</v>
      </c>
      <c r="B547" s="454" t="s">
        <v>1406</v>
      </c>
      <c r="C547" s="461" t="s">
        <v>264</v>
      </c>
      <c r="D547" s="461" t="s">
        <v>215</v>
      </c>
      <c r="E547" s="454"/>
      <c r="F547" s="2"/>
      <c r="G547" s="10">
        <f>G548</f>
        <v>671</v>
      </c>
      <c r="H547" s="10">
        <f>H548</f>
        <v>671</v>
      </c>
    </row>
    <row r="548" spans="1:8" ht="94.5" x14ac:dyDescent="0.25">
      <c r="A548" s="458" t="s">
        <v>127</v>
      </c>
      <c r="B548" s="454" t="s">
        <v>1406</v>
      </c>
      <c r="C548" s="461" t="s">
        <v>264</v>
      </c>
      <c r="D548" s="461" t="s">
        <v>215</v>
      </c>
      <c r="E548" s="454" t="s">
        <v>128</v>
      </c>
      <c r="F548" s="2"/>
      <c r="G548" s="10">
        <f>G549</f>
        <v>671</v>
      </c>
      <c r="H548" s="10">
        <f>H549</f>
        <v>671</v>
      </c>
    </row>
    <row r="549" spans="1:8" ht="31.5" x14ac:dyDescent="0.25">
      <c r="A549" s="46" t="s">
        <v>342</v>
      </c>
      <c r="B549" s="454" t="s">
        <v>1406</v>
      </c>
      <c r="C549" s="461" t="s">
        <v>264</v>
      </c>
      <c r="D549" s="461" t="s">
        <v>215</v>
      </c>
      <c r="E549" s="454" t="s">
        <v>209</v>
      </c>
      <c r="F549" s="2"/>
      <c r="G549" s="10">
        <f>'пр.6.1.ведом.22-23 (2)'!G320</f>
        <v>671</v>
      </c>
      <c r="H549" s="10">
        <f>'пр.6.1.ведом.22-23 (2)'!H320</f>
        <v>671</v>
      </c>
    </row>
    <row r="550" spans="1:8" ht="47.25" x14ac:dyDescent="0.25">
      <c r="A550" s="45" t="s">
        <v>261</v>
      </c>
      <c r="B550" s="454" t="s">
        <v>1406</v>
      </c>
      <c r="C550" s="461" t="s">
        <v>264</v>
      </c>
      <c r="D550" s="461" t="s">
        <v>215</v>
      </c>
      <c r="E550" s="454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ht="78.75" x14ac:dyDescent="0.25">
      <c r="A551" s="31" t="s">
        <v>289</v>
      </c>
      <c r="B551" s="454" t="s">
        <v>1212</v>
      </c>
      <c r="C551" s="461" t="s">
        <v>264</v>
      </c>
      <c r="D551" s="461" t="s">
        <v>215</v>
      </c>
      <c r="E551" s="454"/>
      <c r="F551" s="2"/>
      <c r="G551" s="10">
        <f>G552</f>
        <v>106</v>
      </c>
      <c r="H551" s="10">
        <f>H552</f>
        <v>106</v>
      </c>
    </row>
    <row r="552" spans="1:8" ht="94.5" x14ac:dyDescent="0.25">
      <c r="A552" s="458" t="s">
        <v>127</v>
      </c>
      <c r="B552" s="454" t="s">
        <v>1212</v>
      </c>
      <c r="C552" s="461" t="s">
        <v>264</v>
      </c>
      <c r="D552" s="461" t="s">
        <v>215</v>
      </c>
      <c r="E552" s="454" t="s">
        <v>128</v>
      </c>
      <c r="F552" s="2"/>
      <c r="G552" s="10">
        <f>G553</f>
        <v>106</v>
      </c>
      <c r="H552" s="10">
        <f>H553</f>
        <v>106</v>
      </c>
    </row>
    <row r="553" spans="1:8" ht="31.5" x14ac:dyDescent="0.25">
      <c r="A553" s="46" t="s">
        <v>342</v>
      </c>
      <c r="B553" s="454" t="s">
        <v>1212</v>
      </c>
      <c r="C553" s="461" t="s">
        <v>264</v>
      </c>
      <c r="D553" s="461" t="s">
        <v>215</v>
      </c>
      <c r="E553" s="454" t="s">
        <v>209</v>
      </c>
      <c r="F553" s="2"/>
      <c r="G553" s="10">
        <f>'пр.6.1.ведом.22-23 (2)'!G323</f>
        <v>106</v>
      </c>
      <c r="H553" s="10">
        <f>'пр.6.1.ведом.22-23 (2)'!H323</f>
        <v>106</v>
      </c>
    </row>
    <row r="554" spans="1:8" ht="47.25" x14ac:dyDescent="0.25">
      <c r="A554" s="45" t="s">
        <v>261</v>
      </c>
      <c r="B554" s="454" t="s">
        <v>1212</v>
      </c>
      <c r="C554" s="461" t="s">
        <v>264</v>
      </c>
      <c r="D554" s="461" t="s">
        <v>215</v>
      </c>
      <c r="E554" s="454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ht="94.5" x14ac:dyDescent="0.25">
      <c r="A555" s="31" t="s">
        <v>291</v>
      </c>
      <c r="B555" s="454" t="s">
        <v>1213</v>
      </c>
      <c r="C555" s="461" t="s">
        <v>264</v>
      </c>
      <c r="D555" s="461" t="s">
        <v>215</v>
      </c>
      <c r="E555" s="454"/>
      <c r="F555" s="2"/>
      <c r="G555" s="10">
        <f>G556</f>
        <v>298.39999999999998</v>
      </c>
      <c r="H555" s="10">
        <f>H556</f>
        <v>298.39999999999998</v>
      </c>
    </row>
    <row r="556" spans="1:8" ht="94.5" x14ac:dyDescent="0.25">
      <c r="A556" s="458" t="s">
        <v>127</v>
      </c>
      <c r="B556" s="454" t="s">
        <v>1213</v>
      </c>
      <c r="C556" s="461" t="s">
        <v>264</v>
      </c>
      <c r="D556" s="461" t="s">
        <v>215</v>
      </c>
      <c r="E556" s="454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ht="31.5" x14ac:dyDescent="0.25">
      <c r="A557" s="46" t="s">
        <v>342</v>
      </c>
      <c r="B557" s="454" t="s">
        <v>1213</v>
      </c>
      <c r="C557" s="461" t="s">
        <v>264</v>
      </c>
      <c r="D557" s="461" t="s">
        <v>215</v>
      </c>
      <c r="E557" s="454" t="s">
        <v>209</v>
      </c>
      <c r="F557" s="2"/>
      <c r="G557" s="10">
        <f>'пр.6.1.ведом.22-23 (2)'!G326</f>
        <v>298.39999999999998</v>
      </c>
      <c r="H557" s="10">
        <f>'пр.6.1.ведом.22-23 (2)'!H326</f>
        <v>298.39999999999998</v>
      </c>
    </row>
    <row r="558" spans="1:8" ht="47.25" x14ac:dyDescent="0.25">
      <c r="A558" s="45" t="s">
        <v>261</v>
      </c>
      <c r="B558" s="454" t="s">
        <v>1213</v>
      </c>
      <c r="C558" s="461" t="s">
        <v>264</v>
      </c>
      <c r="D558" s="461" t="s">
        <v>215</v>
      </c>
      <c r="E558" s="454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454" t="s">
        <v>1211</v>
      </c>
      <c r="C559" s="461" t="s">
        <v>299</v>
      </c>
      <c r="D559" s="73"/>
      <c r="E559" s="73"/>
      <c r="F559" s="2"/>
      <c r="G559" s="10">
        <f t="shared" ref="G559:H559" si="67">G560</f>
        <v>2442</v>
      </c>
      <c r="H559" s="10">
        <f t="shared" si="67"/>
        <v>2442</v>
      </c>
    </row>
    <row r="560" spans="1:8" ht="15.75" x14ac:dyDescent="0.25">
      <c r="A560" s="73" t="s">
        <v>300</v>
      </c>
      <c r="B560" s="454" t="s">
        <v>1211</v>
      </c>
      <c r="C560" s="461" t="s">
        <v>299</v>
      </c>
      <c r="D560" s="461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ht="110.25" x14ac:dyDescent="0.25">
      <c r="A561" s="31" t="s">
        <v>293</v>
      </c>
      <c r="B561" s="454" t="s">
        <v>1406</v>
      </c>
      <c r="C561" s="461" t="s">
        <v>299</v>
      </c>
      <c r="D561" s="461" t="s">
        <v>118</v>
      </c>
      <c r="E561" s="461"/>
      <c r="F561" s="2"/>
      <c r="G561" s="10">
        <f>G562</f>
        <v>2100.6</v>
      </c>
      <c r="H561" s="10">
        <f>H562</f>
        <v>2100.6</v>
      </c>
    </row>
    <row r="562" spans="1:8" ht="94.5" x14ac:dyDescent="0.25">
      <c r="A562" s="458" t="s">
        <v>127</v>
      </c>
      <c r="B562" s="454" t="s">
        <v>1406</v>
      </c>
      <c r="C562" s="461" t="s">
        <v>299</v>
      </c>
      <c r="D562" s="461" t="s">
        <v>118</v>
      </c>
      <c r="E562" s="461" t="s">
        <v>128</v>
      </c>
      <c r="F562" s="2"/>
      <c r="G562" s="10">
        <f>G563</f>
        <v>2100.6</v>
      </c>
      <c r="H562" s="10">
        <f>H563</f>
        <v>2100.6</v>
      </c>
    </row>
    <row r="563" spans="1:8" ht="31.5" x14ac:dyDescent="0.25">
      <c r="A563" s="458" t="s">
        <v>208</v>
      </c>
      <c r="B563" s="454" t="s">
        <v>1406</v>
      </c>
      <c r="C563" s="461" t="s">
        <v>299</v>
      </c>
      <c r="D563" s="461" t="s">
        <v>118</v>
      </c>
      <c r="E563" s="461" t="s">
        <v>209</v>
      </c>
      <c r="F563" s="2"/>
      <c r="G563" s="10">
        <f>'пр.6.1.ведом.22-23 (2)'!G381</f>
        <v>2100.6</v>
      </c>
      <c r="H563" s="10">
        <f>'пр.6.1.ведом.22-23 (2)'!H381</f>
        <v>2100.6</v>
      </c>
    </row>
    <row r="564" spans="1:8" ht="47.25" x14ac:dyDescent="0.25">
      <c r="A564" s="45" t="s">
        <v>261</v>
      </c>
      <c r="B564" s="454" t="s">
        <v>1406</v>
      </c>
      <c r="C564" s="461" t="s">
        <v>299</v>
      </c>
      <c r="D564" s="461" t="s">
        <v>118</v>
      </c>
      <c r="E564" s="461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ht="94.5" x14ac:dyDescent="0.25">
      <c r="A565" s="458" t="s">
        <v>331</v>
      </c>
      <c r="B565" s="454" t="s">
        <v>1292</v>
      </c>
      <c r="C565" s="454" t="s">
        <v>299</v>
      </c>
      <c r="D565" s="454" t="s">
        <v>118</v>
      </c>
      <c r="E565" s="454"/>
      <c r="F565" s="454"/>
      <c r="G565" s="10">
        <f>G566</f>
        <v>341.4</v>
      </c>
      <c r="H565" s="10">
        <f>H566</f>
        <v>341.4</v>
      </c>
    </row>
    <row r="566" spans="1:8" ht="94.5" x14ac:dyDescent="0.25">
      <c r="A566" s="458" t="s">
        <v>127</v>
      </c>
      <c r="B566" s="454" t="s">
        <v>1292</v>
      </c>
      <c r="C566" s="454" t="s">
        <v>299</v>
      </c>
      <c r="D566" s="454" t="s">
        <v>118</v>
      </c>
      <c r="E566" s="454" t="s">
        <v>128</v>
      </c>
      <c r="F566" s="454"/>
      <c r="G566" s="10">
        <f>G567</f>
        <v>341.4</v>
      </c>
      <c r="H566" s="10">
        <f>H567</f>
        <v>341.4</v>
      </c>
    </row>
    <row r="567" spans="1:8" ht="31.5" x14ac:dyDescent="0.25">
      <c r="A567" s="458" t="s">
        <v>208</v>
      </c>
      <c r="B567" s="454" t="s">
        <v>1292</v>
      </c>
      <c r="C567" s="454" t="s">
        <v>299</v>
      </c>
      <c r="D567" s="454" t="s">
        <v>118</v>
      </c>
      <c r="E567" s="454" t="s">
        <v>209</v>
      </c>
      <c r="F567" s="454"/>
      <c r="G567" s="10">
        <f>'пр.6.1.ведом.22-23 (2)'!G384</f>
        <v>341.4</v>
      </c>
      <c r="H567" s="10">
        <f>'пр.6.1.ведом.22-23 (2)'!H384</f>
        <v>341.4</v>
      </c>
    </row>
    <row r="568" spans="1:8" ht="47.25" x14ac:dyDescent="0.25">
      <c r="A568" s="45" t="s">
        <v>261</v>
      </c>
      <c r="B568" s="454" t="s">
        <v>1292</v>
      </c>
      <c r="C568" s="454" t="s">
        <v>299</v>
      </c>
      <c r="D568" s="454" t="s">
        <v>118</v>
      </c>
      <c r="E568" s="454" t="s">
        <v>209</v>
      </c>
      <c r="F568" s="454" t="s">
        <v>627</v>
      </c>
      <c r="G568" s="10">
        <f>G567</f>
        <v>341.4</v>
      </c>
      <c r="H568" s="10">
        <f>H567</f>
        <v>341.4</v>
      </c>
    </row>
    <row r="569" spans="1:8" ht="47.25" x14ac:dyDescent="0.25">
      <c r="A569" s="456" t="s">
        <v>902</v>
      </c>
      <c r="B569" s="457" t="s">
        <v>1216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ht="15.75" x14ac:dyDescent="0.25">
      <c r="A570" s="73" t="s">
        <v>298</v>
      </c>
      <c r="B570" s="454" t="s">
        <v>1216</v>
      </c>
      <c r="C570" s="461" t="s">
        <v>299</v>
      </c>
      <c r="D570" s="461"/>
      <c r="E570" s="461"/>
      <c r="F570" s="74"/>
      <c r="G570" s="10">
        <f t="shared" ref="G570:H573" si="68">G571</f>
        <v>50</v>
      </c>
      <c r="H570" s="10">
        <f t="shared" si="68"/>
        <v>50</v>
      </c>
    </row>
    <row r="571" spans="1:8" ht="15.75" x14ac:dyDescent="0.25">
      <c r="A571" s="73" t="s">
        <v>300</v>
      </c>
      <c r="B571" s="454" t="s">
        <v>1216</v>
      </c>
      <c r="C571" s="461" t="s">
        <v>299</v>
      </c>
      <c r="D571" s="461" t="s">
        <v>118</v>
      </c>
      <c r="E571" s="461"/>
      <c r="F571" s="74"/>
      <c r="G571" s="10">
        <f t="shared" si="68"/>
        <v>50</v>
      </c>
      <c r="H571" s="10">
        <f t="shared" si="68"/>
        <v>50</v>
      </c>
    </row>
    <row r="572" spans="1:8" ht="31.5" x14ac:dyDescent="0.25">
      <c r="A572" s="458" t="s">
        <v>821</v>
      </c>
      <c r="B572" s="454" t="s">
        <v>1217</v>
      </c>
      <c r="C572" s="461" t="s">
        <v>299</v>
      </c>
      <c r="D572" s="461" t="s">
        <v>118</v>
      </c>
      <c r="E572" s="461"/>
      <c r="F572" s="2"/>
      <c r="G572" s="10">
        <f t="shared" si="68"/>
        <v>50</v>
      </c>
      <c r="H572" s="10">
        <f t="shared" si="68"/>
        <v>50</v>
      </c>
    </row>
    <row r="573" spans="1:8" ht="31.5" x14ac:dyDescent="0.25">
      <c r="A573" s="458" t="s">
        <v>131</v>
      </c>
      <c r="B573" s="454" t="s">
        <v>1217</v>
      </c>
      <c r="C573" s="461" t="s">
        <v>299</v>
      </c>
      <c r="D573" s="461" t="s">
        <v>118</v>
      </c>
      <c r="E573" s="461" t="s">
        <v>132</v>
      </c>
      <c r="F573" s="2"/>
      <c r="G573" s="10">
        <f t="shared" si="68"/>
        <v>50</v>
      </c>
      <c r="H573" s="10">
        <f t="shared" si="68"/>
        <v>50</v>
      </c>
    </row>
    <row r="574" spans="1:8" ht="47.25" x14ac:dyDescent="0.25">
      <c r="A574" s="458" t="s">
        <v>133</v>
      </c>
      <c r="B574" s="454" t="s">
        <v>1217</v>
      </c>
      <c r="C574" s="461" t="s">
        <v>299</v>
      </c>
      <c r="D574" s="461" t="s">
        <v>118</v>
      </c>
      <c r="E574" s="461" t="s">
        <v>134</v>
      </c>
      <c r="F574" s="2"/>
      <c r="G574" s="10">
        <f>'пр.6.1.ведом.22-23 (2)'!G388</f>
        <v>50</v>
      </c>
      <c r="H574" s="10">
        <f>'пр.6.1.ведом.22-23 (2)'!H388</f>
        <v>50</v>
      </c>
    </row>
    <row r="575" spans="1:8" ht="47.25" x14ac:dyDescent="0.25">
      <c r="A575" s="45" t="s">
        <v>261</v>
      </c>
      <c r="B575" s="454" t="s">
        <v>1217</v>
      </c>
      <c r="C575" s="461" t="s">
        <v>299</v>
      </c>
      <c r="D575" s="461" t="s">
        <v>118</v>
      </c>
      <c r="E575" s="461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ht="31.5" x14ac:dyDescent="0.25">
      <c r="A576" s="456" t="s">
        <v>1010</v>
      </c>
      <c r="B576" s="457" t="s">
        <v>1218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ht="15.75" x14ac:dyDescent="0.25">
      <c r="A577" s="68" t="s">
        <v>298</v>
      </c>
      <c r="B577" s="454" t="s">
        <v>1218</v>
      </c>
      <c r="C577" s="461" t="s">
        <v>299</v>
      </c>
      <c r="D577" s="461"/>
      <c r="E577" s="461"/>
      <c r="F577" s="74"/>
      <c r="G577" s="10">
        <f t="shared" ref="G577:H580" si="69">G578</f>
        <v>68.7</v>
      </c>
      <c r="H577" s="10">
        <f t="shared" si="69"/>
        <v>68.7</v>
      </c>
    </row>
    <row r="578" spans="1:8" ht="15.75" x14ac:dyDescent="0.25">
      <c r="A578" s="68" t="s">
        <v>300</v>
      </c>
      <c r="B578" s="454" t="s">
        <v>1218</v>
      </c>
      <c r="C578" s="461" t="s">
        <v>299</v>
      </c>
      <c r="D578" s="461" t="s">
        <v>118</v>
      </c>
      <c r="E578" s="461"/>
      <c r="F578" s="74"/>
      <c r="G578" s="10">
        <f t="shared" si="69"/>
        <v>68.7</v>
      </c>
      <c r="H578" s="10">
        <f t="shared" si="69"/>
        <v>68.7</v>
      </c>
    </row>
    <row r="579" spans="1:8" ht="47.25" x14ac:dyDescent="0.25">
      <c r="A579" s="458" t="s">
        <v>1489</v>
      </c>
      <c r="B579" s="454" t="s">
        <v>1219</v>
      </c>
      <c r="C579" s="461" t="s">
        <v>299</v>
      </c>
      <c r="D579" s="461" t="s">
        <v>118</v>
      </c>
      <c r="E579" s="461"/>
      <c r="F579" s="2"/>
      <c r="G579" s="10">
        <f t="shared" si="69"/>
        <v>68.7</v>
      </c>
      <c r="H579" s="10">
        <f t="shared" si="69"/>
        <v>68.7</v>
      </c>
    </row>
    <row r="580" spans="1:8" ht="31.5" x14ac:dyDescent="0.25">
      <c r="A580" s="458" t="s">
        <v>131</v>
      </c>
      <c r="B580" s="454" t="s">
        <v>1219</v>
      </c>
      <c r="C580" s="461" t="s">
        <v>299</v>
      </c>
      <c r="D580" s="461" t="s">
        <v>118</v>
      </c>
      <c r="E580" s="461" t="s">
        <v>132</v>
      </c>
      <c r="F580" s="2"/>
      <c r="G580" s="10">
        <f t="shared" si="69"/>
        <v>68.7</v>
      </c>
      <c r="H580" s="10">
        <f t="shared" si="69"/>
        <v>68.7</v>
      </c>
    </row>
    <row r="581" spans="1:8" ht="47.25" x14ac:dyDescent="0.25">
      <c r="A581" s="458" t="s">
        <v>133</v>
      </c>
      <c r="B581" s="454" t="s">
        <v>1219</v>
      </c>
      <c r="C581" s="461" t="s">
        <v>299</v>
      </c>
      <c r="D581" s="461" t="s">
        <v>118</v>
      </c>
      <c r="E581" s="461" t="s">
        <v>134</v>
      </c>
      <c r="F581" s="2"/>
      <c r="G581" s="10">
        <f>'пр.6.1.ведом.22-23 (2)'!G392</f>
        <v>68.7</v>
      </c>
      <c r="H581" s="10">
        <f>'пр.6.1.ведом.22-23 (2)'!H392</f>
        <v>68.7</v>
      </c>
    </row>
    <row r="582" spans="1:8" ht="47.25" x14ac:dyDescent="0.25">
      <c r="A582" s="45" t="s">
        <v>261</v>
      </c>
      <c r="B582" s="454" t="s">
        <v>1219</v>
      </c>
      <c r="C582" s="461" t="s">
        <v>299</v>
      </c>
      <c r="D582" s="461" t="s">
        <v>118</v>
      </c>
      <c r="E582" s="461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ht="36" customHeight="1" x14ac:dyDescent="0.25">
      <c r="A583" s="255" t="s">
        <v>1180</v>
      </c>
      <c r="B583" s="457" t="s">
        <v>1214</v>
      </c>
      <c r="C583" s="461"/>
      <c r="D583" s="73"/>
      <c r="E583" s="73"/>
      <c r="F583" s="2"/>
      <c r="G583" s="59">
        <f t="shared" ref="G583:H587" si="70">G584</f>
        <v>300</v>
      </c>
      <c r="H583" s="59">
        <f t="shared" si="70"/>
        <v>1500</v>
      </c>
    </row>
    <row r="584" spans="1:8" ht="15.75" x14ac:dyDescent="0.25">
      <c r="A584" s="68" t="s">
        <v>298</v>
      </c>
      <c r="B584" s="454" t="s">
        <v>1214</v>
      </c>
      <c r="C584" s="461" t="s">
        <v>299</v>
      </c>
      <c r="D584" s="73"/>
      <c r="E584" s="73"/>
      <c r="F584" s="2"/>
      <c r="G584" s="10">
        <f t="shared" si="70"/>
        <v>300</v>
      </c>
      <c r="H584" s="10">
        <f t="shared" si="70"/>
        <v>1500</v>
      </c>
    </row>
    <row r="585" spans="1:8" ht="15.75" x14ac:dyDescent="0.25">
      <c r="A585" s="68" t="s">
        <v>300</v>
      </c>
      <c r="B585" s="454" t="s">
        <v>1214</v>
      </c>
      <c r="C585" s="461" t="s">
        <v>299</v>
      </c>
      <c r="D585" s="461" t="s">
        <v>118</v>
      </c>
      <c r="E585" s="73"/>
      <c r="F585" s="2"/>
      <c r="G585" s="10">
        <f t="shared" si="70"/>
        <v>300</v>
      </c>
      <c r="H585" s="10">
        <f t="shared" si="70"/>
        <v>1500</v>
      </c>
    </row>
    <row r="586" spans="1:8" ht="31.5" x14ac:dyDescent="0.25">
      <c r="A586" s="98" t="s">
        <v>1187</v>
      </c>
      <c r="B586" s="454" t="s">
        <v>1215</v>
      </c>
      <c r="C586" s="461" t="s">
        <v>299</v>
      </c>
      <c r="D586" s="461" t="s">
        <v>118</v>
      </c>
      <c r="E586" s="461"/>
      <c r="F586" s="2"/>
      <c r="G586" s="10">
        <f t="shared" si="70"/>
        <v>300</v>
      </c>
      <c r="H586" s="10">
        <f t="shared" si="70"/>
        <v>1500</v>
      </c>
    </row>
    <row r="587" spans="1:8" ht="31.5" x14ac:dyDescent="0.25">
      <c r="A587" s="458" t="s">
        <v>131</v>
      </c>
      <c r="B587" s="454" t="s">
        <v>1215</v>
      </c>
      <c r="C587" s="461" t="s">
        <v>299</v>
      </c>
      <c r="D587" s="461" t="s">
        <v>118</v>
      </c>
      <c r="E587" s="461" t="s">
        <v>132</v>
      </c>
      <c r="F587" s="2"/>
      <c r="G587" s="10">
        <f t="shared" si="70"/>
        <v>300</v>
      </c>
      <c r="H587" s="10">
        <f t="shared" si="70"/>
        <v>1500</v>
      </c>
    </row>
    <row r="588" spans="1:8" ht="47.25" x14ac:dyDescent="0.25">
      <c r="A588" s="458" t="s">
        <v>133</v>
      </c>
      <c r="B588" s="454" t="s">
        <v>1215</v>
      </c>
      <c r="C588" s="461" t="s">
        <v>299</v>
      </c>
      <c r="D588" s="461" t="s">
        <v>118</v>
      </c>
      <c r="E588" s="461" t="s">
        <v>134</v>
      </c>
      <c r="F588" s="2"/>
      <c r="G588" s="10">
        <f>'пр.6.1.ведом.22-23 (2)'!G396</f>
        <v>300</v>
      </c>
      <c r="H588" s="10">
        <f>'пр.6.1.ведом.22-23 (2)'!H396</f>
        <v>1500</v>
      </c>
    </row>
    <row r="589" spans="1:8" ht="47.25" x14ac:dyDescent="0.25">
      <c r="A589" s="45" t="s">
        <v>261</v>
      </c>
      <c r="B589" s="454" t="s">
        <v>1215</v>
      </c>
      <c r="C589" s="461" t="s">
        <v>299</v>
      </c>
      <c r="D589" s="461" t="s">
        <v>118</v>
      </c>
      <c r="E589" s="461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1" t="s">
        <v>1220</v>
      </c>
      <c r="B590" s="272"/>
      <c r="C590" s="454"/>
      <c r="D590" s="454"/>
      <c r="E590" s="461"/>
      <c r="F590" s="2"/>
      <c r="G590" s="59">
        <f t="shared" ref="G590:H594" si="71">G591</f>
        <v>0</v>
      </c>
      <c r="H590" s="59">
        <f t="shared" si="71"/>
        <v>0</v>
      </c>
    </row>
    <row r="591" spans="1:8" ht="15.75" hidden="1" x14ac:dyDescent="0.25">
      <c r="A591" s="68" t="s">
        <v>298</v>
      </c>
      <c r="B591" s="272"/>
      <c r="C591" s="454" t="s">
        <v>299</v>
      </c>
      <c r="D591" s="454"/>
      <c r="E591" s="461"/>
      <c r="F591" s="2"/>
      <c r="G591" s="10">
        <f t="shared" si="71"/>
        <v>0</v>
      </c>
      <c r="H591" s="10">
        <f t="shared" si="71"/>
        <v>0</v>
      </c>
    </row>
    <row r="592" spans="1:8" ht="15.75" hidden="1" x14ac:dyDescent="0.25">
      <c r="A592" s="68" t="s">
        <v>300</v>
      </c>
      <c r="B592" s="272"/>
      <c r="C592" s="454" t="s">
        <v>299</v>
      </c>
      <c r="D592" s="454" t="s">
        <v>118</v>
      </c>
      <c r="E592" s="461"/>
      <c r="F592" s="2"/>
      <c r="G592" s="10">
        <f t="shared" si="71"/>
        <v>0</v>
      </c>
      <c r="H592" s="10">
        <f t="shared" si="71"/>
        <v>0</v>
      </c>
    </row>
    <row r="593" spans="1:8" ht="15.75" hidden="1" x14ac:dyDescent="0.25">
      <c r="A593" s="281"/>
      <c r="B593" s="272"/>
      <c r="C593" s="454" t="s">
        <v>299</v>
      </c>
      <c r="D593" s="454" t="s">
        <v>118</v>
      </c>
      <c r="E593" s="461"/>
      <c r="F593" s="2"/>
      <c r="G593" s="10">
        <f t="shared" si="71"/>
        <v>0</v>
      </c>
      <c r="H593" s="10">
        <f t="shared" si="71"/>
        <v>0</v>
      </c>
    </row>
    <row r="594" spans="1:8" ht="31.5" hidden="1" x14ac:dyDescent="0.25">
      <c r="A594" s="458" t="s">
        <v>131</v>
      </c>
      <c r="B594" s="272"/>
      <c r="C594" s="454" t="s">
        <v>299</v>
      </c>
      <c r="D594" s="454" t="s">
        <v>118</v>
      </c>
      <c r="E594" s="461" t="s">
        <v>132</v>
      </c>
      <c r="F594" s="2"/>
      <c r="G594" s="10">
        <f t="shared" si="71"/>
        <v>0</v>
      </c>
      <c r="H594" s="10">
        <f t="shared" si="71"/>
        <v>0</v>
      </c>
    </row>
    <row r="595" spans="1:8" ht="47.25" hidden="1" x14ac:dyDescent="0.25">
      <c r="A595" s="458" t="s">
        <v>133</v>
      </c>
      <c r="B595" s="272"/>
      <c r="C595" s="454" t="s">
        <v>299</v>
      </c>
      <c r="D595" s="454" t="s">
        <v>118</v>
      </c>
      <c r="E595" s="461" t="s">
        <v>134</v>
      </c>
      <c r="F595" s="2"/>
      <c r="G595" s="10">
        <f>'пр.6.1.ведом.22-23 (2)'!G400</f>
        <v>0</v>
      </c>
      <c r="H595" s="10">
        <f>'пр.6.1.ведом.22-23 (2)'!H400</f>
        <v>0</v>
      </c>
    </row>
    <row r="596" spans="1:8" ht="47.25" hidden="1" x14ac:dyDescent="0.25">
      <c r="A596" s="45" t="s">
        <v>1316</v>
      </c>
      <c r="B596" s="272"/>
      <c r="C596" s="454" t="s">
        <v>299</v>
      </c>
      <c r="D596" s="454" t="s">
        <v>118</v>
      </c>
      <c r="E596" s="461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62" t="s">
        <v>1360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ht="15.75" x14ac:dyDescent="0.25">
      <c r="A599" s="31" t="s">
        <v>117</v>
      </c>
      <c r="B599" s="461" t="s">
        <v>934</v>
      </c>
      <c r="C599" s="461" t="s">
        <v>118</v>
      </c>
      <c r="D599" s="461"/>
      <c r="E599" s="72"/>
      <c r="F599" s="72"/>
      <c r="G599" s="10">
        <f t="shared" ref="G599:H602" si="72">G600</f>
        <v>12</v>
      </c>
      <c r="H599" s="10">
        <f t="shared" si="72"/>
        <v>40</v>
      </c>
    </row>
    <row r="600" spans="1:8" ht="15.75" x14ac:dyDescent="0.25">
      <c r="A600" s="31" t="s">
        <v>139</v>
      </c>
      <c r="B600" s="461" t="s">
        <v>934</v>
      </c>
      <c r="C600" s="461" t="s">
        <v>118</v>
      </c>
      <c r="D600" s="461" t="s">
        <v>140</v>
      </c>
      <c r="E600" s="72"/>
      <c r="F600" s="72"/>
      <c r="G600" s="10">
        <f t="shared" si="72"/>
        <v>12</v>
      </c>
      <c r="H600" s="10">
        <f t="shared" si="72"/>
        <v>40</v>
      </c>
    </row>
    <row r="601" spans="1:8" ht="47.25" x14ac:dyDescent="0.25">
      <c r="A601" s="31" t="s">
        <v>1081</v>
      </c>
      <c r="B601" s="454" t="s">
        <v>1026</v>
      </c>
      <c r="C601" s="461" t="s">
        <v>118</v>
      </c>
      <c r="D601" s="461" t="s">
        <v>140</v>
      </c>
      <c r="E601" s="72"/>
      <c r="F601" s="72"/>
      <c r="G601" s="10">
        <f t="shared" si="72"/>
        <v>12</v>
      </c>
      <c r="H601" s="10">
        <f t="shared" si="72"/>
        <v>40</v>
      </c>
    </row>
    <row r="602" spans="1:8" ht="31.5" x14ac:dyDescent="0.25">
      <c r="A602" s="458" t="s">
        <v>131</v>
      </c>
      <c r="B602" s="454" t="s">
        <v>1026</v>
      </c>
      <c r="C602" s="461" t="s">
        <v>118</v>
      </c>
      <c r="D602" s="461" t="s">
        <v>140</v>
      </c>
      <c r="E602" s="2">
        <v>200</v>
      </c>
      <c r="F602" s="72"/>
      <c r="G602" s="10">
        <f t="shared" si="72"/>
        <v>12</v>
      </c>
      <c r="H602" s="10">
        <f t="shared" si="72"/>
        <v>40</v>
      </c>
    </row>
    <row r="603" spans="1:8" ht="47.25" x14ac:dyDescent="0.25">
      <c r="A603" s="458" t="s">
        <v>133</v>
      </c>
      <c r="B603" s="454" t="s">
        <v>1026</v>
      </c>
      <c r="C603" s="461" t="s">
        <v>118</v>
      </c>
      <c r="D603" s="461" t="s">
        <v>140</v>
      </c>
      <c r="E603" s="2">
        <v>240</v>
      </c>
      <c r="F603" s="72"/>
      <c r="G603" s="10">
        <f>'пр.6.1.ведом.22-23 (2)'!G145</f>
        <v>12</v>
      </c>
      <c r="H603" s="10">
        <f>'пр.6.1.ведом.22-23 (2)'!H145</f>
        <v>40</v>
      </c>
    </row>
    <row r="604" spans="1:8" ht="47.25" x14ac:dyDescent="0.25">
      <c r="A604" s="45" t="s">
        <v>623</v>
      </c>
      <c r="B604" s="454" t="s">
        <v>1026</v>
      </c>
      <c r="C604" s="461" t="s">
        <v>118</v>
      </c>
      <c r="D604" s="461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61" t="s">
        <v>934</v>
      </c>
      <c r="C605" s="461" t="s">
        <v>234</v>
      </c>
      <c r="D605" s="461"/>
      <c r="E605" s="72"/>
      <c r="F605" s="72"/>
      <c r="G605" s="10">
        <f t="shared" ref="G605:H608" si="73">G606</f>
        <v>0</v>
      </c>
      <c r="H605" s="10">
        <f t="shared" si="73"/>
        <v>0</v>
      </c>
    </row>
    <row r="606" spans="1:8" ht="31.5" hidden="1" x14ac:dyDescent="0.25">
      <c r="A606" s="31" t="s">
        <v>569</v>
      </c>
      <c r="B606" s="461" t="s">
        <v>934</v>
      </c>
      <c r="C606" s="461" t="s">
        <v>234</v>
      </c>
      <c r="D606" s="461" t="s">
        <v>234</v>
      </c>
      <c r="E606" s="72"/>
      <c r="F606" s="72"/>
      <c r="G606" s="10">
        <f t="shared" si="73"/>
        <v>0</v>
      </c>
      <c r="H606" s="10">
        <f t="shared" si="73"/>
        <v>0</v>
      </c>
    </row>
    <row r="607" spans="1:8" ht="47.25" hidden="1" x14ac:dyDescent="0.25">
      <c r="A607" s="31" t="s">
        <v>1081</v>
      </c>
      <c r="B607" s="454" t="s">
        <v>1026</v>
      </c>
      <c r="C607" s="461" t="s">
        <v>234</v>
      </c>
      <c r="D607" s="461" t="s">
        <v>234</v>
      </c>
      <c r="E607" s="72"/>
      <c r="F607" s="72"/>
      <c r="G607" s="10">
        <f t="shared" si="73"/>
        <v>0</v>
      </c>
      <c r="H607" s="10">
        <f t="shared" si="73"/>
        <v>0</v>
      </c>
    </row>
    <row r="608" spans="1:8" ht="31.5" hidden="1" x14ac:dyDescent="0.25">
      <c r="A608" s="458" t="s">
        <v>131</v>
      </c>
      <c r="B608" s="454" t="s">
        <v>1026</v>
      </c>
      <c r="C608" s="461" t="s">
        <v>234</v>
      </c>
      <c r="D608" s="461" t="s">
        <v>234</v>
      </c>
      <c r="E608" s="2">
        <v>200</v>
      </c>
      <c r="F608" s="72"/>
      <c r="G608" s="10">
        <f t="shared" si="73"/>
        <v>0</v>
      </c>
      <c r="H608" s="10">
        <f t="shared" si="73"/>
        <v>0</v>
      </c>
    </row>
    <row r="609" spans="1:8" ht="47.25" hidden="1" x14ac:dyDescent="0.25">
      <c r="A609" s="458" t="s">
        <v>133</v>
      </c>
      <c r="B609" s="454" t="s">
        <v>1026</v>
      </c>
      <c r="C609" s="461" t="s">
        <v>234</v>
      </c>
      <c r="D609" s="461" t="s">
        <v>234</v>
      </c>
      <c r="E609" s="2">
        <v>240</v>
      </c>
      <c r="F609" s="72"/>
      <c r="G609" s="10">
        <f>'пр.6.1.ведом.22-23 (2)'!G1037</f>
        <v>0</v>
      </c>
      <c r="H609" s="10">
        <f>'пр.6.1.ведом.22-23 (2)'!H1037</f>
        <v>0</v>
      </c>
    </row>
    <row r="610" spans="1:8" ht="47.25" hidden="1" x14ac:dyDescent="0.25">
      <c r="A610" s="45" t="s">
        <v>623</v>
      </c>
      <c r="B610" s="454" t="s">
        <v>1026</v>
      </c>
      <c r="C610" s="461" t="s">
        <v>234</v>
      </c>
      <c r="D610" s="461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458" t="s">
        <v>263</v>
      </c>
      <c r="B611" s="461" t="s">
        <v>934</v>
      </c>
      <c r="C611" s="461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458" t="s">
        <v>404</v>
      </c>
      <c r="B612" s="461" t="s">
        <v>934</v>
      </c>
      <c r="C612" s="461" t="s">
        <v>264</v>
      </c>
      <c r="D612" s="461" t="s">
        <v>118</v>
      </c>
      <c r="E612" s="73"/>
      <c r="F612" s="73"/>
      <c r="G612" s="10">
        <f t="shared" ref="G612:H614" si="74">G613</f>
        <v>80</v>
      </c>
      <c r="H612" s="10">
        <f t="shared" si="74"/>
        <v>25</v>
      </c>
    </row>
    <row r="613" spans="1:8" ht="47.25" x14ac:dyDescent="0.25">
      <c r="A613" s="31" t="s">
        <v>1082</v>
      </c>
      <c r="B613" s="454" t="s">
        <v>935</v>
      </c>
      <c r="C613" s="461" t="s">
        <v>264</v>
      </c>
      <c r="D613" s="461" t="s">
        <v>118</v>
      </c>
      <c r="E613" s="72"/>
      <c r="F613" s="72"/>
      <c r="G613" s="10">
        <f t="shared" si="74"/>
        <v>80</v>
      </c>
      <c r="H613" s="10">
        <f t="shared" si="74"/>
        <v>25</v>
      </c>
    </row>
    <row r="614" spans="1:8" ht="47.25" x14ac:dyDescent="0.25">
      <c r="A614" s="31" t="s">
        <v>272</v>
      </c>
      <c r="B614" s="454" t="s">
        <v>935</v>
      </c>
      <c r="C614" s="461" t="s">
        <v>264</v>
      </c>
      <c r="D614" s="461" t="s">
        <v>118</v>
      </c>
      <c r="E614" s="461" t="s">
        <v>273</v>
      </c>
      <c r="F614" s="72"/>
      <c r="G614" s="10">
        <f t="shared" si="74"/>
        <v>80</v>
      </c>
      <c r="H614" s="10">
        <f t="shared" si="74"/>
        <v>25</v>
      </c>
    </row>
    <row r="615" spans="1:8" ht="15.75" x14ac:dyDescent="0.25">
      <c r="A615" s="31" t="s">
        <v>274</v>
      </c>
      <c r="B615" s="454" t="s">
        <v>935</v>
      </c>
      <c r="C615" s="461" t="s">
        <v>264</v>
      </c>
      <c r="D615" s="461" t="s">
        <v>118</v>
      </c>
      <c r="E615" s="461" t="s">
        <v>275</v>
      </c>
      <c r="F615" s="72"/>
      <c r="G615" s="10">
        <f>'пр.6.1.ведом.22-23 (2)'!G603</f>
        <v>80</v>
      </c>
      <c r="H615" s="10">
        <f>'пр.6.1.ведом.22-23 (2)'!H603</f>
        <v>25</v>
      </c>
    </row>
    <row r="616" spans="1:8" ht="31.5" x14ac:dyDescent="0.25">
      <c r="A616" s="31" t="s">
        <v>403</v>
      </c>
      <c r="B616" s="454" t="s">
        <v>935</v>
      </c>
      <c r="C616" s="461" t="s">
        <v>264</v>
      </c>
      <c r="D616" s="461" t="s">
        <v>118</v>
      </c>
      <c r="E616" s="461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61" t="s">
        <v>934</v>
      </c>
      <c r="C617" s="461" t="s">
        <v>264</v>
      </c>
      <c r="D617" s="461" t="s">
        <v>213</v>
      </c>
      <c r="E617" s="461"/>
      <c r="F617" s="73"/>
      <c r="G617" s="10">
        <f t="shared" ref="G617:H619" si="75">G618</f>
        <v>60</v>
      </c>
      <c r="H617" s="10">
        <f t="shared" si="75"/>
        <v>70</v>
      </c>
    </row>
    <row r="618" spans="1:8" ht="47.25" x14ac:dyDescent="0.25">
      <c r="A618" s="31" t="s">
        <v>1082</v>
      </c>
      <c r="B618" s="454" t="s">
        <v>935</v>
      </c>
      <c r="C618" s="461" t="s">
        <v>264</v>
      </c>
      <c r="D618" s="461" t="s">
        <v>213</v>
      </c>
      <c r="E618" s="461"/>
      <c r="F618" s="72"/>
      <c r="G618" s="10">
        <f t="shared" si="75"/>
        <v>60</v>
      </c>
      <c r="H618" s="10">
        <f t="shared" si="75"/>
        <v>70</v>
      </c>
    </row>
    <row r="619" spans="1:8" ht="47.25" x14ac:dyDescent="0.25">
      <c r="A619" s="31" t="s">
        <v>272</v>
      </c>
      <c r="B619" s="454" t="s">
        <v>935</v>
      </c>
      <c r="C619" s="461" t="s">
        <v>264</v>
      </c>
      <c r="D619" s="461" t="s">
        <v>213</v>
      </c>
      <c r="E619" s="461" t="s">
        <v>273</v>
      </c>
      <c r="F619" s="72"/>
      <c r="G619" s="10">
        <f t="shared" si="75"/>
        <v>60</v>
      </c>
      <c r="H619" s="10">
        <f t="shared" si="75"/>
        <v>70</v>
      </c>
    </row>
    <row r="620" spans="1:8" ht="15.75" x14ac:dyDescent="0.25">
      <c r="A620" s="31" t="s">
        <v>274</v>
      </c>
      <c r="B620" s="454" t="s">
        <v>935</v>
      </c>
      <c r="C620" s="461" t="s">
        <v>264</v>
      </c>
      <c r="D620" s="461" t="s">
        <v>213</v>
      </c>
      <c r="E620" s="461" t="s">
        <v>275</v>
      </c>
      <c r="F620" s="72"/>
      <c r="G620" s="10">
        <f>'пр.6.1.ведом.22-23 (2)'!G685</f>
        <v>60</v>
      </c>
      <c r="H620" s="10">
        <f>'пр.6.1.ведом.22-23 (2)'!H685</f>
        <v>70</v>
      </c>
    </row>
    <row r="621" spans="1:8" ht="31.5" x14ac:dyDescent="0.25">
      <c r="A621" s="31" t="s">
        <v>403</v>
      </c>
      <c r="B621" s="454" t="s">
        <v>935</v>
      </c>
      <c r="C621" s="461" t="s">
        <v>264</v>
      </c>
      <c r="D621" s="461" t="s">
        <v>213</v>
      </c>
      <c r="E621" s="461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ht="15.75" x14ac:dyDescent="0.25">
      <c r="A622" s="29" t="s">
        <v>265</v>
      </c>
      <c r="B622" s="461" t="s">
        <v>934</v>
      </c>
      <c r="C622" s="461" t="s">
        <v>264</v>
      </c>
      <c r="D622" s="461" t="s">
        <v>215</v>
      </c>
      <c r="E622" s="461"/>
      <c r="F622" s="73"/>
      <c r="G622" s="10">
        <f t="shared" ref="G622:H624" si="76">G623</f>
        <v>6</v>
      </c>
      <c r="H622" s="10">
        <f t="shared" si="76"/>
        <v>0</v>
      </c>
    </row>
    <row r="623" spans="1:8" ht="47.25" x14ac:dyDescent="0.25">
      <c r="A623" s="31" t="s">
        <v>1081</v>
      </c>
      <c r="B623" s="454" t="s">
        <v>1026</v>
      </c>
      <c r="C623" s="461" t="s">
        <v>264</v>
      </c>
      <c r="D623" s="461" t="s">
        <v>215</v>
      </c>
      <c r="E623" s="461"/>
      <c r="F623" s="72"/>
      <c r="G623" s="10">
        <f t="shared" si="76"/>
        <v>6</v>
      </c>
      <c r="H623" s="10">
        <f t="shared" si="76"/>
        <v>0</v>
      </c>
    </row>
    <row r="624" spans="1:8" ht="47.25" x14ac:dyDescent="0.25">
      <c r="A624" s="31" t="s">
        <v>272</v>
      </c>
      <c r="B624" s="454" t="s">
        <v>1026</v>
      </c>
      <c r="C624" s="461" t="s">
        <v>264</v>
      </c>
      <c r="D624" s="461" t="s">
        <v>215</v>
      </c>
      <c r="E624" s="461" t="s">
        <v>132</v>
      </c>
      <c r="F624" s="72"/>
      <c r="G624" s="10">
        <f t="shared" si="76"/>
        <v>6</v>
      </c>
      <c r="H624" s="10">
        <f t="shared" si="76"/>
        <v>0</v>
      </c>
    </row>
    <row r="625" spans="1:8" ht="15.75" x14ac:dyDescent="0.25">
      <c r="A625" s="31" t="s">
        <v>274</v>
      </c>
      <c r="B625" s="454" t="s">
        <v>1026</v>
      </c>
      <c r="C625" s="461" t="s">
        <v>264</v>
      </c>
      <c r="D625" s="461" t="s">
        <v>215</v>
      </c>
      <c r="E625" s="461" t="s">
        <v>134</v>
      </c>
      <c r="F625" s="72"/>
      <c r="G625" s="10">
        <f>'пр.6.1.ведом.22-23 (2)'!G331</f>
        <v>6</v>
      </c>
      <c r="H625" s="10">
        <f>'пр.6.1.ведом.22-23 (2)'!H331</f>
        <v>0</v>
      </c>
    </row>
    <row r="626" spans="1:8" ht="47.25" x14ac:dyDescent="0.25">
      <c r="A626" s="45" t="s">
        <v>261</v>
      </c>
      <c r="B626" s="454" t="s">
        <v>1026</v>
      </c>
      <c r="C626" s="461" t="s">
        <v>264</v>
      </c>
      <c r="D626" s="461" t="s">
        <v>215</v>
      </c>
      <c r="E626" s="461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454" t="s">
        <v>934</v>
      </c>
      <c r="C627" s="461" t="s">
        <v>299</v>
      </c>
      <c r="D627" s="461"/>
      <c r="E627" s="461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454" t="s">
        <v>934</v>
      </c>
      <c r="C628" s="461" t="s">
        <v>299</v>
      </c>
      <c r="D628" s="461" t="s">
        <v>118</v>
      </c>
      <c r="E628" s="461"/>
      <c r="F628" s="2"/>
      <c r="G628" s="10">
        <f t="shared" ref="G628:H630" si="77">G629</f>
        <v>10</v>
      </c>
      <c r="H628" s="10">
        <f t="shared" si="77"/>
        <v>0</v>
      </c>
    </row>
    <row r="629" spans="1:8" ht="48.95" customHeight="1" x14ac:dyDescent="0.25">
      <c r="A629" s="31" t="s">
        <v>1081</v>
      </c>
      <c r="B629" s="454" t="s">
        <v>1026</v>
      </c>
      <c r="C629" s="461" t="s">
        <v>299</v>
      </c>
      <c r="D629" s="461" t="s">
        <v>118</v>
      </c>
      <c r="E629" s="461"/>
      <c r="F629" s="2"/>
      <c r="G629" s="10">
        <f t="shared" si="77"/>
        <v>10</v>
      </c>
      <c r="H629" s="10">
        <f t="shared" si="77"/>
        <v>0</v>
      </c>
    </row>
    <row r="630" spans="1:8" ht="31.5" x14ac:dyDescent="0.25">
      <c r="A630" s="458" t="s">
        <v>131</v>
      </c>
      <c r="B630" s="454" t="s">
        <v>1026</v>
      </c>
      <c r="C630" s="461" t="s">
        <v>299</v>
      </c>
      <c r="D630" s="461" t="s">
        <v>118</v>
      </c>
      <c r="E630" s="461" t="s">
        <v>132</v>
      </c>
      <c r="F630" s="2"/>
      <c r="G630" s="10">
        <f t="shared" si="77"/>
        <v>10</v>
      </c>
      <c r="H630" s="10">
        <f t="shared" si="77"/>
        <v>0</v>
      </c>
    </row>
    <row r="631" spans="1:8" ht="47.25" x14ac:dyDescent="0.25">
      <c r="A631" s="458" t="s">
        <v>133</v>
      </c>
      <c r="B631" s="454" t="s">
        <v>1026</v>
      </c>
      <c r="C631" s="461" t="s">
        <v>299</v>
      </c>
      <c r="D631" s="461" t="s">
        <v>118</v>
      </c>
      <c r="E631" s="461" t="s">
        <v>134</v>
      </c>
      <c r="F631" s="2"/>
      <c r="G631" s="10">
        <f>'пр.6.1.ведом.22-23 (2)'!G405</f>
        <v>10</v>
      </c>
      <c r="H631" s="10">
        <f>'пр.6.1.ведом.22-23 (2)'!H405</f>
        <v>0</v>
      </c>
    </row>
    <row r="632" spans="1:8" ht="47.25" x14ac:dyDescent="0.25">
      <c r="A632" s="45" t="s">
        <v>261</v>
      </c>
      <c r="B632" s="454" t="s">
        <v>1026</v>
      </c>
      <c r="C632" s="461" t="s">
        <v>299</v>
      </c>
      <c r="D632" s="461" t="s">
        <v>118</v>
      </c>
      <c r="E632" s="461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ht="31.5" x14ac:dyDescent="0.25">
      <c r="A633" s="31" t="s">
        <v>333</v>
      </c>
      <c r="B633" s="454" t="s">
        <v>934</v>
      </c>
      <c r="C633" s="461" t="s">
        <v>299</v>
      </c>
      <c r="D633" s="461" t="s">
        <v>150</v>
      </c>
      <c r="E633" s="461"/>
      <c r="F633" s="2"/>
      <c r="G633" s="10">
        <f t="shared" ref="G633:H635" si="78">G634</f>
        <v>0</v>
      </c>
      <c r="H633" s="10">
        <f t="shared" si="78"/>
        <v>4</v>
      </c>
    </row>
    <row r="634" spans="1:8" ht="52.35" customHeight="1" x14ac:dyDescent="0.25">
      <c r="A634" s="31" t="s">
        <v>1081</v>
      </c>
      <c r="B634" s="454" t="s">
        <v>1026</v>
      </c>
      <c r="C634" s="461" t="s">
        <v>299</v>
      </c>
      <c r="D634" s="461" t="s">
        <v>150</v>
      </c>
      <c r="E634" s="461"/>
      <c r="F634" s="2"/>
      <c r="G634" s="10">
        <f t="shared" si="78"/>
        <v>0</v>
      </c>
      <c r="H634" s="10">
        <f t="shared" si="78"/>
        <v>4</v>
      </c>
    </row>
    <row r="635" spans="1:8" ht="31.5" x14ac:dyDescent="0.25">
      <c r="A635" s="458" t="s">
        <v>131</v>
      </c>
      <c r="B635" s="454" t="s">
        <v>1026</v>
      </c>
      <c r="C635" s="461" t="s">
        <v>299</v>
      </c>
      <c r="D635" s="461" t="s">
        <v>150</v>
      </c>
      <c r="E635" s="461" t="s">
        <v>132</v>
      </c>
      <c r="F635" s="2"/>
      <c r="G635" s="10">
        <f t="shared" si="78"/>
        <v>0</v>
      </c>
      <c r="H635" s="10">
        <f t="shared" si="78"/>
        <v>4</v>
      </c>
    </row>
    <row r="636" spans="1:8" ht="47.25" x14ac:dyDescent="0.25">
      <c r="A636" s="458" t="s">
        <v>133</v>
      </c>
      <c r="B636" s="454" t="s">
        <v>1026</v>
      </c>
      <c r="C636" s="461" t="s">
        <v>299</v>
      </c>
      <c r="D636" s="461" t="s">
        <v>150</v>
      </c>
      <c r="E636" s="461" t="s">
        <v>134</v>
      </c>
      <c r="F636" s="2"/>
      <c r="G636" s="10">
        <f>'пр.6.1.ведом.22-23 (2)'!G444</f>
        <v>0</v>
      </c>
      <c r="H636" s="10">
        <f>'пр.6.1.ведом.22-23 (2)'!H444</f>
        <v>4</v>
      </c>
    </row>
    <row r="637" spans="1:8" ht="47.25" x14ac:dyDescent="0.25">
      <c r="A637" s="45" t="s">
        <v>261</v>
      </c>
      <c r="B637" s="454" t="s">
        <v>1026</v>
      </c>
      <c r="C637" s="461" t="s">
        <v>299</v>
      </c>
      <c r="D637" s="461" t="s">
        <v>150</v>
      </c>
      <c r="E637" s="461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61" t="s">
        <v>934</v>
      </c>
      <c r="C638" s="461" t="s">
        <v>491</v>
      </c>
      <c r="D638" s="73"/>
      <c r="E638" s="73"/>
      <c r="F638" s="73"/>
      <c r="G638" s="10">
        <f t="shared" ref="G638:H639" si="79">G639</f>
        <v>0</v>
      </c>
      <c r="H638" s="10">
        <f t="shared" si="79"/>
        <v>8</v>
      </c>
    </row>
    <row r="639" spans="1:8" ht="15.75" x14ac:dyDescent="0.25">
      <c r="A639" s="73" t="s">
        <v>492</v>
      </c>
      <c r="B639" s="461" t="s">
        <v>934</v>
      </c>
      <c r="C639" s="461" t="s">
        <v>491</v>
      </c>
      <c r="D639" s="461" t="s">
        <v>118</v>
      </c>
      <c r="E639" s="73"/>
      <c r="F639" s="73"/>
      <c r="G639" s="10">
        <f t="shared" si="79"/>
        <v>0</v>
      </c>
      <c r="H639" s="10">
        <f t="shared" si="79"/>
        <v>8</v>
      </c>
    </row>
    <row r="640" spans="1:8" ht="47.25" x14ac:dyDescent="0.25">
      <c r="A640" s="31" t="s">
        <v>1082</v>
      </c>
      <c r="B640" s="461" t="s">
        <v>935</v>
      </c>
      <c r="C640" s="461" t="s">
        <v>491</v>
      </c>
      <c r="D640" s="461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458" t="s">
        <v>272</v>
      </c>
      <c r="B641" s="461" t="s">
        <v>935</v>
      </c>
      <c r="C641" s="461" t="s">
        <v>491</v>
      </c>
      <c r="D641" s="461" t="s">
        <v>118</v>
      </c>
      <c r="E641" s="461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458" t="s">
        <v>274</v>
      </c>
      <c r="B642" s="461" t="s">
        <v>935</v>
      </c>
      <c r="C642" s="461" t="s">
        <v>491</v>
      </c>
      <c r="D642" s="461" t="s">
        <v>118</v>
      </c>
      <c r="E642" s="461" t="s">
        <v>275</v>
      </c>
      <c r="F642" s="73"/>
      <c r="G642" s="10">
        <f>'пр.6.1.ведом.22-23 (2)'!G797</f>
        <v>0</v>
      </c>
      <c r="H642" s="10">
        <f>'пр.6.1.ведом.22-23 (2)'!H797</f>
        <v>8</v>
      </c>
    </row>
    <row r="643" spans="1:8" ht="47.25" x14ac:dyDescent="0.25">
      <c r="A643" s="45" t="s">
        <v>480</v>
      </c>
      <c r="B643" s="461" t="s">
        <v>935</v>
      </c>
      <c r="C643" s="461" t="s">
        <v>491</v>
      </c>
      <c r="D643" s="461" t="s">
        <v>118</v>
      </c>
      <c r="E643" s="461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62" t="s">
        <v>1365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456" t="s">
        <v>1438</v>
      </c>
      <c r="B645" s="7" t="s">
        <v>1275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61" t="s">
        <v>1275</v>
      </c>
      <c r="C646" s="461" t="s">
        <v>234</v>
      </c>
      <c r="D646" s="461"/>
      <c r="E646" s="2"/>
      <c r="F646" s="2"/>
      <c r="G646" s="10">
        <f t="shared" ref="G646:H646" si="80">G647</f>
        <v>1920</v>
      </c>
      <c r="H646" s="10">
        <f t="shared" si="80"/>
        <v>2173</v>
      </c>
    </row>
    <row r="647" spans="1:8" ht="15.75" x14ac:dyDescent="0.25">
      <c r="A647" s="73" t="s">
        <v>541</v>
      </c>
      <c r="B647" s="461" t="s">
        <v>1275</v>
      </c>
      <c r="C647" s="461" t="s">
        <v>234</v>
      </c>
      <c r="D647" s="461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458" t="s">
        <v>546</v>
      </c>
      <c r="B648" s="454" t="s">
        <v>1434</v>
      </c>
      <c r="C648" s="461" t="s">
        <v>234</v>
      </c>
      <c r="D648" s="461" t="s">
        <v>215</v>
      </c>
      <c r="E648" s="2"/>
      <c r="F648" s="2"/>
      <c r="G648" s="10">
        <f t="shared" ref="G648:H649" si="81">G649</f>
        <v>365</v>
      </c>
      <c r="H648" s="10">
        <f t="shared" si="81"/>
        <v>365</v>
      </c>
    </row>
    <row r="649" spans="1:8" ht="31.5" x14ac:dyDescent="0.25">
      <c r="A649" s="458" t="s">
        <v>131</v>
      </c>
      <c r="B649" s="454" t="s">
        <v>1434</v>
      </c>
      <c r="C649" s="461" t="s">
        <v>234</v>
      </c>
      <c r="D649" s="461" t="s">
        <v>215</v>
      </c>
      <c r="E649" s="2">
        <v>200</v>
      </c>
      <c r="F649" s="2"/>
      <c r="G649" s="10">
        <f t="shared" si="81"/>
        <v>365</v>
      </c>
      <c r="H649" s="10">
        <f t="shared" si="81"/>
        <v>365</v>
      </c>
    </row>
    <row r="650" spans="1:8" ht="47.25" x14ac:dyDescent="0.25">
      <c r="A650" s="458" t="s">
        <v>133</v>
      </c>
      <c r="B650" s="454" t="s">
        <v>1434</v>
      </c>
      <c r="C650" s="461" t="s">
        <v>234</v>
      </c>
      <c r="D650" s="461" t="s">
        <v>215</v>
      </c>
      <c r="E650" s="2">
        <v>240</v>
      </c>
      <c r="F650" s="2"/>
      <c r="G650" s="10">
        <f>'пр.6.1.ведом.22-23 (2)'!G967</f>
        <v>365</v>
      </c>
      <c r="H650" s="10">
        <f>'пр.6.1.ведом.22-23 (2)'!H967</f>
        <v>365</v>
      </c>
    </row>
    <row r="651" spans="1:8" ht="47.25" x14ac:dyDescent="0.25">
      <c r="A651" s="45" t="s">
        <v>623</v>
      </c>
      <c r="B651" s="454" t="s">
        <v>1434</v>
      </c>
      <c r="C651" s="461" t="s">
        <v>234</v>
      </c>
      <c r="D651" s="461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458" t="s">
        <v>548</v>
      </c>
      <c r="B652" s="454" t="s">
        <v>1422</v>
      </c>
      <c r="C652" s="461" t="s">
        <v>234</v>
      </c>
      <c r="D652" s="461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458" t="s">
        <v>131</v>
      </c>
      <c r="B653" s="454" t="s">
        <v>1422</v>
      </c>
      <c r="C653" s="461" t="s">
        <v>234</v>
      </c>
      <c r="D653" s="461" t="s">
        <v>215</v>
      </c>
      <c r="E653" s="2">
        <v>200</v>
      </c>
      <c r="F653" s="2"/>
      <c r="G653" s="10">
        <f t="shared" ref="G653:H653" si="82">G654</f>
        <v>1080</v>
      </c>
      <c r="H653" s="10">
        <f t="shared" si="82"/>
        <v>1188</v>
      </c>
    </row>
    <row r="654" spans="1:8" ht="47.25" x14ac:dyDescent="0.25">
      <c r="A654" s="458" t="s">
        <v>133</v>
      </c>
      <c r="B654" s="454" t="s">
        <v>1422</v>
      </c>
      <c r="C654" s="461" t="s">
        <v>234</v>
      </c>
      <c r="D654" s="461" t="s">
        <v>215</v>
      </c>
      <c r="E654" s="2">
        <v>240</v>
      </c>
      <c r="F654" s="2"/>
      <c r="G654" s="10">
        <f>'пр.6.1.ведом.22-23 (2)'!G970</f>
        <v>1080</v>
      </c>
      <c r="H654" s="10">
        <f>'пр.6.1.ведом.22-23 (2)'!H970</f>
        <v>1188</v>
      </c>
    </row>
    <row r="655" spans="1:8" ht="47.25" x14ac:dyDescent="0.25">
      <c r="A655" s="45" t="s">
        <v>623</v>
      </c>
      <c r="B655" s="454" t="s">
        <v>1422</v>
      </c>
      <c r="C655" s="461" t="s">
        <v>234</v>
      </c>
      <c r="D655" s="461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458" t="s">
        <v>135</v>
      </c>
      <c r="B656" s="454" t="s">
        <v>1422</v>
      </c>
      <c r="C656" s="461" t="s">
        <v>234</v>
      </c>
      <c r="D656" s="461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458" t="s">
        <v>836</v>
      </c>
      <c r="B657" s="454" t="s">
        <v>1422</v>
      </c>
      <c r="C657" s="461" t="s">
        <v>234</v>
      </c>
      <c r="D657" s="461" t="s">
        <v>215</v>
      </c>
      <c r="E657" s="2">
        <v>830</v>
      </c>
      <c r="F657" s="2"/>
      <c r="G657" s="10">
        <f>'пр.6.1.ведом.22-23 (2)'!G972</f>
        <v>0</v>
      </c>
      <c r="H657" s="10">
        <f>'пр.6.1.ведом.22-23 (2)'!H972</f>
        <v>0</v>
      </c>
    </row>
    <row r="658" spans="1:8" ht="47.25" hidden="1" x14ac:dyDescent="0.25">
      <c r="A658" s="45" t="s">
        <v>623</v>
      </c>
      <c r="B658" s="454" t="s">
        <v>1422</v>
      </c>
      <c r="C658" s="461" t="s">
        <v>234</v>
      </c>
      <c r="D658" s="461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458" t="s">
        <v>135</v>
      </c>
      <c r="B659" s="454" t="s">
        <v>1422</v>
      </c>
      <c r="C659" s="461" t="s">
        <v>234</v>
      </c>
      <c r="D659" s="461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458" t="s">
        <v>1078</v>
      </c>
      <c r="B660" s="454" t="s">
        <v>1422</v>
      </c>
      <c r="C660" s="461" t="s">
        <v>234</v>
      </c>
      <c r="D660" s="461" t="s">
        <v>215</v>
      </c>
      <c r="E660" s="2">
        <v>850</v>
      </c>
      <c r="F660" s="2"/>
      <c r="G660" s="10">
        <f>'пр.6.1.ведом.22-23 (2)'!G973</f>
        <v>0</v>
      </c>
      <c r="H660" s="10">
        <f>'пр.6.1.ведом.22-23 (2)'!H973</f>
        <v>0</v>
      </c>
    </row>
    <row r="661" spans="1:8" ht="47.25" hidden="1" x14ac:dyDescent="0.25">
      <c r="A661" s="45" t="s">
        <v>623</v>
      </c>
      <c r="B661" s="454" t="s">
        <v>1422</v>
      </c>
      <c r="C661" s="461" t="s">
        <v>234</v>
      </c>
      <c r="D661" s="461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458" t="s">
        <v>550</v>
      </c>
      <c r="B662" s="454" t="s">
        <v>1299</v>
      </c>
      <c r="C662" s="461" t="s">
        <v>234</v>
      </c>
      <c r="D662" s="461" t="s">
        <v>215</v>
      </c>
      <c r="E662" s="2"/>
      <c r="F662" s="2"/>
      <c r="G662" s="10">
        <f t="shared" ref="G662:H662" si="83">G663</f>
        <v>0</v>
      </c>
      <c r="H662" s="10">
        <f t="shared" si="83"/>
        <v>0</v>
      </c>
    </row>
    <row r="663" spans="1:8" ht="31.5" hidden="1" x14ac:dyDescent="0.25">
      <c r="A663" s="458" t="s">
        <v>131</v>
      </c>
      <c r="B663" s="454" t="s">
        <v>1299</v>
      </c>
      <c r="C663" s="461" t="s">
        <v>234</v>
      </c>
      <c r="D663" s="461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458" t="s">
        <v>133</v>
      </c>
      <c r="B664" s="454" t="s">
        <v>1299</v>
      </c>
      <c r="C664" s="461" t="s">
        <v>234</v>
      </c>
      <c r="D664" s="461" t="s">
        <v>215</v>
      </c>
      <c r="E664" s="2">
        <v>240</v>
      </c>
      <c r="F664" s="2"/>
      <c r="G664" s="10">
        <f>'пр.6.1.ведом.22-23 (2)'!G976</f>
        <v>0</v>
      </c>
      <c r="H664" s="10">
        <f>'пр.6.1.ведом.22-23 (2)'!H976</f>
        <v>0</v>
      </c>
    </row>
    <row r="665" spans="1:8" ht="47.25" hidden="1" x14ac:dyDescent="0.25">
      <c r="A665" s="45" t="s">
        <v>623</v>
      </c>
      <c r="B665" s="454" t="s">
        <v>1299</v>
      </c>
      <c r="C665" s="461" t="s">
        <v>234</v>
      </c>
      <c r="D665" s="461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458" t="s">
        <v>555</v>
      </c>
      <c r="B666" s="454" t="s">
        <v>1276</v>
      </c>
      <c r="C666" s="461" t="s">
        <v>234</v>
      </c>
      <c r="D666" s="461" t="s">
        <v>215</v>
      </c>
      <c r="E666" s="2"/>
      <c r="F666" s="2"/>
      <c r="G666" s="10">
        <f t="shared" ref="G666:H667" si="84">G667</f>
        <v>50</v>
      </c>
      <c r="H666" s="10">
        <f t="shared" si="84"/>
        <v>55</v>
      </c>
    </row>
    <row r="667" spans="1:8" ht="31.5" x14ac:dyDescent="0.25">
      <c r="A667" s="458" t="s">
        <v>131</v>
      </c>
      <c r="B667" s="454" t="s">
        <v>1276</v>
      </c>
      <c r="C667" s="461" t="s">
        <v>234</v>
      </c>
      <c r="D667" s="461" t="s">
        <v>215</v>
      </c>
      <c r="E667" s="2">
        <v>200</v>
      </c>
      <c r="F667" s="2"/>
      <c r="G667" s="10">
        <f t="shared" si="84"/>
        <v>50</v>
      </c>
      <c r="H667" s="10">
        <f t="shared" si="84"/>
        <v>55</v>
      </c>
    </row>
    <row r="668" spans="1:8" ht="47.25" x14ac:dyDescent="0.25">
      <c r="A668" s="458" t="s">
        <v>133</v>
      </c>
      <c r="B668" s="454" t="s">
        <v>1276</v>
      </c>
      <c r="C668" s="461" t="s">
        <v>234</v>
      </c>
      <c r="D668" s="461" t="s">
        <v>215</v>
      </c>
      <c r="E668" s="2">
        <v>240</v>
      </c>
      <c r="F668" s="2"/>
      <c r="G668" s="10">
        <f>'пр.6.1.ведом.22-23 (2)'!G979</f>
        <v>50</v>
      </c>
      <c r="H668" s="10">
        <f>'пр.6.1.ведом.22-23 (2)'!H979</f>
        <v>55</v>
      </c>
    </row>
    <row r="669" spans="1:8" ht="47.25" x14ac:dyDescent="0.25">
      <c r="A669" s="45" t="s">
        <v>623</v>
      </c>
      <c r="B669" s="454" t="s">
        <v>1276</v>
      </c>
      <c r="C669" s="461" t="s">
        <v>234</v>
      </c>
      <c r="D669" s="461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90" t="s">
        <v>1280</v>
      </c>
      <c r="B670" s="454" t="s">
        <v>1277</v>
      </c>
      <c r="C670" s="461" t="s">
        <v>234</v>
      </c>
      <c r="D670" s="461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458" t="s">
        <v>131</v>
      </c>
      <c r="B671" s="454" t="s">
        <v>1277</v>
      </c>
      <c r="C671" s="461" t="s">
        <v>234</v>
      </c>
      <c r="D671" s="461" t="s">
        <v>215</v>
      </c>
      <c r="E671" s="2">
        <v>200</v>
      </c>
      <c r="F671" s="2"/>
      <c r="G671" s="10">
        <f t="shared" ref="G671:H671" si="85">G672</f>
        <v>300</v>
      </c>
      <c r="H671" s="10">
        <f t="shared" si="85"/>
        <v>300</v>
      </c>
    </row>
    <row r="672" spans="1:8" ht="47.25" x14ac:dyDescent="0.25">
      <c r="A672" s="458" t="s">
        <v>133</v>
      </c>
      <c r="B672" s="454" t="s">
        <v>1277</v>
      </c>
      <c r="C672" s="461" t="s">
        <v>234</v>
      </c>
      <c r="D672" s="461" t="s">
        <v>215</v>
      </c>
      <c r="E672" s="2">
        <v>240</v>
      </c>
      <c r="F672" s="2"/>
      <c r="G672" s="10">
        <f>'пр.6.1.ведом.22-23 (2)'!G982</f>
        <v>300</v>
      </c>
      <c r="H672" s="10">
        <f>'пр.6.1.ведом.22-23 (2)'!H982</f>
        <v>300</v>
      </c>
    </row>
    <row r="673" spans="1:8" ht="47.25" x14ac:dyDescent="0.25">
      <c r="A673" s="45" t="s">
        <v>623</v>
      </c>
      <c r="B673" s="454" t="s">
        <v>1277</v>
      </c>
      <c r="C673" s="461" t="s">
        <v>234</v>
      </c>
      <c r="D673" s="461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454" t="s">
        <v>1277</v>
      </c>
      <c r="C674" s="461" t="s">
        <v>234</v>
      </c>
      <c r="D674" s="461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ht="15.75" x14ac:dyDescent="0.25">
      <c r="A675" s="458" t="s">
        <v>704</v>
      </c>
      <c r="B675" s="454" t="s">
        <v>1277</v>
      </c>
      <c r="C675" s="461" t="s">
        <v>234</v>
      </c>
      <c r="D675" s="461" t="s">
        <v>215</v>
      </c>
      <c r="E675" s="2">
        <v>850</v>
      </c>
      <c r="F675" s="2"/>
      <c r="G675" s="10">
        <f>'пр.6.1.ведом.22-23 (2)'!G984</f>
        <v>75</v>
      </c>
      <c r="H675" s="10">
        <f>'пр.6.1.ведом.22-23 (2)'!H984</f>
        <v>75</v>
      </c>
    </row>
    <row r="676" spans="1:8" ht="47.25" x14ac:dyDescent="0.25">
      <c r="A676" s="45" t="s">
        <v>623</v>
      </c>
      <c r="B676" s="454" t="s">
        <v>1277</v>
      </c>
      <c r="C676" s="461" t="s">
        <v>234</v>
      </c>
      <c r="D676" s="461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ht="31.5" x14ac:dyDescent="0.25">
      <c r="A677" s="45" t="s">
        <v>559</v>
      </c>
      <c r="B677" s="454" t="s">
        <v>1278</v>
      </c>
      <c r="C677" s="461" t="s">
        <v>234</v>
      </c>
      <c r="D677" s="461" t="s">
        <v>215</v>
      </c>
      <c r="E677" s="2"/>
      <c r="F677" s="2"/>
      <c r="G677" s="10">
        <f t="shared" ref="G677:H678" si="86">G678</f>
        <v>0</v>
      </c>
      <c r="H677" s="10">
        <f t="shared" si="86"/>
        <v>130</v>
      </c>
    </row>
    <row r="678" spans="1:8" ht="31.5" x14ac:dyDescent="0.25">
      <c r="A678" s="458" t="s">
        <v>131</v>
      </c>
      <c r="B678" s="454" t="s">
        <v>1278</v>
      </c>
      <c r="C678" s="461" t="s">
        <v>234</v>
      </c>
      <c r="D678" s="461" t="s">
        <v>215</v>
      </c>
      <c r="E678" s="2">
        <v>200</v>
      </c>
      <c r="F678" s="2"/>
      <c r="G678" s="10">
        <f t="shared" si="86"/>
        <v>0</v>
      </c>
      <c r="H678" s="10">
        <f t="shared" si="86"/>
        <v>130</v>
      </c>
    </row>
    <row r="679" spans="1:8" ht="47.25" x14ac:dyDescent="0.25">
      <c r="A679" s="458" t="s">
        <v>133</v>
      </c>
      <c r="B679" s="454" t="s">
        <v>1278</v>
      </c>
      <c r="C679" s="461" t="s">
        <v>234</v>
      </c>
      <c r="D679" s="461" t="s">
        <v>215</v>
      </c>
      <c r="E679" s="2">
        <v>240</v>
      </c>
      <c r="F679" s="2"/>
      <c r="G679" s="10">
        <f>'пр.6.1.ведом.22-23 (2)'!G987</f>
        <v>0</v>
      </c>
      <c r="H679" s="10">
        <f>'пр.6.1.ведом.22-23 (2)'!H987</f>
        <v>130</v>
      </c>
    </row>
    <row r="680" spans="1:8" ht="47.25" x14ac:dyDescent="0.25">
      <c r="A680" s="45" t="s">
        <v>623</v>
      </c>
      <c r="B680" s="454" t="s">
        <v>1278</v>
      </c>
      <c r="C680" s="461" t="s">
        <v>234</v>
      </c>
      <c r="D680" s="461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4" t="s">
        <v>1089</v>
      </c>
      <c r="B681" s="454" t="s">
        <v>1279</v>
      </c>
      <c r="C681" s="461" t="s">
        <v>234</v>
      </c>
      <c r="D681" s="461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458" t="s">
        <v>131</v>
      </c>
      <c r="B682" s="454" t="s">
        <v>1279</v>
      </c>
      <c r="C682" s="461" t="s">
        <v>234</v>
      </c>
      <c r="D682" s="461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458" t="s">
        <v>133</v>
      </c>
      <c r="B683" s="454" t="s">
        <v>1279</v>
      </c>
      <c r="C683" s="461" t="s">
        <v>234</v>
      </c>
      <c r="D683" s="461" t="s">
        <v>215</v>
      </c>
      <c r="E683" s="2">
        <v>240</v>
      </c>
      <c r="F683" s="2"/>
      <c r="G683" s="10">
        <f>'пр.6.1.ведом.22-23 (2)'!G990</f>
        <v>50</v>
      </c>
      <c r="H683" s="10">
        <f>'пр.6.1.ведом.22-23 (2)'!H990</f>
        <v>60</v>
      </c>
    </row>
    <row r="684" spans="1:8" ht="47.25" x14ac:dyDescent="0.25">
      <c r="A684" s="45" t="s">
        <v>623</v>
      </c>
      <c r="B684" s="454" t="s">
        <v>1279</v>
      </c>
      <c r="C684" s="461" t="s">
        <v>234</v>
      </c>
      <c r="D684" s="461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456" t="s">
        <v>891</v>
      </c>
      <c r="B685" s="457" t="s">
        <v>1297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454" t="s">
        <v>1297</v>
      </c>
      <c r="C686" s="461" t="s">
        <v>234</v>
      </c>
      <c r="D686" s="461"/>
      <c r="E686" s="2"/>
      <c r="F686" s="2"/>
      <c r="G686" s="10">
        <f t="shared" ref="G686:H686" si="87">G687</f>
        <v>0</v>
      </c>
      <c r="H686" s="10">
        <f t="shared" si="87"/>
        <v>0</v>
      </c>
    </row>
    <row r="687" spans="1:8" ht="15.75" hidden="1" x14ac:dyDescent="0.25">
      <c r="A687" s="73" t="s">
        <v>541</v>
      </c>
      <c r="B687" s="454" t="s">
        <v>1297</v>
      </c>
      <c r="C687" s="461" t="s">
        <v>234</v>
      </c>
      <c r="D687" s="461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458" t="s">
        <v>690</v>
      </c>
      <c r="B688" s="454" t="s">
        <v>1328</v>
      </c>
      <c r="C688" s="461" t="s">
        <v>234</v>
      </c>
      <c r="D688" s="461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458" t="s">
        <v>131</v>
      </c>
      <c r="B689" s="454" t="s">
        <v>1328</v>
      </c>
      <c r="C689" s="461" t="s">
        <v>234</v>
      </c>
      <c r="D689" s="461" t="s">
        <v>215</v>
      </c>
      <c r="E689" s="454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458" t="s">
        <v>133</v>
      </c>
      <c r="B690" s="454" t="s">
        <v>1328</v>
      </c>
      <c r="C690" s="461" t="s">
        <v>234</v>
      </c>
      <c r="D690" s="461" t="s">
        <v>215</v>
      </c>
      <c r="E690" s="454" t="s">
        <v>134</v>
      </c>
      <c r="F690" s="2"/>
      <c r="G690" s="10">
        <f>'пр.6.1.ведом.22-23 (2)'!G994</f>
        <v>0</v>
      </c>
      <c r="H690" s="10">
        <f>'пр.6.1.ведом.22-23 (2)'!H994</f>
        <v>0</v>
      </c>
    </row>
    <row r="691" spans="1:8" ht="47.25" hidden="1" x14ac:dyDescent="0.25">
      <c r="A691" s="45" t="s">
        <v>623</v>
      </c>
      <c r="B691" s="454" t="s">
        <v>1328</v>
      </c>
      <c r="C691" s="461" t="s">
        <v>234</v>
      </c>
      <c r="D691" s="461" t="s">
        <v>215</v>
      </c>
      <c r="E691" s="454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458" t="s">
        <v>1071</v>
      </c>
      <c r="B692" s="454" t="s">
        <v>1296</v>
      </c>
      <c r="C692" s="461" t="s">
        <v>234</v>
      </c>
      <c r="D692" s="461" t="s">
        <v>215</v>
      </c>
      <c r="E692" s="454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458" t="s">
        <v>131</v>
      </c>
      <c r="B693" s="454" t="s">
        <v>1296</v>
      </c>
      <c r="C693" s="461" t="s">
        <v>234</v>
      </c>
      <c r="D693" s="461" t="s">
        <v>215</v>
      </c>
      <c r="E693" s="454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458" t="s">
        <v>133</v>
      </c>
      <c r="B694" s="454" t="s">
        <v>1296</v>
      </c>
      <c r="C694" s="461" t="s">
        <v>234</v>
      </c>
      <c r="D694" s="461" t="s">
        <v>215</v>
      </c>
      <c r="E694" s="454" t="s">
        <v>134</v>
      </c>
      <c r="F694" s="2"/>
      <c r="G694" s="10">
        <f>'пр.6.1.ведом.22-23 (2)'!G997</f>
        <v>0</v>
      </c>
      <c r="H694" s="10">
        <f>'пр.6.1.ведом.22-23 (2)'!H997</f>
        <v>0</v>
      </c>
    </row>
    <row r="695" spans="1:8" ht="47.25" hidden="1" x14ac:dyDescent="0.25">
      <c r="A695" s="45" t="s">
        <v>623</v>
      </c>
      <c r="B695" s="454" t="s">
        <v>1296</v>
      </c>
      <c r="C695" s="461" t="s">
        <v>234</v>
      </c>
      <c r="D695" s="461" t="s">
        <v>215</v>
      </c>
      <c r="E695" s="454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1347</v>
      </c>
      <c r="B696" s="193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3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61" t="s">
        <v>150</v>
      </c>
      <c r="D698" s="461"/>
      <c r="E698" s="461"/>
      <c r="F698" s="2"/>
      <c r="G698" s="10">
        <f t="shared" ref="G698:H701" si="88">G699</f>
        <v>274</v>
      </c>
      <c r="H698" s="10">
        <f t="shared" si="88"/>
        <v>274</v>
      </c>
    </row>
    <row r="699" spans="1:8" ht="15.75" x14ac:dyDescent="0.25">
      <c r="A699" s="29" t="s">
        <v>233</v>
      </c>
      <c r="B699" s="30" t="s">
        <v>877</v>
      </c>
      <c r="C699" s="461" t="s">
        <v>150</v>
      </c>
      <c r="D699" s="461" t="s">
        <v>234</v>
      </c>
      <c r="E699" s="461"/>
      <c r="F699" s="2"/>
      <c r="G699" s="10">
        <f>G700</f>
        <v>274</v>
      </c>
      <c r="H699" s="10">
        <f>H700</f>
        <v>274</v>
      </c>
    </row>
    <row r="700" spans="1:8" ht="31.5" x14ac:dyDescent="0.25">
      <c r="A700" s="458" t="s">
        <v>235</v>
      </c>
      <c r="B700" s="454" t="s">
        <v>898</v>
      </c>
      <c r="C700" s="461" t="s">
        <v>150</v>
      </c>
      <c r="D700" s="461" t="s">
        <v>234</v>
      </c>
      <c r="E700" s="461"/>
      <c r="F700" s="2"/>
      <c r="G700" s="10">
        <f t="shared" si="88"/>
        <v>274</v>
      </c>
      <c r="H700" s="10">
        <f t="shared" si="88"/>
        <v>274</v>
      </c>
    </row>
    <row r="701" spans="1:8" ht="15.75" x14ac:dyDescent="0.25">
      <c r="A701" s="29" t="s">
        <v>135</v>
      </c>
      <c r="B701" s="454" t="s">
        <v>898</v>
      </c>
      <c r="C701" s="461" t="s">
        <v>150</v>
      </c>
      <c r="D701" s="461" t="s">
        <v>234</v>
      </c>
      <c r="E701" s="461" t="s">
        <v>145</v>
      </c>
      <c r="F701" s="2"/>
      <c r="G701" s="10">
        <f t="shared" si="88"/>
        <v>274</v>
      </c>
      <c r="H701" s="10">
        <f t="shared" si="88"/>
        <v>274</v>
      </c>
    </row>
    <row r="702" spans="1:8" ht="63" x14ac:dyDescent="0.25">
      <c r="A702" s="29" t="s">
        <v>184</v>
      </c>
      <c r="B702" s="454" t="s">
        <v>898</v>
      </c>
      <c r="C702" s="461" t="s">
        <v>150</v>
      </c>
      <c r="D702" s="461" t="s">
        <v>234</v>
      </c>
      <c r="E702" s="461" t="s">
        <v>160</v>
      </c>
      <c r="F702" s="2"/>
      <c r="G702" s="10">
        <f>'пр.6.1.ведом.22-23 (2)'!G197</f>
        <v>274</v>
      </c>
      <c r="H702" s="10">
        <f>'пр.6.1.ведом.22-23 (2)'!H197</f>
        <v>274</v>
      </c>
    </row>
    <row r="703" spans="1:8" ht="31.5" x14ac:dyDescent="0.25">
      <c r="A703" s="29" t="s">
        <v>148</v>
      </c>
      <c r="B703" s="454" t="s">
        <v>898</v>
      </c>
      <c r="C703" s="461" t="s">
        <v>150</v>
      </c>
      <c r="D703" s="461" t="s">
        <v>234</v>
      </c>
      <c r="E703" s="461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09" t="s">
        <v>1007</v>
      </c>
      <c r="B704" s="457" t="s">
        <v>879</v>
      </c>
      <c r="C704" s="461"/>
      <c r="D704" s="461"/>
      <c r="E704" s="461"/>
      <c r="F704" s="2"/>
      <c r="G704" s="10">
        <f t="shared" ref="G704:H708" si="89">G705</f>
        <v>0</v>
      </c>
      <c r="H704" s="10">
        <f t="shared" si="89"/>
        <v>0</v>
      </c>
    </row>
    <row r="705" spans="1:8" ht="15.75" hidden="1" x14ac:dyDescent="0.25">
      <c r="A705" s="29" t="s">
        <v>232</v>
      </c>
      <c r="B705" s="5" t="s">
        <v>877</v>
      </c>
      <c r="C705" s="461" t="s">
        <v>150</v>
      </c>
      <c r="D705" s="461"/>
      <c r="E705" s="461"/>
      <c r="F705" s="2"/>
      <c r="G705" s="10">
        <f t="shared" si="89"/>
        <v>0</v>
      </c>
      <c r="H705" s="10">
        <f t="shared" si="89"/>
        <v>0</v>
      </c>
    </row>
    <row r="706" spans="1:8" ht="15.75" hidden="1" x14ac:dyDescent="0.25">
      <c r="A706" s="29" t="s">
        <v>233</v>
      </c>
      <c r="B706" s="30" t="s">
        <v>877</v>
      </c>
      <c r="C706" s="461" t="s">
        <v>150</v>
      </c>
      <c r="D706" s="461" t="s">
        <v>234</v>
      </c>
      <c r="E706" s="461"/>
      <c r="F706" s="2"/>
      <c r="G706" s="10">
        <f t="shared" si="89"/>
        <v>0</v>
      </c>
      <c r="H706" s="10">
        <f t="shared" si="89"/>
        <v>0</v>
      </c>
    </row>
    <row r="707" spans="1:8" ht="15.75" hidden="1" x14ac:dyDescent="0.25">
      <c r="A707" s="458" t="s">
        <v>878</v>
      </c>
      <c r="B707" s="5" t="s">
        <v>899</v>
      </c>
      <c r="C707" s="461" t="s">
        <v>150</v>
      </c>
      <c r="D707" s="461" t="s">
        <v>234</v>
      </c>
      <c r="E707" s="461"/>
      <c r="F707" s="2"/>
      <c r="G707" s="10">
        <f t="shared" si="89"/>
        <v>0</v>
      </c>
      <c r="H707" s="10">
        <f t="shared" si="89"/>
        <v>0</v>
      </c>
    </row>
    <row r="708" spans="1:8" ht="15.75" hidden="1" x14ac:dyDescent="0.25">
      <c r="A708" s="29" t="s">
        <v>135</v>
      </c>
      <c r="B708" s="5" t="s">
        <v>899</v>
      </c>
      <c r="C708" s="461" t="s">
        <v>150</v>
      </c>
      <c r="D708" s="461" t="s">
        <v>234</v>
      </c>
      <c r="E708" s="461" t="s">
        <v>145</v>
      </c>
      <c r="F708" s="2"/>
      <c r="G708" s="10">
        <f t="shared" si="89"/>
        <v>0</v>
      </c>
      <c r="H708" s="10">
        <f t="shared" si="89"/>
        <v>0</v>
      </c>
    </row>
    <row r="709" spans="1:8" ht="63" hidden="1" x14ac:dyDescent="0.25">
      <c r="A709" s="29" t="s">
        <v>184</v>
      </c>
      <c r="B709" s="5" t="s">
        <v>899</v>
      </c>
      <c r="C709" s="461" t="s">
        <v>150</v>
      </c>
      <c r="D709" s="461" t="s">
        <v>234</v>
      </c>
      <c r="E709" s="461" t="s">
        <v>160</v>
      </c>
      <c r="F709" s="2"/>
      <c r="G709" s="10">
        <f>'пр.6.1.ведом.22-23 (2)'!G204</f>
        <v>0</v>
      </c>
      <c r="H709" s="10">
        <f>'пр.6.1.ведом.22-23 (2)'!H204</f>
        <v>0</v>
      </c>
    </row>
    <row r="710" spans="1:8" ht="31.5" hidden="1" x14ac:dyDescent="0.25">
      <c r="A710" s="29" t="s">
        <v>148</v>
      </c>
      <c r="B710" s="5" t="s">
        <v>899</v>
      </c>
      <c r="C710" s="461" t="s">
        <v>150</v>
      </c>
      <c r="D710" s="461" t="s">
        <v>234</v>
      </c>
      <c r="E710" s="461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62" t="s">
        <v>1534</v>
      </c>
      <c r="B711" s="7" t="s">
        <v>518</v>
      </c>
      <c r="C711" s="7"/>
      <c r="D711" s="7"/>
      <c r="E711" s="72"/>
      <c r="F711" s="3"/>
      <c r="G711" s="59">
        <f>G712+G719+G726+G733+G740+G747+G754</f>
        <v>700</v>
      </c>
      <c r="H711" s="59">
        <f>H712+H719+H726+H733+H740+H747+H754</f>
        <v>700</v>
      </c>
    </row>
    <row r="712" spans="1:8" ht="31.5" x14ac:dyDescent="0.25">
      <c r="A712" s="456" t="s">
        <v>963</v>
      </c>
      <c r="B712" s="457" t="s">
        <v>965</v>
      </c>
      <c r="C712" s="461"/>
      <c r="D712" s="461"/>
      <c r="E712" s="461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61" t="s">
        <v>965</v>
      </c>
      <c r="C713" s="461" t="s">
        <v>234</v>
      </c>
      <c r="D713" s="461"/>
      <c r="E713" s="73"/>
      <c r="F713" s="2"/>
      <c r="G713" s="10">
        <f t="shared" ref="G713:H713" si="90">G714</f>
        <v>700</v>
      </c>
      <c r="H713" s="10">
        <f t="shared" si="90"/>
        <v>700</v>
      </c>
    </row>
    <row r="714" spans="1:8" ht="15.75" x14ac:dyDescent="0.25">
      <c r="A714" s="29" t="s">
        <v>517</v>
      </c>
      <c r="B714" s="461" t="s">
        <v>965</v>
      </c>
      <c r="C714" s="461" t="s">
        <v>234</v>
      </c>
      <c r="D714" s="461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454" t="s">
        <v>966</v>
      </c>
      <c r="C715" s="461" t="s">
        <v>234</v>
      </c>
      <c r="D715" s="461" t="s">
        <v>213</v>
      </c>
      <c r="E715" s="461"/>
      <c r="F715" s="2"/>
      <c r="G715" s="10">
        <f t="shared" ref="G715:H716" si="91">G716</f>
        <v>700</v>
      </c>
      <c r="H715" s="10">
        <f t="shared" si="91"/>
        <v>700</v>
      </c>
    </row>
    <row r="716" spans="1:8" ht="31.5" x14ac:dyDescent="0.25">
      <c r="A716" s="31" t="s">
        <v>131</v>
      </c>
      <c r="B716" s="454" t="s">
        <v>966</v>
      </c>
      <c r="C716" s="461" t="s">
        <v>234</v>
      </c>
      <c r="D716" s="461" t="s">
        <v>213</v>
      </c>
      <c r="E716" s="461" t="s">
        <v>132</v>
      </c>
      <c r="F716" s="2"/>
      <c r="G716" s="10">
        <f t="shared" si="91"/>
        <v>700</v>
      </c>
      <c r="H716" s="10">
        <f t="shared" si="91"/>
        <v>700</v>
      </c>
    </row>
    <row r="717" spans="1:8" ht="47.25" x14ac:dyDescent="0.25">
      <c r="A717" s="31" t="s">
        <v>133</v>
      </c>
      <c r="B717" s="454" t="s">
        <v>966</v>
      </c>
      <c r="C717" s="461" t="s">
        <v>234</v>
      </c>
      <c r="D717" s="461" t="s">
        <v>213</v>
      </c>
      <c r="E717" s="461" t="s">
        <v>134</v>
      </c>
      <c r="F717" s="2"/>
      <c r="G717" s="10">
        <f>'пр.6.1.ведом.22-23 (2)'!G923</f>
        <v>700</v>
      </c>
      <c r="H717" s="10">
        <f>'пр.6.1.ведом.22-23 (2)'!H923</f>
        <v>700</v>
      </c>
    </row>
    <row r="718" spans="1:8" ht="47.25" x14ac:dyDescent="0.25">
      <c r="A718" s="45" t="s">
        <v>623</v>
      </c>
      <c r="B718" s="454" t="s">
        <v>966</v>
      </c>
      <c r="C718" s="461" t="s">
        <v>234</v>
      </c>
      <c r="D718" s="461" t="s">
        <v>213</v>
      </c>
      <c r="E718" s="461" t="s">
        <v>134</v>
      </c>
      <c r="F718" s="2">
        <v>908</v>
      </c>
      <c r="G718" s="451">
        <f>G717</f>
        <v>700</v>
      </c>
      <c r="H718" s="451">
        <f>H717</f>
        <v>700</v>
      </c>
    </row>
    <row r="719" spans="1:8" ht="31.5" hidden="1" x14ac:dyDescent="0.25">
      <c r="A719" s="34" t="s">
        <v>967</v>
      </c>
      <c r="B719" s="457" t="s">
        <v>968</v>
      </c>
      <c r="C719" s="461"/>
      <c r="D719" s="461"/>
      <c r="E719" s="461"/>
      <c r="F719" s="2"/>
      <c r="G719" s="59">
        <f>G720</f>
        <v>0</v>
      </c>
      <c r="H719" s="59">
        <f>H720</f>
        <v>0</v>
      </c>
    </row>
    <row r="720" spans="1:8" ht="15.75" hidden="1" x14ac:dyDescent="0.25">
      <c r="A720" s="29" t="s">
        <v>390</v>
      </c>
      <c r="B720" s="461" t="s">
        <v>968</v>
      </c>
      <c r="C720" s="461" t="s">
        <v>234</v>
      </c>
      <c r="D720" s="461"/>
      <c r="E720" s="73"/>
      <c r="F720" s="2"/>
      <c r="G720" s="10">
        <f t="shared" ref="G720:H720" si="92">G721</f>
        <v>0</v>
      </c>
      <c r="H720" s="10">
        <f t="shared" si="92"/>
        <v>0</v>
      </c>
    </row>
    <row r="721" spans="1:8" ht="15.75" hidden="1" x14ac:dyDescent="0.25">
      <c r="A721" s="29" t="s">
        <v>517</v>
      </c>
      <c r="B721" s="461" t="s">
        <v>968</v>
      </c>
      <c r="C721" s="461" t="s">
        <v>234</v>
      </c>
      <c r="D721" s="461" t="s">
        <v>213</v>
      </c>
      <c r="E721" s="73"/>
      <c r="F721" s="2"/>
      <c r="G721" s="10">
        <f>G722</f>
        <v>0</v>
      </c>
      <c r="H721" s="10">
        <f>H722</f>
        <v>0</v>
      </c>
    </row>
    <row r="722" spans="1:8" ht="15.75" hidden="1" x14ac:dyDescent="0.25">
      <c r="A722" s="45" t="s">
        <v>523</v>
      </c>
      <c r="B722" s="454" t="s">
        <v>971</v>
      </c>
      <c r="C722" s="461" t="s">
        <v>234</v>
      </c>
      <c r="D722" s="461" t="s">
        <v>213</v>
      </c>
      <c r="E722" s="461"/>
      <c r="F722" s="2"/>
      <c r="G722" s="10">
        <f>G723</f>
        <v>0</v>
      </c>
      <c r="H722" s="10">
        <f>H723</f>
        <v>0</v>
      </c>
    </row>
    <row r="723" spans="1:8" ht="31.5" hidden="1" x14ac:dyDescent="0.25">
      <c r="A723" s="31" t="s">
        <v>131</v>
      </c>
      <c r="B723" s="454" t="s">
        <v>971</v>
      </c>
      <c r="C723" s="461" t="s">
        <v>234</v>
      </c>
      <c r="D723" s="461" t="s">
        <v>213</v>
      </c>
      <c r="E723" s="461" t="s">
        <v>132</v>
      </c>
      <c r="F723" s="2"/>
      <c r="G723" s="10">
        <f t="shared" ref="G723:H723" si="93">G724</f>
        <v>0</v>
      </c>
      <c r="H723" s="10">
        <f t="shared" si="93"/>
        <v>0</v>
      </c>
    </row>
    <row r="724" spans="1:8" ht="47.25" hidden="1" x14ac:dyDescent="0.25">
      <c r="A724" s="31" t="s">
        <v>133</v>
      </c>
      <c r="B724" s="454" t="s">
        <v>971</v>
      </c>
      <c r="C724" s="461" t="s">
        <v>234</v>
      </c>
      <c r="D724" s="461" t="s">
        <v>213</v>
      </c>
      <c r="E724" s="461" t="s">
        <v>134</v>
      </c>
      <c r="F724" s="2"/>
      <c r="G724" s="10">
        <f>'пр.6.1.ведом.22-23 (2)'!G927</f>
        <v>0</v>
      </c>
      <c r="H724" s="10">
        <f>'пр.6.1.ведом.22-23 (2)'!H927</f>
        <v>0</v>
      </c>
    </row>
    <row r="725" spans="1:8" ht="47.25" hidden="1" x14ac:dyDescent="0.25">
      <c r="A725" s="45" t="s">
        <v>623</v>
      </c>
      <c r="B725" s="454" t="s">
        <v>971</v>
      </c>
      <c r="C725" s="461" t="s">
        <v>234</v>
      </c>
      <c r="D725" s="461" t="s">
        <v>213</v>
      </c>
      <c r="E725" s="461" t="s">
        <v>134</v>
      </c>
      <c r="F725" s="2">
        <v>908</v>
      </c>
      <c r="G725" s="451">
        <f>G724</f>
        <v>0</v>
      </c>
      <c r="H725" s="451">
        <f>H724</f>
        <v>0</v>
      </c>
    </row>
    <row r="726" spans="1:8" ht="31.5" hidden="1" x14ac:dyDescent="0.25">
      <c r="A726" s="58" t="s">
        <v>969</v>
      </c>
      <c r="B726" s="457" t="s">
        <v>970</v>
      </c>
      <c r="C726" s="461"/>
      <c r="D726" s="461"/>
      <c r="E726" s="461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61" t="s">
        <v>970</v>
      </c>
      <c r="C727" s="461" t="s">
        <v>234</v>
      </c>
      <c r="D727" s="461"/>
      <c r="E727" s="73"/>
      <c r="F727" s="2"/>
      <c r="G727" s="10">
        <f t="shared" ref="G727:H727" si="94">G728</f>
        <v>0</v>
      </c>
      <c r="H727" s="10">
        <f t="shared" si="94"/>
        <v>0</v>
      </c>
    </row>
    <row r="728" spans="1:8" ht="15.75" hidden="1" x14ac:dyDescent="0.25">
      <c r="A728" s="29" t="s">
        <v>517</v>
      </c>
      <c r="B728" s="461" t="s">
        <v>970</v>
      </c>
      <c r="C728" s="461" t="s">
        <v>234</v>
      </c>
      <c r="D728" s="461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454" t="s">
        <v>972</v>
      </c>
      <c r="C729" s="461" t="s">
        <v>234</v>
      </c>
      <c r="D729" s="461" t="s">
        <v>213</v>
      </c>
      <c r="E729" s="461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454" t="s">
        <v>972</v>
      </c>
      <c r="C730" s="461" t="s">
        <v>234</v>
      </c>
      <c r="D730" s="461" t="s">
        <v>213</v>
      </c>
      <c r="E730" s="461" t="s">
        <v>132</v>
      </c>
      <c r="F730" s="2"/>
      <c r="G730" s="10">
        <f t="shared" ref="G730:H730" si="95">G731</f>
        <v>0</v>
      </c>
      <c r="H730" s="10">
        <f t="shared" si="95"/>
        <v>0</v>
      </c>
    </row>
    <row r="731" spans="1:8" ht="47.25" hidden="1" x14ac:dyDescent="0.25">
      <c r="A731" s="31" t="s">
        <v>133</v>
      </c>
      <c r="B731" s="454" t="s">
        <v>972</v>
      </c>
      <c r="C731" s="461" t="s">
        <v>234</v>
      </c>
      <c r="D731" s="461" t="s">
        <v>213</v>
      </c>
      <c r="E731" s="461" t="s">
        <v>134</v>
      </c>
      <c r="F731" s="2"/>
      <c r="G731" s="10">
        <f>'пр.6.1.ведом.22-23 (2)'!G931</f>
        <v>0</v>
      </c>
      <c r="H731" s="10">
        <f>'пр.6.1.ведом.22-23 (2)'!H931</f>
        <v>0</v>
      </c>
    </row>
    <row r="732" spans="1:8" ht="47.25" hidden="1" x14ac:dyDescent="0.25">
      <c r="A732" s="45" t="s">
        <v>623</v>
      </c>
      <c r="B732" s="454" t="s">
        <v>972</v>
      </c>
      <c r="C732" s="461" t="s">
        <v>234</v>
      </c>
      <c r="D732" s="461" t="s">
        <v>213</v>
      </c>
      <c r="E732" s="461" t="s">
        <v>134</v>
      </c>
      <c r="F732" s="2">
        <v>908</v>
      </c>
      <c r="G732" s="451">
        <f>G731</f>
        <v>0</v>
      </c>
      <c r="H732" s="451">
        <f>H731</f>
        <v>0</v>
      </c>
    </row>
    <row r="733" spans="1:8" ht="31.5" hidden="1" x14ac:dyDescent="0.25">
      <c r="A733" s="58" t="s">
        <v>973</v>
      </c>
      <c r="B733" s="457" t="s">
        <v>974</v>
      </c>
      <c r="C733" s="461"/>
      <c r="D733" s="461"/>
      <c r="E733" s="461"/>
      <c r="F733" s="2"/>
      <c r="G733" s="59">
        <f t="shared" ref="G733:H737" si="96">G734</f>
        <v>0</v>
      </c>
      <c r="H733" s="59">
        <f t="shared" si="96"/>
        <v>0</v>
      </c>
    </row>
    <row r="734" spans="1:8" ht="15.75" hidden="1" x14ac:dyDescent="0.25">
      <c r="A734" s="29" t="s">
        <v>390</v>
      </c>
      <c r="B734" s="461" t="s">
        <v>974</v>
      </c>
      <c r="C734" s="461" t="s">
        <v>234</v>
      </c>
      <c r="D734" s="461"/>
      <c r="E734" s="73"/>
      <c r="F734" s="2"/>
      <c r="G734" s="10">
        <f t="shared" si="96"/>
        <v>0</v>
      </c>
      <c r="H734" s="10">
        <f t="shared" si="96"/>
        <v>0</v>
      </c>
    </row>
    <row r="735" spans="1:8" ht="15.75" hidden="1" x14ac:dyDescent="0.25">
      <c r="A735" s="29" t="s">
        <v>517</v>
      </c>
      <c r="B735" s="461" t="s">
        <v>974</v>
      </c>
      <c r="C735" s="461" t="s">
        <v>234</v>
      </c>
      <c r="D735" s="461" t="s">
        <v>213</v>
      </c>
      <c r="E735" s="73"/>
      <c r="F735" s="2"/>
      <c r="G735" s="10">
        <f t="shared" si="96"/>
        <v>0</v>
      </c>
      <c r="H735" s="10">
        <f t="shared" si="96"/>
        <v>0</v>
      </c>
    </row>
    <row r="736" spans="1:8" ht="31.5" hidden="1" x14ac:dyDescent="0.25">
      <c r="A736" s="45" t="s">
        <v>527</v>
      </c>
      <c r="B736" s="454" t="s">
        <v>975</v>
      </c>
      <c r="C736" s="461" t="s">
        <v>234</v>
      </c>
      <c r="D736" s="461" t="s">
        <v>213</v>
      </c>
      <c r="E736" s="461"/>
      <c r="F736" s="2"/>
      <c r="G736" s="10">
        <f t="shared" si="96"/>
        <v>0</v>
      </c>
      <c r="H736" s="10">
        <f t="shared" si="96"/>
        <v>0</v>
      </c>
    </row>
    <row r="737" spans="1:8" ht="31.5" hidden="1" x14ac:dyDescent="0.25">
      <c r="A737" s="31" t="s">
        <v>131</v>
      </c>
      <c r="B737" s="454" t="s">
        <v>975</v>
      </c>
      <c r="C737" s="461" t="s">
        <v>234</v>
      </c>
      <c r="D737" s="461" t="s">
        <v>213</v>
      </c>
      <c r="E737" s="461" t="s">
        <v>132</v>
      </c>
      <c r="F737" s="2"/>
      <c r="G737" s="10">
        <f t="shared" si="96"/>
        <v>0</v>
      </c>
      <c r="H737" s="10">
        <f t="shared" si="96"/>
        <v>0</v>
      </c>
    </row>
    <row r="738" spans="1:8" ht="47.25" hidden="1" x14ac:dyDescent="0.25">
      <c r="A738" s="31" t="s">
        <v>133</v>
      </c>
      <c r="B738" s="454" t="s">
        <v>975</v>
      </c>
      <c r="C738" s="461" t="s">
        <v>234</v>
      </c>
      <c r="D738" s="461" t="s">
        <v>213</v>
      </c>
      <c r="E738" s="461" t="s">
        <v>134</v>
      </c>
      <c r="F738" s="2"/>
      <c r="G738" s="10">
        <f>'пр.6.1.ведом.22-23 (2)'!G935</f>
        <v>0</v>
      </c>
      <c r="H738" s="10">
        <f>'пр.6.1.ведом.22-23 (2)'!H935</f>
        <v>0</v>
      </c>
    </row>
    <row r="739" spans="1:8" ht="47.25" hidden="1" x14ac:dyDescent="0.25">
      <c r="A739" s="45" t="s">
        <v>623</v>
      </c>
      <c r="B739" s="454" t="s">
        <v>975</v>
      </c>
      <c r="C739" s="461" t="s">
        <v>234</v>
      </c>
      <c r="D739" s="461" t="s">
        <v>213</v>
      </c>
      <c r="E739" s="461" t="s">
        <v>134</v>
      </c>
      <c r="F739" s="2">
        <v>908</v>
      </c>
      <c r="G739" s="451">
        <f>G738</f>
        <v>0</v>
      </c>
      <c r="H739" s="451">
        <f>H738</f>
        <v>0</v>
      </c>
    </row>
    <row r="740" spans="1:8" ht="31.5" hidden="1" x14ac:dyDescent="0.25">
      <c r="A740" s="34" t="s">
        <v>1014</v>
      </c>
      <c r="B740" s="457" t="s">
        <v>1015</v>
      </c>
      <c r="C740" s="461"/>
      <c r="D740" s="461"/>
      <c r="E740" s="461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61" t="s">
        <v>518</v>
      </c>
      <c r="C741" s="461" t="s">
        <v>234</v>
      </c>
      <c r="D741" s="461"/>
      <c r="E741" s="73"/>
      <c r="F741" s="2"/>
      <c r="G741" s="10">
        <f t="shared" ref="G741:H741" si="97">G742</f>
        <v>0</v>
      </c>
      <c r="H741" s="10">
        <f t="shared" si="97"/>
        <v>0</v>
      </c>
    </row>
    <row r="742" spans="1:8" ht="15.75" hidden="1" x14ac:dyDescent="0.25">
      <c r="A742" s="29" t="s">
        <v>517</v>
      </c>
      <c r="B742" s="461" t="s">
        <v>518</v>
      </c>
      <c r="C742" s="461" t="s">
        <v>234</v>
      </c>
      <c r="D742" s="461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454" t="s">
        <v>1018</v>
      </c>
      <c r="C743" s="461" t="s">
        <v>234</v>
      </c>
      <c r="D743" s="461" t="s">
        <v>213</v>
      </c>
      <c r="E743" s="461"/>
      <c r="F743" s="2"/>
      <c r="G743" s="10">
        <f t="shared" ref="G743:H744" si="98">G744</f>
        <v>0</v>
      </c>
      <c r="H743" s="10">
        <f t="shared" si="98"/>
        <v>0</v>
      </c>
    </row>
    <row r="744" spans="1:8" ht="31.5" hidden="1" x14ac:dyDescent="0.25">
      <c r="A744" s="31" t="s">
        <v>131</v>
      </c>
      <c r="B744" s="454" t="s">
        <v>1018</v>
      </c>
      <c r="C744" s="461" t="s">
        <v>234</v>
      </c>
      <c r="D744" s="461" t="s">
        <v>213</v>
      </c>
      <c r="E744" s="461" t="s">
        <v>132</v>
      </c>
      <c r="F744" s="2"/>
      <c r="G744" s="10">
        <f t="shared" si="98"/>
        <v>0</v>
      </c>
      <c r="H744" s="10">
        <f t="shared" si="98"/>
        <v>0</v>
      </c>
    </row>
    <row r="745" spans="1:8" ht="47.25" hidden="1" x14ac:dyDescent="0.25">
      <c r="A745" s="31" t="s">
        <v>133</v>
      </c>
      <c r="B745" s="454" t="s">
        <v>1018</v>
      </c>
      <c r="C745" s="461" t="s">
        <v>234</v>
      </c>
      <c r="D745" s="461" t="s">
        <v>213</v>
      </c>
      <c r="E745" s="461" t="s">
        <v>134</v>
      </c>
      <c r="F745" s="2"/>
      <c r="G745" s="10">
        <f>'пр.6.1.ведом.22-23 (2)'!G939</f>
        <v>0</v>
      </c>
      <c r="H745" s="10">
        <f>'пр.6.1.ведом.22-23 (2)'!H939</f>
        <v>0</v>
      </c>
    </row>
    <row r="746" spans="1:8" ht="47.25" hidden="1" x14ac:dyDescent="0.25">
      <c r="A746" s="45" t="s">
        <v>623</v>
      </c>
      <c r="B746" s="454" t="s">
        <v>1018</v>
      </c>
      <c r="C746" s="461" t="s">
        <v>234</v>
      </c>
      <c r="D746" s="461" t="s">
        <v>213</v>
      </c>
      <c r="E746" s="461" t="s">
        <v>134</v>
      </c>
      <c r="F746" s="2">
        <v>908</v>
      </c>
      <c r="G746" s="451">
        <f>G745</f>
        <v>0</v>
      </c>
      <c r="H746" s="451">
        <f>H745</f>
        <v>0</v>
      </c>
    </row>
    <row r="747" spans="1:8" ht="47.25" hidden="1" x14ac:dyDescent="0.25">
      <c r="A747" s="215" t="s">
        <v>1016</v>
      </c>
      <c r="B747" s="457" t="s">
        <v>1017</v>
      </c>
      <c r="C747" s="461"/>
      <c r="D747" s="461"/>
      <c r="E747" s="461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61" t="s">
        <v>518</v>
      </c>
      <c r="C748" s="461" t="s">
        <v>234</v>
      </c>
      <c r="D748" s="461"/>
      <c r="E748" s="73"/>
      <c r="F748" s="2"/>
      <c r="G748" s="10">
        <f t="shared" ref="G748:H748" si="99">G749</f>
        <v>0</v>
      </c>
      <c r="H748" s="10">
        <f t="shared" si="99"/>
        <v>0</v>
      </c>
    </row>
    <row r="749" spans="1:8" ht="15.75" hidden="1" x14ac:dyDescent="0.25">
      <c r="A749" s="29" t="s">
        <v>517</v>
      </c>
      <c r="B749" s="461" t="s">
        <v>518</v>
      </c>
      <c r="C749" s="461" t="s">
        <v>234</v>
      </c>
      <c r="D749" s="461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454" t="s">
        <v>1019</v>
      </c>
      <c r="C750" s="461" t="s">
        <v>234</v>
      </c>
      <c r="D750" s="461" t="s">
        <v>213</v>
      </c>
      <c r="E750" s="461"/>
      <c r="F750" s="2"/>
      <c r="G750" s="10">
        <f t="shared" ref="G750:H751" si="100">G751</f>
        <v>0</v>
      </c>
      <c r="H750" s="10">
        <f t="shared" si="100"/>
        <v>0</v>
      </c>
    </row>
    <row r="751" spans="1:8" ht="31.5" hidden="1" x14ac:dyDescent="0.25">
      <c r="A751" s="31" t="s">
        <v>131</v>
      </c>
      <c r="B751" s="454" t="s">
        <v>1019</v>
      </c>
      <c r="C751" s="461" t="s">
        <v>234</v>
      </c>
      <c r="D751" s="461" t="s">
        <v>213</v>
      </c>
      <c r="E751" s="461" t="s">
        <v>132</v>
      </c>
      <c r="F751" s="2"/>
      <c r="G751" s="10">
        <f t="shared" si="100"/>
        <v>0</v>
      </c>
      <c r="H751" s="10">
        <f t="shared" si="100"/>
        <v>0</v>
      </c>
    </row>
    <row r="752" spans="1:8" ht="47.25" hidden="1" x14ac:dyDescent="0.25">
      <c r="A752" s="31" t="s">
        <v>133</v>
      </c>
      <c r="B752" s="454" t="s">
        <v>1019</v>
      </c>
      <c r="C752" s="461" t="s">
        <v>234</v>
      </c>
      <c r="D752" s="461" t="s">
        <v>213</v>
      </c>
      <c r="E752" s="461" t="s">
        <v>134</v>
      </c>
      <c r="F752" s="2"/>
      <c r="G752" s="10">
        <f>'пр.6.1.ведом.22-23 (2)'!G943</f>
        <v>0</v>
      </c>
      <c r="H752" s="10">
        <f>'пр.6.1.ведом.22-23 (2)'!H943</f>
        <v>0</v>
      </c>
    </row>
    <row r="753" spans="1:8" ht="47.25" hidden="1" x14ac:dyDescent="0.25">
      <c r="A753" s="45" t="s">
        <v>623</v>
      </c>
      <c r="B753" s="454" t="s">
        <v>1019</v>
      </c>
      <c r="C753" s="461" t="s">
        <v>234</v>
      </c>
      <c r="D753" s="461" t="s">
        <v>213</v>
      </c>
      <c r="E753" s="461" t="s">
        <v>134</v>
      </c>
      <c r="F753" s="2">
        <v>908</v>
      </c>
      <c r="G753" s="451">
        <f>G752</f>
        <v>0</v>
      </c>
      <c r="H753" s="451">
        <f>H752</f>
        <v>0</v>
      </c>
    </row>
    <row r="754" spans="1:8" ht="31.5" hidden="1" x14ac:dyDescent="0.25">
      <c r="A754" s="215" t="s">
        <v>977</v>
      </c>
      <c r="B754" s="457" t="s">
        <v>978</v>
      </c>
      <c r="C754" s="461"/>
      <c r="D754" s="461"/>
      <c r="E754" s="461"/>
      <c r="F754" s="2"/>
      <c r="G754" s="59">
        <f t="shared" ref="G754:H758" si="101">G755</f>
        <v>0</v>
      </c>
      <c r="H754" s="59">
        <f t="shared" si="101"/>
        <v>0</v>
      </c>
    </row>
    <row r="755" spans="1:8" ht="15.75" hidden="1" x14ac:dyDescent="0.25">
      <c r="A755" s="29" t="s">
        <v>390</v>
      </c>
      <c r="B755" s="461" t="s">
        <v>518</v>
      </c>
      <c r="C755" s="461" t="s">
        <v>234</v>
      </c>
      <c r="D755" s="461"/>
      <c r="E755" s="73"/>
      <c r="F755" s="2"/>
      <c r="G755" s="10">
        <f t="shared" si="101"/>
        <v>0</v>
      </c>
      <c r="H755" s="10">
        <f t="shared" si="101"/>
        <v>0</v>
      </c>
    </row>
    <row r="756" spans="1:8" ht="15.75" hidden="1" x14ac:dyDescent="0.25">
      <c r="A756" s="29" t="s">
        <v>517</v>
      </c>
      <c r="B756" s="461" t="s">
        <v>518</v>
      </c>
      <c r="C756" s="461" t="s">
        <v>234</v>
      </c>
      <c r="D756" s="461" t="s">
        <v>213</v>
      </c>
      <c r="E756" s="73"/>
      <c r="F756" s="2"/>
      <c r="G756" s="10">
        <f t="shared" si="101"/>
        <v>0</v>
      </c>
      <c r="H756" s="10">
        <f t="shared" si="101"/>
        <v>0</v>
      </c>
    </row>
    <row r="757" spans="1:8" ht="15.75" hidden="1" x14ac:dyDescent="0.25">
      <c r="A757" s="174" t="s">
        <v>533</v>
      </c>
      <c r="B757" s="454" t="s">
        <v>976</v>
      </c>
      <c r="C757" s="461" t="s">
        <v>234</v>
      </c>
      <c r="D757" s="461" t="s">
        <v>213</v>
      </c>
      <c r="E757" s="461"/>
      <c r="F757" s="2"/>
      <c r="G757" s="10">
        <f t="shared" si="101"/>
        <v>0</v>
      </c>
      <c r="H757" s="10">
        <f t="shared" si="101"/>
        <v>0</v>
      </c>
    </row>
    <row r="758" spans="1:8" ht="31.5" hidden="1" x14ac:dyDescent="0.3">
      <c r="A758" s="458" t="s">
        <v>131</v>
      </c>
      <c r="B758" s="454" t="s">
        <v>976</v>
      </c>
      <c r="C758" s="461" t="s">
        <v>234</v>
      </c>
      <c r="D758" s="461" t="s">
        <v>213</v>
      </c>
      <c r="E758" s="2">
        <v>200</v>
      </c>
      <c r="F758" s="77"/>
      <c r="G758" s="451">
        <f t="shared" si="101"/>
        <v>0</v>
      </c>
      <c r="H758" s="451">
        <f t="shared" si="101"/>
        <v>0</v>
      </c>
    </row>
    <row r="759" spans="1:8" ht="47.25" hidden="1" x14ac:dyDescent="0.3">
      <c r="A759" s="458" t="s">
        <v>133</v>
      </c>
      <c r="B759" s="454" t="s">
        <v>976</v>
      </c>
      <c r="C759" s="461" t="s">
        <v>234</v>
      </c>
      <c r="D759" s="461" t="s">
        <v>213</v>
      </c>
      <c r="E759" s="2">
        <v>240</v>
      </c>
      <c r="F759" s="77"/>
      <c r="G759" s="451">
        <f>'пр.6.1.ведом.22-23 (2)'!G947</f>
        <v>0</v>
      </c>
      <c r="H759" s="451">
        <f>'пр.6.1.ведом.22-23 (2)'!H947</f>
        <v>0</v>
      </c>
    </row>
    <row r="760" spans="1:8" ht="47.25" hidden="1" x14ac:dyDescent="0.25">
      <c r="A760" s="45" t="s">
        <v>623</v>
      </c>
      <c r="B760" s="454" t="s">
        <v>976</v>
      </c>
      <c r="C760" s="461" t="s">
        <v>234</v>
      </c>
      <c r="D760" s="461" t="s">
        <v>213</v>
      </c>
      <c r="E760" s="2">
        <v>240</v>
      </c>
      <c r="F760" s="2">
        <v>908</v>
      </c>
      <c r="G760" s="451">
        <f>G759</f>
        <v>0</v>
      </c>
      <c r="H760" s="451">
        <f>H759</f>
        <v>0</v>
      </c>
    </row>
    <row r="761" spans="1:8" ht="47.25" x14ac:dyDescent="0.25">
      <c r="A761" s="456" t="s">
        <v>1352</v>
      </c>
      <c r="B761" s="457" t="s">
        <v>335</v>
      </c>
      <c r="C761" s="7"/>
      <c r="D761" s="7"/>
      <c r="E761" s="3"/>
      <c r="F761" s="3"/>
      <c r="G761" s="450">
        <f t="shared" ref="G761:H763" si="102">G762</f>
        <v>120</v>
      </c>
      <c r="H761" s="450">
        <f t="shared" si="102"/>
        <v>120</v>
      </c>
    </row>
    <row r="762" spans="1:8" ht="31.5" x14ac:dyDescent="0.25">
      <c r="A762" s="456" t="s">
        <v>1050</v>
      </c>
      <c r="B762" s="457" t="s">
        <v>1051</v>
      </c>
      <c r="C762" s="7"/>
      <c r="D762" s="7"/>
      <c r="E762" s="3"/>
      <c r="F762" s="3"/>
      <c r="G762" s="450">
        <f t="shared" si="102"/>
        <v>120</v>
      </c>
      <c r="H762" s="450">
        <f t="shared" si="102"/>
        <v>120</v>
      </c>
    </row>
    <row r="763" spans="1:8" ht="15.75" x14ac:dyDescent="0.25">
      <c r="A763" s="29" t="s">
        <v>117</v>
      </c>
      <c r="B763" s="454" t="s">
        <v>1051</v>
      </c>
      <c r="C763" s="461" t="s">
        <v>118</v>
      </c>
      <c r="D763" s="461"/>
      <c r="E763" s="2"/>
      <c r="F763" s="2"/>
      <c r="G763" s="451">
        <f t="shared" si="102"/>
        <v>120</v>
      </c>
      <c r="H763" s="451">
        <f t="shared" si="102"/>
        <v>120</v>
      </c>
    </row>
    <row r="764" spans="1:8" ht="15.75" x14ac:dyDescent="0.25">
      <c r="A764" s="29" t="s">
        <v>139</v>
      </c>
      <c r="B764" s="454" t="s">
        <v>1051</v>
      </c>
      <c r="C764" s="461" t="s">
        <v>118</v>
      </c>
      <c r="D764" s="461" t="s">
        <v>140</v>
      </c>
      <c r="E764" s="2"/>
      <c r="F764" s="2"/>
      <c r="G764" s="451">
        <f>G765+G775+G779+G783+G787+G791</f>
        <v>120</v>
      </c>
      <c r="H764" s="451">
        <f>H765+H775+H779+H783+H787+H791</f>
        <v>120</v>
      </c>
    </row>
    <row r="765" spans="1:8" ht="31.5" x14ac:dyDescent="0.25">
      <c r="A765" s="458" t="s">
        <v>336</v>
      </c>
      <c r="B765" s="454" t="s">
        <v>1052</v>
      </c>
      <c r="C765" s="461" t="s">
        <v>118</v>
      </c>
      <c r="D765" s="461" t="s">
        <v>140</v>
      </c>
      <c r="E765" s="2"/>
      <c r="F765" s="2"/>
      <c r="G765" s="451">
        <f>G766+G769+G772</f>
        <v>100</v>
      </c>
      <c r="H765" s="451">
        <f>H766+H769+H772</f>
        <v>100</v>
      </c>
    </row>
    <row r="766" spans="1:8" ht="31.5" hidden="1" x14ac:dyDescent="0.25">
      <c r="A766" s="458" t="s">
        <v>131</v>
      </c>
      <c r="B766" s="454" t="s">
        <v>1052</v>
      </c>
      <c r="C766" s="461" t="s">
        <v>118</v>
      </c>
      <c r="D766" s="461" t="s">
        <v>140</v>
      </c>
      <c r="E766" s="2">
        <v>200</v>
      </c>
      <c r="F766" s="2"/>
      <c r="G766" s="451">
        <f t="shared" ref="G766:H766" si="103">G767</f>
        <v>0</v>
      </c>
      <c r="H766" s="451">
        <f t="shared" si="103"/>
        <v>100</v>
      </c>
    </row>
    <row r="767" spans="1:8" ht="47.25" hidden="1" x14ac:dyDescent="0.25">
      <c r="A767" s="458" t="s">
        <v>133</v>
      </c>
      <c r="B767" s="454" t="s">
        <v>1052</v>
      </c>
      <c r="C767" s="461" t="s">
        <v>118</v>
      </c>
      <c r="D767" s="461" t="s">
        <v>140</v>
      </c>
      <c r="E767" s="2">
        <v>240</v>
      </c>
      <c r="F767" s="2"/>
      <c r="G767" s="451">
        <f>'пр.6.1.ведом.22-23 (2)'!G255</f>
        <v>0</v>
      </c>
      <c r="H767" s="451">
        <f>'пр.6.1.ведом.22-23 (2)'!H255</f>
        <v>100</v>
      </c>
    </row>
    <row r="768" spans="1:8" ht="31.5" hidden="1" x14ac:dyDescent="0.25">
      <c r="A768" s="45" t="s">
        <v>403</v>
      </c>
      <c r="B768" s="454" t="s">
        <v>1052</v>
      </c>
      <c r="C768" s="461" t="s">
        <v>118</v>
      </c>
      <c r="D768" s="461" t="s">
        <v>140</v>
      </c>
      <c r="E768" s="2">
        <v>240</v>
      </c>
      <c r="F768" s="2">
        <v>903</v>
      </c>
      <c r="G768" s="451">
        <f>G767</f>
        <v>0</v>
      </c>
      <c r="H768" s="451">
        <f>H767</f>
        <v>100</v>
      </c>
    </row>
    <row r="769" spans="1:8" ht="31.5" hidden="1" x14ac:dyDescent="0.25">
      <c r="A769" s="458" t="s">
        <v>131</v>
      </c>
      <c r="B769" s="454" t="s">
        <v>1052</v>
      </c>
      <c r="C769" s="461" t="s">
        <v>118</v>
      </c>
      <c r="D769" s="461" t="s">
        <v>140</v>
      </c>
      <c r="E769" s="2">
        <v>200</v>
      </c>
      <c r="F769" s="2"/>
      <c r="G769" s="451">
        <f t="shared" ref="G769:H769" si="104">G770</f>
        <v>0</v>
      </c>
      <c r="H769" s="451">
        <f t="shared" si="104"/>
        <v>0</v>
      </c>
    </row>
    <row r="770" spans="1:8" ht="47.25" hidden="1" x14ac:dyDescent="0.25">
      <c r="A770" s="458" t="s">
        <v>133</v>
      </c>
      <c r="B770" s="454" t="s">
        <v>1052</v>
      </c>
      <c r="C770" s="461" t="s">
        <v>118</v>
      </c>
      <c r="D770" s="461" t="s">
        <v>140</v>
      </c>
      <c r="E770" s="2">
        <v>240</v>
      </c>
      <c r="F770" s="2"/>
      <c r="G770" s="451">
        <f>'пр.6.1.ведом.22-23 (2)'!G544</f>
        <v>0</v>
      </c>
      <c r="H770" s="451">
        <f>'пр.6.1.ведом.22-23 (2)'!H544</f>
        <v>0</v>
      </c>
    </row>
    <row r="771" spans="1:8" ht="31.5" hidden="1" x14ac:dyDescent="0.25">
      <c r="A771" s="45" t="s">
        <v>403</v>
      </c>
      <c r="B771" s="454" t="s">
        <v>1052</v>
      </c>
      <c r="C771" s="461" t="s">
        <v>118</v>
      </c>
      <c r="D771" s="461" t="s">
        <v>140</v>
      </c>
      <c r="E771" s="2">
        <v>240</v>
      </c>
      <c r="F771" s="2">
        <v>906</v>
      </c>
      <c r="G771" s="451">
        <f>G770</f>
        <v>0</v>
      </c>
      <c r="H771" s="451">
        <f>H770</f>
        <v>0</v>
      </c>
    </row>
    <row r="772" spans="1:8" ht="31.5" x14ac:dyDescent="0.25">
      <c r="A772" s="458" t="s">
        <v>131</v>
      </c>
      <c r="B772" s="454" t="s">
        <v>1052</v>
      </c>
      <c r="C772" s="461" t="s">
        <v>118</v>
      </c>
      <c r="D772" s="461" t="s">
        <v>140</v>
      </c>
      <c r="E772" s="2">
        <v>200</v>
      </c>
      <c r="F772" s="2"/>
      <c r="G772" s="451">
        <f t="shared" ref="G772:H772" si="105">G773</f>
        <v>100</v>
      </c>
      <c r="H772" s="451">
        <f t="shared" si="105"/>
        <v>0</v>
      </c>
    </row>
    <row r="773" spans="1:8" ht="47.25" x14ac:dyDescent="0.25">
      <c r="A773" s="458" t="s">
        <v>133</v>
      </c>
      <c r="B773" s="454" t="s">
        <v>1052</v>
      </c>
      <c r="C773" s="461" t="s">
        <v>118</v>
      </c>
      <c r="D773" s="461" t="s">
        <v>140</v>
      </c>
      <c r="E773" s="2">
        <v>240</v>
      </c>
      <c r="F773" s="2"/>
      <c r="G773" s="451">
        <f>'пр.6.1.ведом.22-23 (2)'!G763</f>
        <v>100</v>
      </c>
      <c r="H773" s="451">
        <f>'пр.6.1.ведом.22-23 (2)'!H763</f>
        <v>0</v>
      </c>
    </row>
    <row r="774" spans="1:8" ht="47.25" x14ac:dyDescent="0.25">
      <c r="A774" s="45" t="s">
        <v>480</v>
      </c>
      <c r="B774" s="454" t="s">
        <v>1052</v>
      </c>
      <c r="C774" s="461" t="s">
        <v>118</v>
      </c>
      <c r="D774" s="461" t="s">
        <v>140</v>
      </c>
      <c r="E774" s="2">
        <v>240</v>
      </c>
      <c r="F774" s="2">
        <v>907</v>
      </c>
      <c r="G774" s="451">
        <f>G773</f>
        <v>100</v>
      </c>
      <c r="H774" s="451">
        <f>H773</f>
        <v>0</v>
      </c>
    </row>
    <row r="775" spans="1:8" ht="31.5" hidden="1" x14ac:dyDescent="0.25">
      <c r="A775" s="458" t="s">
        <v>336</v>
      </c>
      <c r="B775" s="454" t="s">
        <v>1057</v>
      </c>
      <c r="C775" s="461" t="s">
        <v>118</v>
      </c>
      <c r="D775" s="461" t="s">
        <v>140</v>
      </c>
      <c r="E775" s="2"/>
      <c r="F775" s="2"/>
      <c r="G775" s="451">
        <f>G776</f>
        <v>0</v>
      </c>
      <c r="H775" s="451">
        <f>H776</f>
        <v>0</v>
      </c>
    </row>
    <row r="776" spans="1:8" ht="31.5" hidden="1" x14ac:dyDescent="0.25">
      <c r="A776" s="458" t="s">
        <v>131</v>
      </c>
      <c r="B776" s="454" t="s">
        <v>1057</v>
      </c>
      <c r="C776" s="461" t="s">
        <v>118</v>
      </c>
      <c r="D776" s="461" t="s">
        <v>140</v>
      </c>
      <c r="E776" s="2">
        <v>200</v>
      </c>
      <c r="F776" s="2"/>
      <c r="G776" s="451">
        <f t="shared" ref="G776:H776" si="106">G777</f>
        <v>0</v>
      </c>
      <c r="H776" s="451">
        <f t="shared" si="106"/>
        <v>0</v>
      </c>
    </row>
    <row r="777" spans="1:8" ht="47.25" hidden="1" x14ac:dyDescent="0.25">
      <c r="A777" s="458" t="s">
        <v>133</v>
      </c>
      <c r="B777" s="454" t="s">
        <v>1057</v>
      </c>
      <c r="C777" s="461" t="s">
        <v>118</v>
      </c>
      <c r="D777" s="461" t="s">
        <v>140</v>
      </c>
      <c r="E777" s="2">
        <v>240</v>
      </c>
      <c r="F777" s="2"/>
      <c r="G777" s="451">
        <v>0</v>
      </c>
      <c r="H777" s="451">
        <v>0</v>
      </c>
    </row>
    <row r="778" spans="1:8" ht="31.5" hidden="1" x14ac:dyDescent="0.25">
      <c r="A778" s="45" t="s">
        <v>403</v>
      </c>
      <c r="B778" s="454" t="s">
        <v>1057</v>
      </c>
      <c r="C778" s="461" t="s">
        <v>118</v>
      </c>
      <c r="D778" s="461" t="s">
        <v>140</v>
      </c>
      <c r="E778" s="2">
        <v>240</v>
      </c>
      <c r="F778" s="2">
        <v>906</v>
      </c>
      <c r="G778" s="451">
        <f>G777</f>
        <v>0</v>
      </c>
      <c r="H778" s="451">
        <f>H777</f>
        <v>0</v>
      </c>
    </row>
    <row r="779" spans="1:8" ht="31.5" x14ac:dyDescent="0.25">
      <c r="A779" s="458" t="s">
        <v>338</v>
      </c>
      <c r="B779" s="454" t="s">
        <v>1053</v>
      </c>
      <c r="C779" s="461" t="s">
        <v>118</v>
      </c>
      <c r="D779" s="461" t="s">
        <v>140</v>
      </c>
      <c r="E779" s="2"/>
      <c r="F779" s="2"/>
      <c r="G779" s="451">
        <f t="shared" ref="G779:H780" si="107">G780</f>
        <v>20</v>
      </c>
      <c r="H779" s="451">
        <f t="shared" si="107"/>
        <v>20</v>
      </c>
    </row>
    <row r="780" spans="1:8" ht="31.5" x14ac:dyDescent="0.25">
      <c r="A780" s="458" t="s">
        <v>131</v>
      </c>
      <c r="B780" s="454" t="s">
        <v>1053</v>
      </c>
      <c r="C780" s="461" t="s">
        <v>118</v>
      </c>
      <c r="D780" s="461" t="s">
        <v>140</v>
      </c>
      <c r="E780" s="2">
        <v>200</v>
      </c>
      <c r="F780" s="2"/>
      <c r="G780" s="451">
        <f t="shared" si="107"/>
        <v>20</v>
      </c>
      <c r="H780" s="451">
        <f t="shared" si="107"/>
        <v>20</v>
      </c>
    </row>
    <row r="781" spans="1:8" ht="47.25" x14ac:dyDescent="0.25">
      <c r="A781" s="458" t="s">
        <v>133</v>
      </c>
      <c r="B781" s="454" t="s">
        <v>1053</v>
      </c>
      <c r="C781" s="461" t="s">
        <v>118</v>
      </c>
      <c r="D781" s="461" t="s">
        <v>140</v>
      </c>
      <c r="E781" s="2">
        <v>240</v>
      </c>
      <c r="F781" s="2"/>
      <c r="G781" s="451">
        <f>'пр.6.1.ведом.22-23 (2)'!G264</f>
        <v>20</v>
      </c>
      <c r="H781" s="451">
        <f>'пр.6.1.ведом.22-23 (2)'!H264</f>
        <v>20</v>
      </c>
    </row>
    <row r="782" spans="1:8" ht="47.25" x14ac:dyDescent="0.25">
      <c r="A782" s="458" t="s">
        <v>1077</v>
      </c>
      <c r="B782" s="454" t="s">
        <v>1053</v>
      </c>
      <c r="C782" s="461" t="s">
        <v>118</v>
      </c>
      <c r="D782" s="461" t="s">
        <v>140</v>
      </c>
      <c r="E782" s="2">
        <v>240</v>
      </c>
      <c r="F782" s="2">
        <v>903</v>
      </c>
      <c r="G782" s="451">
        <f>G781</f>
        <v>20</v>
      </c>
      <c r="H782" s="451">
        <f>H781</f>
        <v>20</v>
      </c>
    </row>
    <row r="783" spans="1:8" ht="63" hidden="1" x14ac:dyDescent="0.25">
      <c r="A783" s="31" t="s">
        <v>771</v>
      </c>
      <c r="B783" s="454" t="s">
        <v>1054</v>
      </c>
      <c r="C783" s="461" t="s">
        <v>118</v>
      </c>
      <c r="D783" s="461" t="s">
        <v>140</v>
      </c>
      <c r="E783" s="2"/>
      <c r="F783" s="2"/>
      <c r="G783" s="451">
        <f t="shared" ref="G783:H784" si="108">G784</f>
        <v>0</v>
      </c>
      <c r="H783" s="451">
        <f t="shared" si="108"/>
        <v>0</v>
      </c>
    </row>
    <row r="784" spans="1:8" ht="31.5" hidden="1" x14ac:dyDescent="0.25">
      <c r="A784" s="458" t="s">
        <v>131</v>
      </c>
      <c r="B784" s="454" t="s">
        <v>1054</v>
      </c>
      <c r="C784" s="454" t="s">
        <v>118</v>
      </c>
      <c r="D784" s="454" t="s">
        <v>140</v>
      </c>
      <c r="E784" s="454" t="s">
        <v>132</v>
      </c>
      <c r="F784" s="177"/>
      <c r="G784" s="451">
        <f t="shared" si="108"/>
        <v>0</v>
      </c>
      <c r="H784" s="451">
        <f t="shared" si="108"/>
        <v>0</v>
      </c>
    </row>
    <row r="785" spans="1:8" ht="47.25" hidden="1" x14ac:dyDescent="0.25">
      <c r="A785" s="458" t="s">
        <v>133</v>
      </c>
      <c r="B785" s="454" t="s">
        <v>1054</v>
      </c>
      <c r="C785" s="454" t="s">
        <v>118</v>
      </c>
      <c r="D785" s="454" t="s">
        <v>140</v>
      </c>
      <c r="E785" s="454" t="s">
        <v>134</v>
      </c>
      <c r="F785" s="177"/>
      <c r="G785" s="451">
        <f>'пр.6.1.ведом.22-23 (2)'!G258</f>
        <v>0</v>
      </c>
      <c r="H785" s="451">
        <f>'пр.6.1.ведом.22-23 (2)'!H258</f>
        <v>0</v>
      </c>
    </row>
    <row r="786" spans="1:8" ht="31.5" hidden="1" x14ac:dyDescent="0.25">
      <c r="A786" s="458" t="s">
        <v>403</v>
      </c>
      <c r="B786" s="454" t="s">
        <v>1054</v>
      </c>
      <c r="C786" s="461" t="s">
        <v>118</v>
      </c>
      <c r="D786" s="461" t="s">
        <v>140</v>
      </c>
      <c r="E786" s="2">
        <v>240</v>
      </c>
      <c r="F786" s="2">
        <v>906</v>
      </c>
      <c r="G786" s="451">
        <f>G785</f>
        <v>0</v>
      </c>
      <c r="H786" s="451">
        <f>H785</f>
        <v>0</v>
      </c>
    </row>
    <row r="787" spans="1:8" ht="47.25" hidden="1" x14ac:dyDescent="0.25">
      <c r="A787" s="458" t="s">
        <v>679</v>
      </c>
      <c r="B787" s="454" t="s">
        <v>1055</v>
      </c>
      <c r="C787" s="461" t="s">
        <v>118</v>
      </c>
      <c r="D787" s="461" t="s">
        <v>140</v>
      </c>
      <c r="E787" s="2"/>
      <c r="F787" s="177"/>
      <c r="G787" s="451">
        <f t="shared" ref="G787:H788" si="109">G788</f>
        <v>0</v>
      </c>
      <c r="H787" s="451">
        <f t="shared" si="109"/>
        <v>0</v>
      </c>
    </row>
    <row r="788" spans="1:8" ht="31.5" hidden="1" x14ac:dyDescent="0.25">
      <c r="A788" s="458" t="s">
        <v>131</v>
      </c>
      <c r="B788" s="454" t="s">
        <v>1055</v>
      </c>
      <c r="C788" s="461" t="s">
        <v>118</v>
      </c>
      <c r="D788" s="461" t="s">
        <v>140</v>
      </c>
      <c r="E788" s="2">
        <v>200</v>
      </c>
      <c r="F788" s="177"/>
      <c r="G788" s="451">
        <f t="shared" si="109"/>
        <v>0</v>
      </c>
      <c r="H788" s="451">
        <f t="shared" si="109"/>
        <v>0</v>
      </c>
    </row>
    <row r="789" spans="1:8" ht="47.25" hidden="1" x14ac:dyDescent="0.25">
      <c r="A789" s="458" t="s">
        <v>133</v>
      </c>
      <c r="B789" s="454" t="s">
        <v>1055</v>
      </c>
      <c r="C789" s="461" t="s">
        <v>118</v>
      </c>
      <c r="D789" s="461" t="s">
        <v>140</v>
      </c>
      <c r="E789" s="2">
        <v>240</v>
      </c>
      <c r="F789" s="177"/>
      <c r="G789" s="451">
        <f>'пр.6.1.ведом.22-23 (2)'!G261</f>
        <v>0</v>
      </c>
      <c r="H789" s="451">
        <f>'пр.6.1.ведом.22-23 (2)'!H261</f>
        <v>0</v>
      </c>
    </row>
    <row r="790" spans="1:8" ht="47.25" hidden="1" x14ac:dyDescent="0.25">
      <c r="A790" s="45" t="s">
        <v>261</v>
      </c>
      <c r="B790" s="454" t="s">
        <v>1055</v>
      </c>
      <c r="C790" s="461" t="s">
        <v>118</v>
      </c>
      <c r="D790" s="461" t="s">
        <v>140</v>
      </c>
      <c r="E790" s="2">
        <v>240</v>
      </c>
      <c r="F790" s="2">
        <v>903</v>
      </c>
      <c r="G790" s="451">
        <f>G789</f>
        <v>0</v>
      </c>
      <c r="H790" s="451">
        <f>H789</f>
        <v>0</v>
      </c>
    </row>
    <row r="791" spans="1:8" ht="31.5" hidden="1" x14ac:dyDescent="0.25">
      <c r="A791" s="31" t="s">
        <v>772</v>
      </c>
      <c r="B791" s="454" t="s">
        <v>1056</v>
      </c>
      <c r="C791" s="454" t="s">
        <v>118</v>
      </c>
      <c r="D791" s="454" t="s">
        <v>140</v>
      </c>
      <c r="E791" s="454"/>
      <c r="F791" s="177"/>
      <c r="G791" s="451">
        <f t="shared" ref="G791:H792" si="110">G792</f>
        <v>0</v>
      </c>
      <c r="H791" s="451">
        <f t="shared" si="110"/>
        <v>0</v>
      </c>
    </row>
    <row r="792" spans="1:8" ht="31.5" hidden="1" x14ac:dyDescent="0.25">
      <c r="A792" s="458" t="s">
        <v>131</v>
      </c>
      <c r="B792" s="454" t="s">
        <v>1056</v>
      </c>
      <c r="C792" s="454" t="s">
        <v>118</v>
      </c>
      <c r="D792" s="454" t="s">
        <v>140</v>
      </c>
      <c r="E792" s="454" t="s">
        <v>132</v>
      </c>
      <c r="F792" s="177"/>
      <c r="G792" s="451">
        <f t="shared" si="110"/>
        <v>0</v>
      </c>
      <c r="H792" s="451">
        <f t="shared" si="110"/>
        <v>0</v>
      </c>
    </row>
    <row r="793" spans="1:8" ht="47.25" hidden="1" x14ac:dyDescent="0.25">
      <c r="A793" s="458" t="s">
        <v>133</v>
      </c>
      <c r="B793" s="454" t="s">
        <v>1056</v>
      </c>
      <c r="C793" s="454" t="s">
        <v>118</v>
      </c>
      <c r="D793" s="454" t="s">
        <v>140</v>
      </c>
      <c r="E793" s="454" t="s">
        <v>134</v>
      </c>
      <c r="F793" s="177"/>
      <c r="G793" s="451">
        <f>'пр.6.1.ведом.22-23 (2)'!G267</f>
        <v>0</v>
      </c>
      <c r="H793" s="451">
        <f>'пр.6.1.ведом.22-23 (2)'!H267</f>
        <v>0</v>
      </c>
    </row>
    <row r="794" spans="1:8" ht="47.25" hidden="1" x14ac:dyDescent="0.25">
      <c r="A794" s="458" t="s">
        <v>1077</v>
      </c>
      <c r="B794" s="454" t="s">
        <v>1056</v>
      </c>
      <c r="C794" s="454" t="s">
        <v>118</v>
      </c>
      <c r="D794" s="454" t="s">
        <v>140</v>
      </c>
      <c r="E794" s="454" t="s">
        <v>134</v>
      </c>
      <c r="F794" s="2">
        <v>903</v>
      </c>
      <c r="G794" s="451">
        <f>G793</f>
        <v>0</v>
      </c>
      <c r="H794" s="451">
        <f>H793</f>
        <v>0</v>
      </c>
    </row>
    <row r="795" spans="1:8" ht="63" x14ac:dyDescent="0.25">
      <c r="A795" s="462" t="s">
        <v>1355</v>
      </c>
      <c r="B795" s="457" t="s">
        <v>705</v>
      </c>
      <c r="C795" s="7"/>
      <c r="D795" s="7"/>
      <c r="E795" s="3"/>
      <c r="F795" s="3"/>
      <c r="G795" s="450">
        <f>G796+G807+G846</f>
        <v>3815</v>
      </c>
      <c r="H795" s="450">
        <f>H796+H807+H846</f>
        <v>3965.9</v>
      </c>
    </row>
    <row r="796" spans="1:8" ht="63" x14ac:dyDescent="0.25">
      <c r="A796" s="206" t="s">
        <v>846</v>
      </c>
      <c r="B796" s="457" t="s">
        <v>852</v>
      </c>
      <c r="C796" s="7"/>
      <c r="D796" s="7"/>
      <c r="E796" s="3"/>
      <c r="F796" s="3"/>
      <c r="G796" s="450">
        <f>G797</f>
        <v>33</v>
      </c>
      <c r="H796" s="450">
        <f>H797</f>
        <v>33</v>
      </c>
    </row>
    <row r="797" spans="1:8" ht="15.75" x14ac:dyDescent="0.25">
      <c r="A797" s="29" t="s">
        <v>117</v>
      </c>
      <c r="B797" s="454" t="s">
        <v>852</v>
      </c>
      <c r="C797" s="461" t="s">
        <v>118</v>
      </c>
      <c r="D797" s="461"/>
      <c r="E797" s="2"/>
      <c r="F797" s="2"/>
      <c r="G797" s="451">
        <f t="shared" ref="G797:H797" si="111">G798</f>
        <v>33</v>
      </c>
      <c r="H797" s="451">
        <f t="shared" si="111"/>
        <v>33</v>
      </c>
    </row>
    <row r="798" spans="1:8" ht="15.75" x14ac:dyDescent="0.25">
      <c r="A798" s="29" t="s">
        <v>139</v>
      </c>
      <c r="B798" s="454" t="s">
        <v>852</v>
      </c>
      <c r="C798" s="461" t="s">
        <v>118</v>
      </c>
      <c r="D798" s="461" t="s">
        <v>140</v>
      </c>
      <c r="E798" s="2"/>
      <c r="F798" s="2"/>
      <c r="G798" s="451">
        <f>G799+G803</f>
        <v>33</v>
      </c>
      <c r="H798" s="451">
        <f>H799+H803</f>
        <v>33</v>
      </c>
    </row>
    <row r="799" spans="1:8" ht="47.25" x14ac:dyDescent="0.25">
      <c r="A799" s="98" t="s">
        <v>776</v>
      </c>
      <c r="B799" s="454" t="s">
        <v>847</v>
      </c>
      <c r="C799" s="461" t="s">
        <v>118</v>
      </c>
      <c r="D799" s="461" t="s">
        <v>140</v>
      </c>
      <c r="E799" s="2"/>
      <c r="F799" s="2"/>
      <c r="G799" s="451">
        <f t="shared" ref="G799:H800" si="112">G800</f>
        <v>28</v>
      </c>
      <c r="H799" s="451">
        <f t="shared" si="112"/>
        <v>28</v>
      </c>
    </row>
    <row r="800" spans="1:8" ht="31.5" x14ac:dyDescent="0.25">
      <c r="A800" s="458" t="s">
        <v>131</v>
      </c>
      <c r="B800" s="454" t="s">
        <v>847</v>
      </c>
      <c r="C800" s="461" t="s">
        <v>118</v>
      </c>
      <c r="D800" s="461" t="s">
        <v>140</v>
      </c>
      <c r="E800" s="2">
        <v>200</v>
      </c>
      <c r="F800" s="2"/>
      <c r="G800" s="451">
        <f t="shared" si="112"/>
        <v>28</v>
      </c>
      <c r="H800" s="451">
        <f t="shared" si="112"/>
        <v>28</v>
      </c>
    </row>
    <row r="801" spans="1:8" ht="47.25" x14ac:dyDescent="0.25">
      <c r="A801" s="458" t="s">
        <v>133</v>
      </c>
      <c r="B801" s="454" t="s">
        <v>847</v>
      </c>
      <c r="C801" s="461" t="s">
        <v>118</v>
      </c>
      <c r="D801" s="461" t="s">
        <v>140</v>
      </c>
      <c r="E801" s="2">
        <v>240</v>
      </c>
      <c r="F801" s="2"/>
      <c r="G801" s="451">
        <f>'пр.6.1.ведом.22-23 (2)'!G150</f>
        <v>28</v>
      </c>
      <c r="H801" s="451">
        <f>'пр.6.1.ведом.22-23 (2)'!H150</f>
        <v>28</v>
      </c>
    </row>
    <row r="802" spans="1:8" ht="31.5" x14ac:dyDescent="0.25">
      <c r="A802" s="29" t="s">
        <v>148</v>
      </c>
      <c r="B802" s="454" t="s">
        <v>847</v>
      </c>
      <c r="C802" s="461" t="s">
        <v>118</v>
      </c>
      <c r="D802" s="461" t="s">
        <v>140</v>
      </c>
      <c r="E802" s="2">
        <v>240</v>
      </c>
      <c r="F802" s="2">
        <v>902</v>
      </c>
      <c r="G802" s="451">
        <f>G801</f>
        <v>28</v>
      </c>
      <c r="H802" s="451">
        <f>H801</f>
        <v>28</v>
      </c>
    </row>
    <row r="803" spans="1:8" ht="47.25" x14ac:dyDescent="0.25">
      <c r="A803" s="98" t="s">
        <v>776</v>
      </c>
      <c r="B803" s="454" t="s">
        <v>847</v>
      </c>
      <c r="C803" s="461" t="s">
        <v>118</v>
      </c>
      <c r="D803" s="461" t="s">
        <v>140</v>
      </c>
      <c r="E803" s="2"/>
      <c r="F803" s="2"/>
      <c r="G803" s="451">
        <f>G804</f>
        <v>5</v>
      </c>
      <c r="H803" s="451">
        <f>H804</f>
        <v>5</v>
      </c>
    </row>
    <row r="804" spans="1:8" ht="31.5" x14ac:dyDescent="0.25">
      <c r="A804" s="458" t="s">
        <v>131</v>
      </c>
      <c r="B804" s="454" t="s">
        <v>847</v>
      </c>
      <c r="C804" s="461" t="s">
        <v>118</v>
      </c>
      <c r="D804" s="461" t="s">
        <v>140</v>
      </c>
      <c r="E804" s="2">
        <v>200</v>
      </c>
      <c r="F804" s="2"/>
      <c r="G804" s="451">
        <f>G805</f>
        <v>5</v>
      </c>
      <c r="H804" s="451">
        <f>H805</f>
        <v>5</v>
      </c>
    </row>
    <row r="805" spans="1:8" ht="47.25" x14ac:dyDescent="0.25">
      <c r="A805" s="458" t="s">
        <v>133</v>
      </c>
      <c r="B805" s="454" t="s">
        <v>847</v>
      </c>
      <c r="C805" s="461" t="s">
        <v>118</v>
      </c>
      <c r="D805" s="461" t="s">
        <v>140</v>
      </c>
      <c r="E805" s="2">
        <v>240</v>
      </c>
      <c r="F805" s="2"/>
      <c r="G805" s="451">
        <f>'пр.6.1.ведом.22-23 (2)'!G272</f>
        <v>5</v>
      </c>
      <c r="H805" s="451">
        <f>'пр.6.1.ведом.22-23 (2)'!H272</f>
        <v>5</v>
      </c>
    </row>
    <row r="806" spans="1:8" ht="47.25" x14ac:dyDescent="0.25">
      <c r="A806" s="45" t="s">
        <v>261</v>
      </c>
      <c r="B806" s="454" t="s">
        <v>847</v>
      </c>
      <c r="C806" s="461" t="s">
        <v>118</v>
      </c>
      <c r="D806" s="461" t="s">
        <v>140</v>
      </c>
      <c r="E806" s="2">
        <v>240</v>
      </c>
      <c r="F806" s="2">
        <v>903</v>
      </c>
      <c r="G806" s="451">
        <f>G805</f>
        <v>5</v>
      </c>
      <c r="H806" s="451">
        <f>H805</f>
        <v>5</v>
      </c>
    </row>
    <row r="807" spans="1:8" ht="63" x14ac:dyDescent="0.25">
      <c r="A807" s="462" t="s">
        <v>890</v>
      </c>
      <c r="B807" s="457" t="s">
        <v>888</v>
      </c>
      <c r="C807" s="461"/>
      <c r="D807" s="461"/>
      <c r="E807" s="2"/>
      <c r="F807" s="2"/>
      <c r="G807" s="450">
        <f>G808+G828+G834+G840</f>
        <v>3767</v>
      </c>
      <c r="H807" s="450">
        <f>H808+H828+H834+H840</f>
        <v>3917.9</v>
      </c>
    </row>
    <row r="808" spans="1:8" ht="15.75" x14ac:dyDescent="0.25">
      <c r="A808" s="29" t="s">
        <v>263</v>
      </c>
      <c r="B808" s="454" t="s">
        <v>888</v>
      </c>
      <c r="C808" s="461" t="s">
        <v>264</v>
      </c>
      <c r="D808" s="461"/>
      <c r="E808" s="2"/>
      <c r="F808" s="2"/>
      <c r="G808" s="451">
        <f>G809+G815+G819</f>
        <v>2234.3000000000002</v>
      </c>
      <c r="H808" s="451">
        <f>H809+H815+H819</f>
        <v>2323.8000000000002</v>
      </c>
    </row>
    <row r="809" spans="1:8" ht="15.75" x14ac:dyDescent="0.25">
      <c r="A809" s="29" t="s">
        <v>404</v>
      </c>
      <c r="B809" s="454" t="s">
        <v>888</v>
      </c>
      <c r="C809" s="461" t="s">
        <v>264</v>
      </c>
      <c r="D809" s="461" t="s">
        <v>118</v>
      </c>
      <c r="E809" s="2"/>
      <c r="F809" s="2"/>
      <c r="G809" s="451">
        <f t="shared" ref="G809:H811" si="113">G810</f>
        <v>570.9</v>
      </c>
      <c r="H809" s="451">
        <f t="shared" si="113"/>
        <v>593.79999999999995</v>
      </c>
    </row>
    <row r="810" spans="1:8" ht="47.25" x14ac:dyDescent="0.25">
      <c r="A810" s="45" t="s">
        <v>780</v>
      </c>
      <c r="B810" s="454" t="s">
        <v>936</v>
      </c>
      <c r="C810" s="461" t="s">
        <v>264</v>
      </c>
      <c r="D810" s="461" t="s">
        <v>118</v>
      </c>
      <c r="E810" s="2"/>
      <c r="F810" s="2"/>
      <c r="G810" s="451">
        <f t="shared" si="113"/>
        <v>570.9</v>
      </c>
      <c r="H810" s="451">
        <f t="shared" si="113"/>
        <v>593.79999999999995</v>
      </c>
    </row>
    <row r="811" spans="1:8" ht="47.25" x14ac:dyDescent="0.25">
      <c r="A811" s="29" t="s">
        <v>272</v>
      </c>
      <c r="B811" s="454" t="s">
        <v>936</v>
      </c>
      <c r="C811" s="461" t="s">
        <v>264</v>
      </c>
      <c r="D811" s="461" t="s">
        <v>118</v>
      </c>
      <c r="E811" s="2">
        <v>600</v>
      </c>
      <c r="F811" s="2"/>
      <c r="G811" s="451">
        <f t="shared" si="113"/>
        <v>570.9</v>
      </c>
      <c r="H811" s="451">
        <f t="shared" si="113"/>
        <v>593.79999999999995</v>
      </c>
    </row>
    <row r="812" spans="1:8" ht="15.75" x14ac:dyDescent="0.25">
      <c r="A812" s="182" t="s">
        <v>274</v>
      </c>
      <c r="B812" s="454" t="s">
        <v>936</v>
      </c>
      <c r="C812" s="461" t="s">
        <v>264</v>
      </c>
      <c r="D812" s="461" t="s">
        <v>118</v>
      </c>
      <c r="E812" s="2">
        <v>610</v>
      </c>
      <c r="F812" s="2"/>
      <c r="G812" s="451">
        <f>'пр.6.1.ведом.22-23 (2)'!G608</f>
        <v>570.9</v>
      </c>
      <c r="H812" s="451">
        <f>'пр.6.1.ведом.22-23 (2)'!H608</f>
        <v>593.79999999999995</v>
      </c>
    </row>
    <row r="813" spans="1:8" ht="31.5" x14ac:dyDescent="0.25">
      <c r="A813" s="29" t="s">
        <v>403</v>
      </c>
      <c r="B813" s="454" t="s">
        <v>936</v>
      </c>
      <c r="C813" s="461" t="s">
        <v>264</v>
      </c>
      <c r="D813" s="461" t="s">
        <v>118</v>
      </c>
      <c r="E813" s="2">
        <v>610</v>
      </c>
      <c r="F813" s="2">
        <v>906</v>
      </c>
      <c r="G813" s="451">
        <f>G812</f>
        <v>570.9</v>
      </c>
      <c r="H813" s="451">
        <f>H812</f>
        <v>593.79999999999995</v>
      </c>
    </row>
    <row r="814" spans="1:8" ht="15.75" x14ac:dyDescent="0.25">
      <c r="A814" s="45" t="s">
        <v>425</v>
      </c>
      <c r="B814" s="454" t="s">
        <v>888</v>
      </c>
      <c r="C814" s="461" t="s">
        <v>264</v>
      </c>
      <c r="D814" s="461" t="s">
        <v>213</v>
      </c>
      <c r="E814" s="2"/>
      <c r="F814" s="2"/>
      <c r="G814" s="451">
        <f t="shared" ref="G814:H816" si="114">G815</f>
        <v>870.5</v>
      </c>
      <c r="H814" s="451">
        <f t="shared" si="114"/>
        <v>905.3</v>
      </c>
    </row>
    <row r="815" spans="1:8" ht="47.25" x14ac:dyDescent="0.25">
      <c r="A815" s="45" t="s">
        <v>780</v>
      </c>
      <c r="B815" s="454" t="s">
        <v>936</v>
      </c>
      <c r="C815" s="461" t="s">
        <v>264</v>
      </c>
      <c r="D815" s="461" t="s">
        <v>213</v>
      </c>
      <c r="E815" s="2"/>
      <c r="F815" s="2"/>
      <c r="G815" s="451">
        <f t="shared" si="114"/>
        <v>870.5</v>
      </c>
      <c r="H815" s="451">
        <f t="shared" si="114"/>
        <v>905.3</v>
      </c>
    </row>
    <row r="816" spans="1:8" ht="47.25" x14ac:dyDescent="0.25">
      <c r="A816" s="29" t="s">
        <v>272</v>
      </c>
      <c r="B816" s="454" t="s">
        <v>936</v>
      </c>
      <c r="C816" s="461" t="s">
        <v>264</v>
      </c>
      <c r="D816" s="461" t="s">
        <v>213</v>
      </c>
      <c r="E816" s="2">
        <v>600</v>
      </c>
      <c r="F816" s="2"/>
      <c r="G816" s="451">
        <f t="shared" si="114"/>
        <v>870.5</v>
      </c>
      <c r="H816" s="451">
        <f t="shared" si="114"/>
        <v>905.3</v>
      </c>
    </row>
    <row r="817" spans="1:8" ht="15.75" x14ac:dyDescent="0.25">
      <c r="A817" s="182" t="s">
        <v>274</v>
      </c>
      <c r="B817" s="454" t="s">
        <v>936</v>
      </c>
      <c r="C817" s="461" t="s">
        <v>264</v>
      </c>
      <c r="D817" s="461" t="s">
        <v>213</v>
      </c>
      <c r="E817" s="2">
        <v>610</v>
      </c>
      <c r="F817" s="2"/>
      <c r="G817" s="451">
        <f>'пр.6.1.ведом.22-23 (2)'!G690</f>
        <v>870.5</v>
      </c>
      <c r="H817" s="451">
        <f>'пр.6.1.ведом.22-23 (2)'!H690</f>
        <v>905.3</v>
      </c>
    </row>
    <row r="818" spans="1:8" ht="31.5" x14ac:dyDescent="0.25">
      <c r="A818" s="29" t="s">
        <v>403</v>
      </c>
      <c r="B818" s="454" t="s">
        <v>936</v>
      </c>
      <c r="C818" s="461" t="s">
        <v>264</v>
      </c>
      <c r="D818" s="461" t="s">
        <v>213</v>
      </c>
      <c r="E818" s="2">
        <v>610</v>
      </c>
      <c r="F818" s="2">
        <v>906</v>
      </c>
      <c r="G818" s="451">
        <f>G817</f>
        <v>870.5</v>
      </c>
      <c r="H818" s="451">
        <f>H817</f>
        <v>905.3</v>
      </c>
    </row>
    <row r="819" spans="1:8" ht="15.75" x14ac:dyDescent="0.25">
      <c r="A819" s="45" t="s">
        <v>265</v>
      </c>
      <c r="B819" s="454" t="s">
        <v>888</v>
      </c>
      <c r="C819" s="461" t="s">
        <v>264</v>
      </c>
      <c r="D819" s="461" t="s">
        <v>215</v>
      </c>
      <c r="E819" s="2"/>
      <c r="F819" s="2"/>
      <c r="G819" s="451">
        <f>G824+G820</f>
        <v>792.9</v>
      </c>
      <c r="H819" s="451">
        <f>H824+H820</f>
        <v>824.7</v>
      </c>
    </row>
    <row r="820" spans="1:8" ht="47.25" x14ac:dyDescent="0.25">
      <c r="A820" s="98" t="s">
        <v>1004</v>
      </c>
      <c r="B820" s="454" t="s">
        <v>889</v>
      </c>
      <c r="C820" s="461" t="s">
        <v>264</v>
      </c>
      <c r="D820" s="461" t="s">
        <v>215</v>
      </c>
      <c r="E820" s="2"/>
      <c r="F820" s="2"/>
      <c r="G820" s="451">
        <f>G821</f>
        <v>490.2</v>
      </c>
      <c r="H820" s="451">
        <f>H821</f>
        <v>509.8</v>
      </c>
    </row>
    <row r="821" spans="1:8" ht="31.5" x14ac:dyDescent="0.25">
      <c r="A821" s="458" t="s">
        <v>131</v>
      </c>
      <c r="B821" s="454" t="s">
        <v>889</v>
      </c>
      <c r="C821" s="461" t="s">
        <v>264</v>
      </c>
      <c r="D821" s="461" t="s">
        <v>215</v>
      </c>
      <c r="E821" s="2">
        <v>200</v>
      </c>
      <c r="F821" s="2"/>
      <c r="G821" s="451">
        <f>G822</f>
        <v>490.2</v>
      </c>
      <c r="H821" s="451">
        <f>H822</f>
        <v>509.8</v>
      </c>
    </row>
    <row r="822" spans="1:8" ht="47.25" x14ac:dyDescent="0.25">
      <c r="A822" s="458" t="s">
        <v>133</v>
      </c>
      <c r="B822" s="454" t="s">
        <v>889</v>
      </c>
      <c r="C822" s="461" t="s">
        <v>264</v>
      </c>
      <c r="D822" s="461" t="s">
        <v>215</v>
      </c>
      <c r="E822" s="2">
        <v>240</v>
      </c>
      <c r="F822" s="2"/>
      <c r="G822" s="451">
        <f>'пр.6.1.ведом.22-23 (2)'!G336</f>
        <v>490.2</v>
      </c>
      <c r="H822" s="451">
        <f>'пр.6.1.ведом.22-23 (2)'!H336</f>
        <v>509.8</v>
      </c>
    </row>
    <row r="823" spans="1:8" ht="47.25" x14ac:dyDescent="0.25">
      <c r="A823" s="45" t="s">
        <v>261</v>
      </c>
      <c r="B823" s="454" t="s">
        <v>889</v>
      </c>
      <c r="C823" s="461" t="s">
        <v>264</v>
      </c>
      <c r="D823" s="461" t="s">
        <v>215</v>
      </c>
      <c r="E823" s="2">
        <v>240</v>
      </c>
      <c r="F823" s="2">
        <v>903</v>
      </c>
      <c r="G823" s="451">
        <f>'пр.6.1.ведом.22-23 (2)'!G336</f>
        <v>490.2</v>
      </c>
      <c r="H823" s="451">
        <f>'пр.6.1.ведом.22-23 (2)'!H336</f>
        <v>509.8</v>
      </c>
    </row>
    <row r="824" spans="1:8" ht="47.25" x14ac:dyDescent="0.25">
      <c r="A824" s="45" t="s">
        <v>780</v>
      </c>
      <c r="B824" s="454" t="s">
        <v>936</v>
      </c>
      <c r="C824" s="461" t="s">
        <v>264</v>
      </c>
      <c r="D824" s="461" t="s">
        <v>215</v>
      </c>
      <c r="E824" s="2"/>
      <c r="F824" s="2"/>
      <c r="G824" s="451">
        <f>G825</f>
        <v>302.7</v>
      </c>
      <c r="H824" s="451">
        <f>H825</f>
        <v>314.89999999999998</v>
      </c>
    </row>
    <row r="825" spans="1:8" ht="47.25" x14ac:dyDescent="0.25">
      <c r="A825" s="29" t="s">
        <v>272</v>
      </c>
      <c r="B825" s="454" t="s">
        <v>936</v>
      </c>
      <c r="C825" s="461" t="s">
        <v>264</v>
      </c>
      <c r="D825" s="461" t="s">
        <v>215</v>
      </c>
      <c r="E825" s="2">
        <v>600</v>
      </c>
      <c r="F825" s="2"/>
      <c r="G825" s="451">
        <f>G826</f>
        <v>302.7</v>
      </c>
      <c r="H825" s="451">
        <f>H826</f>
        <v>314.89999999999998</v>
      </c>
    </row>
    <row r="826" spans="1:8" ht="15.75" x14ac:dyDescent="0.25">
      <c r="A826" s="182" t="s">
        <v>274</v>
      </c>
      <c r="B826" s="454" t="s">
        <v>936</v>
      </c>
      <c r="C826" s="461" t="s">
        <v>264</v>
      </c>
      <c r="D826" s="461" t="s">
        <v>215</v>
      </c>
      <c r="E826" s="2">
        <v>610</v>
      </c>
      <c r="F826" s="2"/>
      <c r="G826" s="451">
        <f>'пр.6.1.ведом.22-23 (2)'!G719</f>
        <v>302.7</v>
      </c>
      <c r="H826" s="451">
        <f>'пр.6.1.ведом.22-23 (2)'!H719</f>
        <v>314.89999999999998</v>
      </c>
    </row>
    <row r="827" spans="1:8" ht="31.5" x14ac:dyDescent="0.25">
      <c r="A827" s="29" t="s">
        <v>403</v>
      </c>
      <c r="B827" s="454" t="s">
        <v>936</v>
      </c>
      <c r="C827" s="461" t="s">
        <v>264</v>
      </c>
      <c r="D827" s="461" t="s">
        <v>215</v>
      </c>
      <c r="E827" s="2">
        <v>610</v>
      </c>
      <c r="F827" s="2">
        <v>906</v>
      </c>
      <c r="G827" s="451">
        <f>G826</f>
        <v>302.7</v>
      </c>
      <c r="H827" s="451">
        <f>H826</f>
        <v>314.89999999999998</v>
      </c>
    </row>
    <row r="828" spans="1:8" ht="15.75" x14ac:dyDescent="0.25">
      <c r="A828" s="458" t="s">
        <v>298</v>
      </c>
      <c r="B828" s="454" t="s">
        <v>888</v>
      </c>
      <c r="C828" s="461" t="s">
        <v>299</v>
      </c>
      <c r="D828" s="461"/>
      <c r="E828" s="2"/>
      <c r="F828" s="2"/>
      <c r="G828" s="451">
        <f t="shared" ref="G828:H831" si="115">G829</f>
        <v>878.7</v>
      </c>
      <c r="H828" s="451">
        <f t="shared" si="115"/>
        <v>913.9</v>
      </c>
    </row>
    <row r="829" spans="1:8" ht="15.75" x14ac:dyDescent="0.25">
      <c r="A829" s="458" t="s">
        <v>300</v>
      </c>
      <c r="B829" s="454" t="s">
        <v>888</v>
      </c>
      <c r="C829" s="461" t="s">
        <v>299</v>
      </c>
      <c r="D829" s="461" t="s">
        <v>118</v>
      </c>
      <c r="E829" s="2"/>
      <c r="F829" s="2"/>
      <c r="G829" s="451">
        <f t="shared" si="115"/>
        <v>878.7</v>
      </c>
      <c r="H829" s="451">
        <f t="shared" si="115"/>
        <v>913.9</v>
      </c>
    </row>
    <row r="830" spans="1:8" ht="32.25" customHeight="1" x14ac:dyDescent="0.25">
      <c r="A830" s="45" t="s">
        <v>778</v>
      </c>
      <c r="B830" s="454" t="s">
        <v>889</v>
      </c>
      <c r="C830" s="461" t="s">
        <v>299</v>
      </c>
      <c r="D830" s="461" t="s">
        <v>118</v>
      </c>
      <c r="E830" s="2"/>
      <c r="F830" s="2"/>
      <c r="G830" s="451">
        <f t="shared" si="115"/>
        <v>878.7</v>
      </c>
      <c r="H830" s="451">
        <f t="shared" si="115"/>
        <v>913.9</v>
      </c>
    </row>
    <row r="831" spans="1:8" ht="31.5" x14ac:dyDescent="0.25">
      <c r="A831" s="458" t="s">
        <v>131</v>
      </c>
      <c r="B831" s="454" t="s">
        <v>889</v>
      </c>
      <c r="C831" s="461" t="s">
        <v>299</v>
      </c>
      <c r="D831" s="461" t="s">
        <v>118</v>
      </c>
      <c r="E831" s="2">
        <v>200</v>
      </c>
      <c r="F831" s="2"/>
      <c r="G831" s="451">
        <f t="shared" si="115"/>
        <v>878.7</v>
      </c>
      <c r="H831" s="451">
        <f t="shared" si="115"/>
        <v>913.9</v>
      </c>
    </row>
    <row r="832" spans="1:8" ht="47.25" x14ac:dyDescent="0.25">
      <c r="A832" s="458" t="s">
        <v>133</v>
      </c>
      <c r="B832" s="454" t="s">
        <v>889</v>
      </c>
      <c r="C832" s="461" t="s">
        <v>299</v>
      </c>
      <c r="D832" s="461" t="s">
        <v>118</v>
      </c>
      <c r="E832" s="2">
        <v>240</v>
      </c>
      <c r="F832" s="2"/>
      <c r="G832" s="451">
        <f>'пр.6.1.ведом.22-23 (2)'!G410</f>
        <v>878.7</v>
      </c>
      <c r="H832" s="451">
        <f>'пр.6.1.ведом.22-23 (2)'!H410</f>
        <v>913.9</v>
      </c>
    </row>
    <row r="833" spans="1:8" ht="47.25" x14ac:dyDescent="0.25">
      <c r="A833" s="45" t="s">
        <v>261</v>
      </c>
      <c r="B833" s="454" t="s">
        <v>889</v>
      </c>
      <c r="C833" s="461" t="s">
        <v>299</v>
      </c>
      <c r="D833" s="461" t="s">
        <v>118</v>
      </c>
      <c r="E833" s="2">
        <v>240</v>
      </c>
      <c r="F833" s="2">
        <v>903</v>
      </c>
      <c r="G833" s="451">
        <f>G832</f>
        <v>878.7</v>
      </c>
      <c r="H833" s="451">
        <f>H832</f>
        <v>913.9</v>
      </c>
    </row>
    <row r="834" spans="1:8" ht="15.75" x14ac:dyDescent="0.25">
      <c r="A834" s="458" t="s">
        <v>490</v>
      </c>
      <c r="B834" s="454" t="s">
        <v>888</v>
      </c>
      <c r="C834" s="461" t="s">
        <v>491</v>
      </c>
      <c r="D834" s="461"/>
      <c r="E834" s="2"/>
      <c r="F834" s="2"/>
      <c r="G834" s="451">
        <f t="shared" ref="G834:H837" si="116">G835</f>
        <v>579.1</v>
      </c>
      <c r="H834" s="451">
        <f t="shared" si="116"/>
        <v>602.29999999999995</v>
      </c>
    </row>
    <row r="835" spans="1:8" ht="15.75" x14ac:dyDescent="0.25">
      <c r="A835" s="458" t="s">
        <v>1079</v>
      </c>
      <c r="B835" s="454" t="s">
        <v>888</v>
      </c>
      <c r="C835" s="461" t="s">
        <v>491</v>
      </c>
      <c r="D835" s="461" t="s">
        <v>118</v>
      </c>
      <c r="E835" s="2"/>
      <c r="F835" s="2"/>
      <c r="G835" s="451">
        <f t="shared" si="116"/>
        <v>579.1</v>
      </c>
      <c r="H835" s="451">
        <f t="shared" si="116"/>
        <v>602.29999999999995</v>
      </c>
    </row>
    <row r="836" spans="1:8" ht="47.25" x14ac:dyDescent="0.25">
      <c r="A836" s="45" t="s">
        <v>780</v>
      </c>
      <c r="B836" s="454" t="s">
        <v>936</v>
      </c>
      <c r="C836" s="461" t="s">
        <v>491</v>
      </c>
      <c r="D836" s="461" t="s">
        <v>118</v>
      </c>
      <c r="E836" s="2"/>
      <c r="F836" s="2"/>
      <c r="G836" s="451">
        <f t="shared" si="116"/>
        <v>579.1</v>
      </c>
      <c r="H836" s="451">
        <f t="shared" si="116"/>
        <v>602.29999999999995</v>
      </c>
    </row>
    <row r="837" spans="1:8" ht="47.25" x14ac:dyDescent="0.25">
      <c r="A837" s="29" t="s">
        <v>272</v>
      </c>
      <c r="B837" s="454" t="s">
        <v>936</v>
      </c>
      <c r="C837" s="461" t="s">
        <v>491</v>
      </c>
      <c r="D837" s="461" t="s">
        <v>118</v>
      </c>
      <c r="E837" s="2">
        <v>600</v>
      </c>
      <c r="F837" s="2"/>
      <c r="G837" s="451">
        <f t="shared" si="116"/>
        <v>579.1</v>
      </c>
      <c r="H837" s="451">
        <f t="shared" si="116"/>
        <v>602.29999999999995</v>
      </c>
    </row>
    <row r="838" spans="1:8" ht="15.75" x14ac:dyDescent="0.25">
      <c r="A838" s="182" t="s">
        <v>274</v>
      </c>
      <c r="B838" s="454" t="s">
        <v>936</v>
      </c>
      <c r="C838" s="461" t="s">
        <v>491</v>
      </c>
      <c r="D838" s="461" t="s">
        <v>118</v>
      </c>
      <c r="E838" s="2">
        <v>610</v>
      </c>
      <c r="F838" s="2"/>
      <c r="G838" s="451">
        <f>'пр.6.1.ведом.22-23 (2)'!G802</f>
        <v>579.1</v>
      </c>
      <c r="H838" s="451">
        <f>'пр.6.1.ведом.22-23 (2)'!H802</f>
        <v>602.29999999999995</v>
      </c>
    </row>
    <row r="839" spans="1:8" ht="47.25" x14ac:dyDescent="0.25">
      <c r="A839" s="45" t="s">
        <v>480</v>
      </c>
      <c r="B839" s="454" t="s">
        <v>936</v>
      </c>
      <c r="C839" s="461" t="s">
        <v>491</v>
      </c>
      <c r="D839" s="461" t="s">
        <v>118</v>
      </c>
      <c r="E839" s="2">
        <v>610</v>
      </c>
      <c r="F839" s="2">
        <v>907</v>
      </c>
      <c r="G839" s="451">
        <f>G838</f>
        <v>579.1</v>
      </c>
      <c r="H839" s="451">
        <f>H838</f>
        <v>602.29999999999995</v>
      </c>
    </row>
    <row r="840" spans="1:8" ht="15.75" x14ac:dyDescent="0.25">
      <c r="A840" s="29" t="s">
        <v>582</v>
      </c>
      <c r="B840" s="454" t="s">
        <v>888</v>
      </c>
      <c r="C840" s="461" t="s">
        <v>238</v>
      </c>
      <c r="D840" s="461"/>
      <c r="E840" s="2"/>
      <c r="F840" s="2"/>
      <c r="G840" s="451">
        <f t="shared" ref="G840:H843" si="117">G841</f>
        <v>74.900000000000006</v>
      </c>
      <c r="H840" s="451">
        <f t="shared" si="117"/>
        <v>77.900000000000006</v>
      </c>
    </row>
    <row r="841" spans="1:8" ht="15.75" x14ac:dyDescent="0.25">
      <c r="A841" s="29" t="s">
        <v>583</v>
      </c>
      <c r="B841" s="454" t="s">
        <v>888</v>
      </c>
      <c r="C841" s="461" t="s">
        <v>238</v>
      </c>
      <c r="D841" s="461" t="s">
        <v>213</v>
      </c>
      <c r="E841" s="2"/>
      <c r="F841" s="2"/>
      <c r="G841" s="451">
        <f t="shared" si="117"/>
        <v>74.900000000000006</v>
      </c>
      <c r="H841" s="451">
        <f t="shared" si="117"/>
        <v>77.900000000000006</v>
      </c>
    </row>
    <row r="842" spans="1:8" ht="47.25" x14ac:dyDescent="0.25">
      <c r="A842" s="45" t="s">
        <v>778</v>
      </c>
      <c r="B842" s="454" t="s">
        <v>889</v>
      </c>
      <c r="C842" s="461" t="s">
        <v>238</v>
      </c>
      <c r="D842" s="461" t="s">
        <v>213</v>
      </c>
      <c r="E842" s="2"/>
      <c r="F842" s="2"/>
      <c r="G842" s="451">
        <f t="shared" si="117"/>
        <v>74.900000000000006</v>
      </c>
      <c r="H842" s="451">
        <f t="shared" si="117"/>
        <v>77.900000000000006</v>
      </c>
    </row>
    <row r="843" spans="1:8" ht="31.5" x14ac:dyDescent="0.25">
      <c r="A843" s="458" t="s">
        <v>131</v>
      </c>
      <c r="B843" s="454" t="s">
        <v>889</v>
      </c>
      <c r="C843" s="461" t="s">
        <v>238</v>
      </c>
      <c r="D843" s="461" t="s">
        <v>213</v>
      </c>
      <c r="E843" s="2">
        <v>200</v>
      </c>
      <c r="F843" s="2"/>
      <c r="G843" s="451">
        <f t="shared" si="117"/>
        <v>74.900000000000006</v>
      </c>
      <c r="H843" s="451">
        <f t="shared" si="117"/>
        <v>77.900000000000006</v>
      </c>
    </row>
    <row r="844" spans="1:8" ht="47.25" x14ac:dyDescent="0.25">
      <c r="A844" s="458" t="s">
        <v>133</v>
      </c>
      <c r="B844" s="454" t="s">
        <v>889</v>
      </c>
      <c r="C844" s="461" t="s">
        <v>238</v>
      </c>
      <c r="D844" s="461" t="s">
        <v>213</v>
      </c>
      <c r="E844" s="2">
        <v>240</v>
      </c>
      <c r="F844" s="2"/>
      <c r="G844" s="451">
        <f>'пр.6.1.ведом.22-23 (2)'!G487</f>
        <v>74.900000000000006</v>
      </c>
      <c r="H844" s="451">
        <f>'пр.6.1.ведом.22-23 (2)'!H487</f>
        <v>77.900000000000006</v>
      </c>
    </row>
    <row r="845" spans="1:8" ht="47.25" x14ac:dyDescent="0.25">
      <c r="A845" s="45" t="s">
        <v>261</v>
      </c>
      <c r="B845" s="454" t="s">
        <v>889</v>
      </c>
      <c r="C845" s="461" t="s">
        <v>238</v>
      </c>
      <c r="D845" s="461" t="s">
        <v>213</v>
      </c>
      <c r="E845" s="2">
        <v>240</v>
      </c>
      <c r="F845" s="2">
        <v>903</v>
      </c>
      <c r="G845" s="451">
        <f>G840</f>
        <v>74.900000000000006</v>
      </c>
      <c r="H845" s="451">
        <f>H840</f>
        <v>77.900000000000006</v>
      </c>
    </row>
    <row r="846" spans="1:8" ht="47.25" x14ac:dyDescent="0.25">
      <c r="A846" s="464" t="s">
        <v>1023</v>
      </c>
      <c r="B846" s="457" t="s">
        <v>853</v>
      </c>
      <c r="C846" s="7"/>
      <c r="D846" s="7"/>
      <c r="E846" s="3"/>
      <c r="F846" s="3"/>
      <c r="G846" s="450">
        <f t="shared" ref="G846:H850" si="118">G847</f>
        <v>15</v>
      </c>
      <c r="H846" s="450">
        <f t="shared" si="118"/>
        <v>15</v>
      </c>
    </row>
    <row r="847" spans="1:8" ht="15.75" x14ac:dyDescent="0.25">
      <c r="A847" s="219" t="s">
        <v>117</v>
      </c>
      <c r="B847" s="454" t="s">
        <v>853</v>
      </c>
      <c r="C847" s="461" t="s">
        <v>118</v>
      </c>
      <c r="D847" s="461"/>
      <c r="E847" s="2"/>
      <c r="F847" s="2"/>
      <c r="G847" s="451">
        <f t="shared" si="118"/>
        <v>15</v>
      </c>
      <c r="H847" s="451">
        <f t="shared" si="118"/>
        <v>15</v>
      </c>
    </row>
    <row r="848" spans="1:8" ht="15.75" x14ac:dyDescent="0.25">
      <c r="A848" s="219" t="s">
        <v>139</v>
      </c>
      <c r="B848" s="454" t="s">
        <v>853</v>
      </c>
      <c r="C848" s="461" t="s">
        <v>118</v>
      </c>
      <c r="D848" s="461" t="s">
        <v>140</v>
      </c>
      <c r="E848" s="2"/>
      <c r="F848" s="2"/>
      <c r="G848" s="451">
        <f t="shared" si="118"/>
        <v>15</v>
      </c>
      <c r="H848" s="451">
        <f t="shared" si="118"/>
        <v>15</v>
      </c>
    </row>
    <row r="849" spans="1:8" ht="56.25" customHeight="1" x14ac:dyDescent="0.25">
      <c r="A849" s="251" t="s">
        <v>1005</v>
      </c>
      <c r="B849" s="454" t="s">
        <v>848</v>
      </c>
      <c r="C849" s="461" t="s">
        <v>118</v>
      </c>
      <c r="D849" s="461" t="s">
        <v>140</v>
      </c>
      <c r="E849" s="2"/>
      <c r="F849" s="2"/>
      <c r="G849" s="451">
        <f t="shared" si="118"/>
        <v>15</v>
      </c>
      <c r="H849" s="451">
        <f t="shared" si="118"/>
        <v>15</v>
      </c>
    </row>
    <row r="850" spans="1:8" ht="31.5" x14ac:dyDescent="0.25">
      <c r="A850" s="458" t="s">
        <v>131</v>
      </c>
      <c r="B850" s="454" t="s">
        <v>848</v>
      </c>
      <c r="C850" s="461" t="s">
        <v>118</v>
      </c>
      <c r="D850" s="461" t="s">
        <v>140</v>
      </c>
      <c r="E850" s="2">
        <v>200</v>
      </c>
      <c r="F850" s="2"/>
      <c r="G850" s="451">
        <f t="shared" si="118"/>
        <v>15</v>
      </c>
      <c r="H850" s="451">
        <f t="shared" si="118"/>
        <v>15</v>
      </c>
    </row>
    <row r="851" spans="1:8" ht="47.25" x14ac:dyDescent="0.25">
      <c r="A851" s="458" t="s">
        <v>133</v>
      </c>
      <c r="B851" s="454" t="s">
        <v>848</v>
      </c>
      <c r="C851" s="461" t="s">
        <v>118</v>
      </c>
      <c r="D851" s="461" t="s">
        <v>140</v>
      </c>
      <c r="E851" s="2">
        <v>240</v>
      </c>
      <c r="F851" s="2"/>
      <c r="G851" s="451">
        <f>'пр.6.1.ведом.22-23 (2)'!G154</f>
        <v>15</v>
      </c>
      <c r="H851" s="451">
        <f>'пр.6.1.ведом.22-23 (2)'!H154</f>
        <v>15</v>
      </c>
    </row>
    <row r="852" spans="1:8" ht="31.5" x14ac:dyDescent="0.25">
      <c r="A852" s="29" t="s">
        <v>148</v>
      </c>
      <c r="B852" s="454" t="s">
        <v>848</v>
      </c>
      <c r="C852" s="461" t="s">
        <v>118</v>
      </c>
      <c r="D852" s="461" t="s">
        <v>140</v>
      </c>
      <c r="E852" s="2">
        <v>240</v>
      </c>
      <c r="F852" s="2">
        <v>902</v>
      </c>
      <c r="G852" s="451">
        <f>G851</f>
        <v>15</v>
      </c>
      <c r="H852" s="451">
        <f>H851</f>
        <v>15</v>
      </c>
    </row>
    <row r="853" spans="1:8" ht="78.75" x14ac:dyDescent="0.25">
      <c r="A853" s="456" t="s">
        <v>1538</v>
      </c>
      <c r="B853" s="457" t="s">
        <v>711</v>
      </c>
      <c r="C853" s="7"/>
      <c r="D853" s="7"/>
      <c r="E853" s="3"/>
      <c r="F853" s="3"/>
      <c r="G853" s="450">
        <f>G854</f>
        <v>500</v>
      </c>
      <c r="H853" s="450">
        <f>H854</f>
        <v>500</v>
      </c>
    </row>
    <row r="854" spans="1:8" ht="31.5" x14ac:dyDescent="0.25">
      <c r="A854" s="456" t="s">
        <v>1067</v>
      </c>
      <c r="B854" s="457" t="s">
        <v>1088</v>
      </c>
      <c r="C854" s="7"/>
      <c r="D854" s="7"/>
      <c r="E854" s="3"/>
      <c r="F854" s="3"/>
      <c r="G854" s="450">
        <f>G855</f>
        <v>500</v>
      </c>
      <c r="H854" s="450">
        <f>H855</f>
        <v>500</v>
      </c>
    </row>
    <row r="855" spans="1:8" ht="15.75" x14ac:dyDescent="0.25">
      <c r="A855" s="458" t="s">
        <v>390</v>
      </c>
      <c r="B855" s="454" t="s">
        <v>835</v>
      </c>
      <c r="C855" s="461" t="s">
        <v>234</v>
      </c>
      <c r="D855" s="461"/>
      <c r="E855" s="2"/>
      <c r="F855" s="2"/>
      <c r="G855" s="451">
        <f t="shared" ref="G855:H858" si="119">G856</f>
        <v>500</v>
      </c>
      <c r="H855" s="451">
        <f t="shared" si="119"/>
        <v>500</v>
      </c>
    </row>
    <row r="856" spans="1:8" ht="15.75" x14ac:dyDescent="0.25">
      <c r="A856" s="458" t="s">
        <v>541</v>
      </c>
      <c r="B856" s="454" t="s">
        <v>835</v>
      </c>
      <c r="C856" s="461" t="s">
        <v>234</v>
      </c>
      <c r="D856" s="461" t="s">
        <v>215</v>
      </c>
      <c r="E856" s="2"/>
      <c r="F856" s="2"/>
      <c r="G856" s="451">
        <f t="shared" si="119"/>
        <v>500</v>
      </c>
      <c r="H856" s="451">
        <f t="shared" si="119"/>
        <v>500</v>
      </c>
    </row>
    <row r="857" spans="1:8" ht="63" x14ac:dyDescent="0.25">
      <c r="A857" s="80" t="s">
        <v>693</v>
      </c>
      <c r="B857" s="454" t="s">
        <v>835</v>
      </c>
      <c r="C857" s="461" t="s">
        <v>234</v>
      </c>
      <c r="D857" s="461" t="s">
        <v>215</v>
      </c>
      <c r="E857" s="2"/>
      <c r="F857" s="2"/>
      <c r="G857" s="451">
        <f t="shared" si="119"/>
        <v>500</v>
      </c>
      <c r="H857" s="451">
        <f t="shared" si="119"/>
        <v>500</v>
      </c>
    </row>
    <row r="858" spans="1:8" ht="31.5" x14ac:dyDescent="0.25">
      <c r="A858" s="458" t="s">
        <v>131</v>
      </c>
      <c r="B858" s="454" t="s">
        <v>835</v>
      </c>
      <c r="C858" s="461" t="s">
        <v>234</v>
      </c>
      <c r="D858" s="461" t="s">
        <v>215</v>
      </c>
      <c r="E858" s="2">
        <v>200</v>
      </c>
      <c r="F858" s="2"/>
      <c r="G858" s="451">
        <f t="shared" si="119"/>
        <v>500</v>
      </c>
      <c r="H858" s="451">
        <f t="shared" si="119"/>
        <v>500</v>
      </c>
    </row>
    <row r="859" spans="1:8" ht="47.25" x14ac:dyDescent="0.25">
      <c r="A859" s="458" t="s">
        <v>133</v>
      </c>
      <c r="B859" s="454" t="s">
        <v>835</v>
      </c>
      <c r="C859" s="461" t="s">
        <v>234</v>
      </c>
      <c r="D859" s="461" t="s">
        <v>215</v>
      </c>
      <c r="E859" s="2">
        <v>240</v>
      </c>
      <c r="F859" s="2"/>
      <c r="G859" s="451">
        <f>'пр.6.1.ведом.22-23 (2)'!G1002</f>
        <v>500</v>
      </c>
      <c r="H859" s="451">
        <f>'пр.6.1.ведом.22-23 (2)'!H1002</f>
        <v>500</v>
      </c>
    </row>
    <row r="860" spans="1:8" ht="47.25" x14ac:dyDescent="0.25">
      <c r="A860" s="45" t="s">
        <v>623</v>
      </c>
      <c r="B860" s="454" t="s">
        <v>835</v>
      </c>
      <c r="C860" s="461" t="s">
        <v>234</v>
      </c>
      <c r="D860" s="461" t="s">
        <v>215</v>
      </c>
      <c r="E860" s="2">
        <v>240</v>
      </c>
      <c r="F860" s="2">
        <v>908</v>
      </c>
      <c r="G860" s="451">
        <f>G859</f>
        <v>500</v>
      </c>
      <c r="H860" s="451">
        <f>H859</f>
        <v>500</v>
      </c>
    </row>
    <row r="861" spans="1:8" ht="78.75" hidden="1" x14ac:dyDescent="0.25">
      <c r="A861" s="58" t="s">
        <v>1357</v>
      </c>
      <c r="B861" s="457" t="s">
        <v>782</v>
      </c>
      <c r="C861" s="7"/>
      <c r="D861" s="7"/>
      <c r="E861" s="3"/>
      <c r="F861" s="3"/>
      <c r="G861" s="450">
        <f>G863</f>
        <v>0</v>
      </c>
      <c r="H861" s="450">
        <f>H863</f>
        <v>0</v>
      </c>
    </row>
    <row r="862" spans="1:8" ht="31.5" hidden="1" x14ac:dyDescent="0.25">
      <c r="A862" s="456" t="s">
        <v>930</v>
      </c>
      <c r="B862" s="457" t="s">
        <v>1020</v>
      </c>
      <c r="C862" s="7"/>
      <c r="D862" s="7"/>
      <c r="E862" s="3"/>
      <c r="F862" s="3"/>
      <c r="G862" s="450">
        <f t="shared" ref="G862:H866" si="120">G863</f>
        <v>0</v>
      </c>
      <c r="H862" s="450">
        <f t="shared" si="120"/>
        <v>0</v>
      </c>
    </row>
    <row r="863" spans="1:8" ht="15.75" hidden="1" x14ac:dyDescent="0.25">
      <c r="A863" s="45" t="s">
        <v>117</v>
      </c>
      <c r="B863" s="454" t="s">
        <v>1020</v>
      </c>
      <c r="C863" s="461" t="s">
        <v>118</v>
      </c>
      <c r="D863" s="461"/>
      <c r="E863" s="2"/>
      <c r="F863" s="2"/>
      <c r="G863" s="451">
        <f t="shared" si="120"/>
        <v>0</v>
      </c>
      <c r="H863" s="451">
        <f t="shared" si="120"/>
        <v>0</v>
      </c>
    </row>
    <row r="864" spans="1:8" ht="15.75" hidden="1" x14ac:dyDescent="0.25">
      <c r="A864" s="45" t="s">
        <v>139</v>
      </c>
      <c r="B864" s="454" t="s">
        <v>1020</v>
      </c>
      <c r="C864" s="461" t="s">
        <v>118</v>
      </c>
      <c r="D864" s="461" t="s">
        <v>140</v>
      </c>
      <c r="E864" s="2"/>
      <c r="F864" s="2"/>
      <c r="G864" s="451">
        <f t="shared" si="120"/>
        <v>0</v>
      </c>
      <c r="H864" s="451">
        <f t="shared" si="120"/>
        <v>0</v>
      </c>
    </row>
    <row r="865" spans="1:10" ht="31.5" hidden="1" x14ac:dyDescent="0.25">
      <c r="A865" s="45" t="s">
        <v>790</v>
      </c>
      <c r="B865" s="454" t="s">
        <v>1021</v>
      </c>
      <c r="C865" s="461" t="s">
        <v>118</v>
      </c>
      <c r="D865" s="461" t="s">
        <v>140</v>
      </c>
      <c r="E865" s="2"/>
      <c r="F865" s="2"/>
      <c r="G865" s="451">
        <f t="shared" si="120"/>
        <v>0</v>
      </c>
      <c r="H865" s="451">
        <f t="shared" si="120"/>
        <v>0</v>
      </c>
    </row>
    <row r="866" spans="1:10" ht="31.5" hidden="1" x14ac:dyDescent="0.25">
      <c r="A866" s="45" t="s">
        <v>131</v>
      </c>
      <c r="B866" s="454" t="s">
        <v>1021</v>
      </c>
      <c r="C866" s="461" t="s">
        <v>118</v>
      </c>
      <c r="D866" s="461" t="s">
        <v>140</v>
      </c>
      <c r="E866" s="2">
        <v>200</v>
      </c>
      <c r="F866" s="2"/>
      <c r="G866" s="451">
        <f t="shared" si="120"/>
        <v>0</v>
      </c>
      <c r="H866" s="451">
        <f t="shared" si="120"/>
        <v>0</v>
      </c>
    </row>
    <row r="867" spans="1:10" ht="47.25" hidden="1" x14ac:dyDescent="0.25">
      <c r="A867" s="45" t="s">
        <v>133</v>
      </c>
      <c r="B867" s="454" t="s">
        <v>1021</v>
      </c>
      <c r="C867" s="461" t="s">
        <v>118</v>
      </c>
      <c r="D867" s="461" t="s">
        <v>140</v>
      </c>
      <c r="E867" s="2">
        <v>240</v>
      </c>
      <c r="F867" s="2"/>
      <c r="G867" s="451">
        <f>'пр.6.1.ведом.22-23 (2)'!G520</f>
        <v>0</v>
      </c>
      <c r="H867" s="451">
        <f>'пр.6.1.ведом.22-23 (2)'!H520</f>
        <v>0</v>
      </c>
    </row>
    <row r="868" spans="1:10" ht="47.25" hidden="1" x14ac:dyDescent="0.25">
      <c r="A868" s="45" t="s">
        <v>1388</v>
      </c>
      <c r="B868" s="454" t="s">
        <v>1021</v>
      </c>
      <c r="C868" s="461" t="s">
        <v>118</v>
      </c>
      <c r="D868" s="461" t="s">
        <v>140</v>
      </c>
      <c r="E868" s="2">
        <v>240</v>
      </c>
      <c r="F868" s="2">
        <v>905</v>
      </c>
      <c r="G868" s="451">
        <f>G867</f>
        <v>0</v>
      </c>
      <c r="H868" s="451">
        <f>H867</f>
        <v>0</v>
      </c>
    </row>
    <row r="869" spans="1:10" ht="94.5" x14ac:dyDescent="0.25">
      <c r="A869" s="462" t="s">
        <v>1368</v>
      </c>
      <c r="B869" s="457" t="s">
        <v>817</v>
      </c>
      <c r="C869" s="7"/>
      <c r="D869" s="7"/>
      <c r="E869" s="3"/>
      <c r="F869" s="3"/>
      <c r="G869" s="450">
        <f>G871</f>
        <v>45</v>
      </c>
      <c r="H869" s="450">
        <f>H871</f>
        <v>50</v>
      </c>
    </row>
    <row r="870" spans="1:10" ht="47.25" x14ac:dyDescent="0.25">
      <c r="A870" s="208" t="s">
        <v>854</v>
      </c>
      <c r="B870" s="457" t="s">
        <v>1076</v>
      </c>
      <c r="C870" s="7"/>
      <c r="D870" s="7"/>
      <c r="E870" s="3"/>
      <c r="F870" s="3"/>
      <c r="G870" s="450">
        <f t="shared" ref="G870:H874" si="121">G871</f>
        <v>45</v>
      </c>
      <c r="H870" s="450">
        <f t="shared" si="121"/>
        <v>50</v>
      </c>
    </row>
    <row r="871" spans="1:10" ht="15.75" x14ac:dyDescent="0.25">
      <c r="A871" s="45" t="s">
        <v>117</v>
      </c>
      <c r="B871" s="454" t="s">
        <v>1076</v>
      </c>
      <c r="C871" s="461" t="s">
        <v>118</v>
      </c>
      <c r="D871" s="461"/>
      <c r="E871" s="2"/>
      <c r="F871" s="2"/>
      <c r="G871" s="451">
        <f t="shared" si="121"/>
        <v>45</v>
      </c>
      <c r="H871" s="451">
        <f t="shared" si="121"/>
        <v>50</v>
      </c>
    </row>
    <row r="872" spans="1:10" ht="15.75" x14ac:dyDescent="0.25">
      <c r="A872" s="45" t="s">
        <v>139</v>
      </c>
      <c r="B872" s="454" t="s">
        <v>1076</v>
      </c>
      <c r="C872" s="461" t="s">
        <v>118</v>
      </c>
      <c r="D872" s="461" t="s">
        <v>140</v>
      </c>
      <c r="E872" s="2"/>
      <c r="F872" s="2"/>
      <c r="G872" s="451">
        <f t="shared" si="121"/>
        <v>45</v>
      </c>
      <c r="H872" s="451">
        <f t="shared" si="121"/>
        <v>50</v>
      </c>
    </row>
    <row r="873" spans="1:10" ht="47.25" x14ac:dyDescent="0.25">
      <c r="A873" s="97" t="s">
        <v>171</v>
      </c>
      <c r="B873" s="454" t="s">
        <v>855</v>
      </c>
      <c r="C873" s="461" t="s">
        <v>118</v>
      </c>
      <c r="D873" s="461" t="s">
        <v>140</v>
      </c>
      <c r="E873" s="2"/>
      <c r="F873" s="2"/>
      <c r="G873" s="451">
        <f t="shared" si="121"/>
        <v>45</v>
      </c>
      <c r="H873" s="451">
        <f t="shared" si="121"/>
        <v>50</v>
      </c>
    </row>
    <row r="874" spans="1:10" ht="31.5" x14ac:dyDescent="0.25">
      <c r="A874" s="45" t="s">
        <v>131</v>
      </c>
      <c r="B874" s="454" t="s">
        <v>855</v>
      </c>
      <c r="C874" s="461" t="s">
        <v>118</v>
      </c>
      <c r="D874" s="461" t="s">
        <v>140</v>
      </c>
      <c r="E874" s="2">
        <v>200</v>
      </c>
      <c r="F874" s="2"/>
      <c r="G874" s="451">
        <f t="shared" si="121"/>
        <v>45</v>
      </c>
      <c r="H874" s="451">
        <f t="shared" si="121"/>
        <v>50</v>
      </c>
    </row>
    <row r="875" spans="1:10" ht="47.25" x14ac:dyDescent="0.25">
      <c r="A875" s="45" t="s">
        <v>133</v>
      </c>
      <c r="B875" s="454" t="s">
        <v>855</v>
      </c>
      <c r="C875" s="461" t="s">
        <v>118</v>
      </c>
      <c r="D875" s="461" t="s">
        <v>140</v>
      </c>
      <c r="E875" s="2">
        <v>240</v>
      </c>
      <c r="F875" s="2"/>
      <c r="G875" s="451">
        <f>'пр.6.1.ведом.22-23 (2)'!G159</f>
        <v>45</v>
      </c>
      <c r="H875" s="451">
        <f>'пр.6.1.ведом.22-23 (2)'!H159</f>
        <v>50</v>
      </c>
    </row>
    <row r="876" spans="1:10" ht="31.5" x14ac:dyDescent="0.25">
      <c r="A876" s="29" t="s">
        <v>148</v>
      </c>
      <c r="B876" s="454" t="s">
        <v>855</v>
      </c>
      <c r="C876" s="461" t="s">
        <v>118</v>
      </c>
      <c r="D876" s="461" t="s">
        <v>140</v>
      </c>
      <c r="E876" s="2">
        <v>240</v>
      </c>
      <c r="F876" s="2">
        <v>902</v>
      </c>
      <c r="G876" s="451">
        <f>G869</f>
        <v>45</v>
      </c>
      <c r="H876" s="451">
        <f>H869</f>
        <v>50</v>
      </c>
      <c r="J876" s="22"/>
    </row>
    <row r="877" spans="1:10" ht="78.75" x14ac:dyDescent="0.25">
      <c r="A877" s="462" t="s">
        <v>1377</v>
      </c>
      <c r="B877" s="457" t="s">
        <v>818</v>
      </c>
      <c r="C877" s="7"/>
      <c r="D877" s="7"/>
      <c r="E877" s="3"/>
      <c r="F877" s="3"/>
      <c r="G877" s="450">
        <f>G879</f>
        <v>80</v>
      </c>
      <c r="H877" s="450">
        <f>H879</f>
        <v>90</v>
      </c>
    </row>
    <row r="878" spans="1:10" ht="31.5" x14ac:dyDescent="0.25">
      <c r="A878" s="58" t="s">
        <v>856</v>
      </c>
      <c r="B878" s="457" t="s">
        <v>864</v>
      </c>
      <c r="C878" s="7"/>
      <c r="D878" s="7"/>
      <c r="E878" s="3"/>
      <c r="F878" s="3"/>
      <c r="G878" s="450">
        <f t="shared" ref="G878:H882" si="122">G879</f>
        <v>80</v>
      </c>
      <c r="H878" s="450">
        <f t="shared" si="122"/>
        <v>90</v>
      </c>
    </row>
    <row r="879" spans="1:10" ht="15.75" x14ac:dyDescent="0.25">
      <c r="A879" s="45" t="s">
        <v>117</v>
      </c>
      <c r="B879" s="454" t="s">
        <v>864</v>
      </c>
      <c r="C879" s="461" t="s">
        <v>118</v>
      </c>
      <c r="D879" s="461"/>
      <c r="E879" s="2"/>
      <c r="F879" s="2"/>
      <c r="G879" s="451">
        <f t="shared" si="122"/>
        <v>80</v>
      </c>
      <c r="H879" s="451">
        <f t="shared" si="122"/>
        <v>90</v>
      </c>
    </row>
    <row r="880" spans="1:10" ht="15.75" x14ac:dyDescent="0.25">
      <c r="A880" s="45" t="s">
        <v>139</v>
      </c>
      <c r="B880" s="454" t="s">
        <v>864</v>
      </c>
      <c r="C880" s="461" t="s">
        <v>118</v>
      </c>
      <c r="D880" s="461" t="s">
        <v>140</v>
      </c>
      <c r="E880" s="2"/>
      <c r="F880" s="2"/>
      <c r="G880" s="451">
        <f t="shared" si="122"/>
        <v>80</v>
      </c>
      <c r="H880" s="451">
        <f t="shared" si="122"/>
        <v>90</v>
      </c>
    </row>
    <row r="881" spans="1:8" ht="31.5" x14ac:dyDescent="0.25">
      <c r="A881" s="45" t="s">
        <v>175</v>
      </c>
      <c r="B881" s="454" t="s">
        <v>857</v>
      </c>
      <c r="C881" s="461" t="s">
        <v>118</v>
      </c>
      <c r="D881" s="461" t="s">
        <v>140</v>
      </c>
      <c r="E881" s="2"/>
      <c r="F881" s="2"/>
      <c r="G881" s="451">
        <f t="shared" si="122"/>
        <v>80</v>
      </c>
      <c r="H881" s="451">
        <f t="shared" si="122"/>
        <v>90</v>
      </c>
    </row>
    <row r="882" spans="1:8" ht="31.5" x14ac:dyDescent="0.25">
      <c r="A882" s="45" t="s">
        <v>131</v>
      </c>
      <c r="B882" s="454" t="s">
        <v>857</v>
      </c>
      <c r="C882" s="461" t="s">
        <v>118</v>
      </c>
      <c r="D882" s="461" t="s">
        <v>140</v>
      </c>
      <c r="E882" s="2">
        <v>200</v>
      </c>
      <c r="F882" s="2"/>
      <c r="G882" s="451">
        <f t="shared" si="122"/>
        <v>80</v>
      </c>
      <c r="H882" s="451">
        <f t="shared" si="122"/>
        <v>90</v>
      </c>
    </row>
    <row r="883" spans="1:8" ht="47.25" x14ac:dyDescent="0.25">
      <c r="A883" s="45" t="s">
        <v>133</v>
      </c>
      <c r="B883" s="454" t="s">
        <v>857</v>
      </c>
      <c r="C883" s="461" t="s">
        <v>118</v>
      </c>
      <c r="D883" s="461" t="s">
        <v>140</v>
      </c>
      <c r="E883" s="2">
        <v>240</v>
      </c>
      <c r="F883" s="2"/>
      <c r="G883" s="451">
        <f>'пр.6.1.ведом.22-23 (2)'!G164</f>
        <v>80</v>
      </c>
      <c r="H883" s="451">
        <f>'пр.6.1.ведом.22-23 (2)'!H164</f>
        <v>90</v>
      </c>
    </row>
    <row r="884" spans="1:8" ht="31.5" x14ac:dyDescent="0.25">
      <c r="A884" s="29" t="s">
        <v>148</v>
      </c>
      <c r="B884" s="454" t="s">
        <v>857</v>
      </c>
      <c r="C884" s="461" t="s">
        <v>118</v>
      </c>
      <c r="D884" s="461" t="s">
        <v>140</v>
      </c>
      <c r="E884" s="2">
        <v>240</v>
      </c>
      <c r="F884" s="2">
        <v>902</v>
      </c>
      <c r="G884" s="451">
        <f>G877</f>
        <v>80</v>
      </c>
      <c r="H884" s="451">
        <f>H877</f>
        <v>90</v>
      </c>
    </row>
    <row r="885" spans="1:8" ht="47.25" x14ac:dyDescent="0.25">
      <c r="A885" s="456" t="s">
        <v>1536</v>
      </c>
      <c r="B885" s="457" t="s">
        <v>1142</v>
      </c>
      <c r="C885" s="461"/>
      <c r="D885" s="461"/>
      <c r="E885" s="2"/>
      <c r="F885" s="2"/>
      <c r="G885" s="450">
        <f t="shared" ref="G885:H891" si="123">G886</f>
        <v>204</v>
      </c>
      <c r="H885" s="450">
        <f t="shared" si="123"/>
        <v>215</v>
      </c>
    </row>
    <row r="886" spans="1:8" ht="31.5" x14ac:dyDescent="0.25">
      <c r="A886" s="456" t="s">
        <v>1540</v>
      </c>
      <c r="B886" s="457" t="s">
        <v>1144</v>
      </c>
      <c r="C886" s="461"/>
      <c r="D886" s="461"/>
      <c r="E886" s="2"/>
      <c r="F886" s="2"/>
      <c r="G886" s="450">
        <f t="shared" si="123"/>
        <v>204</v>
      </c>
      <c r="H886" s="450">
        <f t="shared" si="123"/>
        <v>215</v>
      </c>
    </row>
    <row r="887" spans="1:8" ht="15.75" x14ac:dyDescent="0.25">
      <c r="A887" s="29" t="s">
        <v>390</v>
      </c>
      <c r="B887" s="454" t="s">
        <v>1144</v>
      </c>
      <c r="C887" s="461" t="s">
        <v>234</v>
      </c>
      <c r="D887" s="461"/>
      <c r="E887" s="2"/>
      <c r="F887" s="2"/>
      <c r="G887" s="451">
        <f t="shared" si="123"/>
        <v>204</v>
      </c>
      <c r="H887" s="451">
        <f t="shared" si="123"/>
        <v>215</v>
      </c>
    </row>
    <row r="888" spans="1:8" ht="15.75" x14ac:dyDescent="0.25">
      <c r="A888" s="29" t="s">
        <v>517</v>
      </c>
      <c r="B888" s="454" t="s">
        <v>1144</v>
      </c>
      <c r="C888" s="461" t="s">
        <v>234</v>
      </c>
      <c r="D888" s="461" t="s">
        <v>213</v>
      </c>
      <c r="E888" s="2"/>
      <c r="F888" s="2"/>
      <c r="G888" s="451">
        <f t="shared" si="123"/>
        <v>204</v>
      </c>
      <c r="H888" s="451">
        <f t="shared" si="123"/>
        <v>215</v>
      </c>
    </row>
    <row r="889" spans="1:8" ht="31.5" x14ac:dyDescent="0.25">
      <c r="A889" s="29" t="s">
        <v>1146</v>
      </c>
      <c r="B889" s="454" t="s">
        <v>1145</v>
      </c>
      <c r="C889" s="461" t="s">
        <v>234</v>
      </c>
      <c r="D889" s="461" t="s">
        <v>213</v>
      </c>
      <c r="E889" s="2"/>
      <c r="F889" s="2"/>
      <c r="G889" s="451">
        <f t="shared" si="123"/>
        <v>204</v>
      </c>
      <c r="H889" s="451">
        <f t="shared" si="123"/>
        <v>215</v>
      </c>
    </row>
    <row r="890" spans="1:8" ht="31.5" x14ac:dyDescent="0.25">
      <c r="A890" s="45" t="s">
        <v>131</v>
      </c>
      <c r="B890" s="454" t="s">
        <v>1145</v>
      </c>
      <c r="C890" s="461" t="s">
        <v>234</v>
      </c>
      <c r="D890" s="461" t="s">
        <v>213</v>
      </c>
      <c r="E890" s="2">
        <v>200</v>
      </c>
      <c r="F890" s="2"/>
      <c r="G890" s="451">
        <f t="shared" si="123"/>
        <v>204</v>
      </c>
      <c r="H890" s="451">
        <f t="shared" si="123"/>
        <v>215</v>
      </c>
    </row>
    <row r="891" spans="1:8" ht="47.25" x14ac:dyDescent="0.25">
      <c r="A891" s="45" t="s">
        <v>133</v>
      </c>
      <c r="B891" s="454" t="s">
        <v>1145</v>
      </c>
      <c r="C891" s="461" t="s">
        <v>234</v>
      </c>
      <c r="D891" s="461" t="s">
        <v>213</v>
      </c>
      <c r="E891" s="2">
        <v>240</v>
      </c>
      <c r="F891" s="2"/>
      <c r="G891" s="451">
        <f t="shared" si="123"/>
        <v>204</v>
      </c>
      <c r="H891" s="451">
        <f t="shared" si="123"/>
        <v>215</v>
      </c>
    </row>
    <row r="892" spans="1:8" ht="47.25" x14ac:dyDescent="0.25">
      <c r="A892" s="45" t="s">
        <v>623</v>
      </c>
      <c r="B892" s="454" t="s">
        <v>1145</v>
      </c>
      <c r="C892" s="461" t="s">
        <v>234</v>
      </c>
      <c r="D892" s="461" t="s">
        <v>213</v>
      </c>
      <c r="E892" s="2">
        <v>240</v>
      </c>
      <c r="F892" s="2">
        <v>908</v>
      </c>
      <c r="G892" s="451">
        <f>'пр.6.1.ведом.22-23 (2)'!G952</f>
        <v>204</v>
      </c>
      <c r="H892" s="451">
        <f>'пр.6.1.ведом.22-23 (2)'!H952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473372.89999999991</v>
      </c>
      <c r="H893" s="120">
        <f>H877+H869+H861+H853+H795+H761+H696+H644+H597+H464+H406+H398+H356+H344+H140+H30+H9+H711+H885</f>
        <v>498426.15</v>
      </c>
    </row>
    <row r="895" spans="1:8" x14ac:dyDescent="0.25">
      <c r="G895" s="22">
        <f>'пр.6.1.ведом.22-23 (2)'!G1151</f>
        <v>473372.89999999991</v>
      </c>
      <c r="H895" s="22">
        <f>'пр.6.1.ведом.22-23 (2)'!H1151</f>
        <v>498426.15</v>
      </c>
    </row>
    <row r="897" spans="7:8" x14ac:dyDescent="0.25">
      <c r="G897" s="22">
        <f>G895-G893</f>
        <v>0</v>
      </c>
      <c r="H897" s="22">
        <f>H895-H893</f>
        <v>0</v>
      </c>
    </row>
  </sheetData>
  <mergeCells count="4">
    <mergeCell ref="G1:H1"/>
    <mergeCell ref="G2:H2"/>
    <mergeCell ref="G3:H3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5" zoomScale="80" zoomScaleNormal="100" zoomScaleSheetLayoutView="80" workbookViewId="0">
      <selection activeCell="G14" sqref="G14"/>
    </sheetView>
  </sheetViews>
  <sheetFormatPr defaultRowHeight="15" x14ac:dyDescent="0.25"/>
  <cols>
    <col min="1" max="1" width="25" customWidth="1"/>
    <col min="2" max="2" width="76.28515625" customWidth="1"/>
    <col min="3" max="3" width="16" style="22" customWidth="1"/>
    <col min="4" max="4" width="17.28515625" style="22" customWidth="1"/>
    <col min="5" max="5" width="13.42578125" customWidth="1"/>
    <col min="6" max="6" width="10.85546875" customWidth="1"/>
    <col min="7" max="7" width="42.28515625" customWidth="1"/>
    <col min="8" max="8" width="10.28515625" customWidth="1"/>
    <col min="9" max="9" width="10.28515625" style="200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554" t="s">
        <v>1519</v>
      </c>
      <c r="D1" s="554"/>
    </row>
    <row r="2" spans="1:11" ht="15.75" x14ac:dyDescent="0.25">
      <c r="A2" s="128"/>
      <c r="B2" s="128"/>
      <c r="C2" s="554" t="s">
        <v>1518</v>
      </c>
      <c r="D2" s="554"/>
    </row>
    <row r="3" spans="1:11" ht="15.75" x14ac:dyDescent="0.25">
      <c r="A3" s="128"/>
      <c r="B3" s="130"/>
      <c r="C3" s="554" t="s">
        <v>1631</v>
      </c>
      <c r="D3" s="554"/>
    </row>
    <row r="4" spans="1:11" ht="15.75" x14ac:dyDescent="0.25">
      <c r="A4" s="547" t="s">
        <v>1135</v>
      </c>
      <c r="B4" s="547"/>
      <c r="C4" s="547"/>
      <c r="D4" s="547"/>
    </row>
    <row r="5" spans="1:11" ht="15.75" x14ac:dyDescent="0.25">
      <c r="A5" s="547" t="s">
        <v>1340</v>
      </c>
      <c r="B5" s="547"/>
      <c r="C5" s="547"/>
      <c r="D5" s="547"/>
    </row>
    <row r="6" spans="1:11" ht="15.75" x14ac:dyDescent="0.25">
      <c r="A6" s="547" t="s">
        <v>1314</v>
      </c>
      <c r="B6" s="547"/>
      <c r="C6" s="547"/>
      <c r="D6" s="547"/>
    </row>
    <row r="7" spans="1:11" ht="15.75" x14ac:dyDescent="0.25">
      <c r="A7" s="131"/>
      <c r="B7" s="131"/>
      <c r="C7" s="352"/>
      <c r="D7" s="267" t="s">
        <v>698</v>
      </c>
    </row>
    <row r="8" spans="1:11" ht="33" customHeight="1" x14ac:dyDescent="0.25">
      <c r="A8" s="132" t="s">
        <v>2</v>
      </c>
      <c r="B8" s="133" t="s">
        <v>3</v>
      </c>
      <c r="C8" s="353" t="s">
        <v>1027</v>
      </c>
      <c r="D8" s="10" t="s">
        <v>1291</v>
      </c>
      <c r="H8" s="555" t="s">
        <v>1441</v>
      </c>
      <c r="I8" s="555"/>
      <c r="J8" s="555"/>
      <c r="K8" s="555"/>
    </row>
    <row r="9" spans="1:11" ht="18.75" x14ac:dyDescent="0.25">
      <c r="A9" s="134" t="s">
        <v>5</v>
      </c>
      <c r="B9" s="135" t="s">
        <v>6</v>
      </c>
      <c r="C9" s="317">
        <f>C10+C16+C21+C31+C39+C42+C48+C55+C58+C63+C71</f>
        <v>292579.47399999999</v>
      </c>
      <c r="D9" s="317">
        <f>D10+D16+D21+D31+D39+D42+D48+D55+D58+D63+D71</f>
        <v>302290.83399999997</v>
      </c>
      <c r="E9" s="22">
        <f>C10+C16+C21+C31+C39</f>
        <v>243156.6</v>
      </c>
      <c r="F9" s="22">
        <f>D10+D16+D21+D31+D39</f>
        <v>252734.1</v>
      </c>
    </row>
    <row r="10" spans="1:11" ht="18.75" x14ac:dyDescent="0.25">
      <c r="A10" s="136" t="s">
        <v>7</v>
      </c>
      <c r="B10" s="135" t="s">
        <v>8</v>
      </c>
      <c r="C10" s="317">
        <f t="shared" ref="C10:D10" si="0">C11</f>
        <v>222889</v>
      </c>
      <c r="D10" s="317">
        <f t="shared" si="0"/>
        <v>231597</v>
      </c>
      <c r="E10">
        <f>(C9+C76)*2.5%</f>
        <v>12458.06185</v>
      </c>
      <c r="F10" s="200">
        <f>(D9+D76)*5%</f>
        <v>25401.691699999999</v>
      </c>
      <c r="I10" s="313">
        <f>SUM(I16:I55)</f>
        <v>1160.4260000000004</v>
      </c>
      <c r="J10" s="312"/>
      <c r="K10" s="313">
        <f>SUM(K16:K52)</f>
        <v>1395.7660000000001</v>
      </c>
    </row>
    <row r="11" spans="1:11" ht="18.75" x14ac:dyDescent="0.25">
      <c r="A11" s="137" t="s">
        <v>9</v>
      </c>
      <c r="B11" s="138" t="s">
        <v>10</v>
      </c>
      <c r="C11" s="317">
        <f t="shared" ref="C11:D11" si="1">SUM(C12:C15)</f>
        <v>222889</v>
      </c>
      <c r="D11" s="317">
        <f t="shared" si="1"/>
        <v>231597</v>
      </c>
    </row>
    <row r="12" spans="1:11" ht="64.5" customHeight="1" x14ac:dyDescent="0.25">
      <c r="A12" s="198" t="s">
        <v>11</v>
      </c>
      <c r="B12" s="139" t="s">
        <v>12</v>
      </c>
      <c r="C12" s="326">
        <v>220139</v>
      </c>
      <c r="D12" s="326">
        <v>228667</v>
      </c>
    </row>
    <row r="13" spans="1:11" ht="94.5" x14ac:dyDescent="0.25">
      <c r="A13" s="198" t="s">
        <v>13</v>
      </c>
      <c r="B13" s="140" t="s">
        <v>14</v>
      </c>
      <c r="C13" s="326">
        <v>916</v>
      </c>
      <c r="D13" s="326">
        <v>978</v>
      </c>
    </row>
    <row r="14" spans="1:11" ht="47.25" x14ac:dyDescent="0.25">
      <c r="A14" s="198" t="s">
        <v>15</v>
      </c>
      <c r="B14" s="140" t="s">
        <v>16</v>
      </c>
      <c r="C14" s="326">
        <v>1257</v>
      </c>
      <c r="D14" s="326">
        <v>1343</v>
      </c>
    </row>
    <row r="15" spans="1:11" ht="78.75" x14ac:dyDescent="0.25">
      <c r="A15" s="198" t="s">
        <v>17</v>
      </c>
      <c r="B15" s="140" t="s">
        <v>18</v>
      </c>
      <c r="C15" s="326">
        <v>577</v>
      </c>
      <c r="D15" s="326">
        <v>609</v>
      </c>
    </row>
    <row r="16" spans="1:11" ht="31.5" x14ac:dyDescent="0.25">
      <c r="A16" s="141" t="s">
        <v>19</v>
      </c>
      <c r="B16" s="142" t="s">
        <v>20</v>
      </c>
      <c r="C16" s="412">
        <f t="shared" ref="C16:D16" si="2">C17</f>
        <v>2127.6</v>
      </c>
      <c r="D16" s="412">
        <f t="shared" si="2"/>
        <v>1949.1</v>
      </c>
      <c r="E16" s="414" t="s">
        <v>1609</v>
      </c>
      <c r="F16" s="414" t="s">
        <v>1613</v>
      </c>
      <c r="H16" s="313">
        <v>3288</v>
      </c>
      <c r="I16" s="313">
        <f>H16-C16</f>
        <v>1160.4000000000001</v>
      </c>
      <c r="J16" s="313">
        <v>3345</v>
      </c>
      <c r="K16" s="313">
        <f>J16-D16</f>
        <v>1395.9</v>
      </c>
    </row>
    <row r="17" spans="1:11" ht="31.5" x14ac:dyDescent="0.25">
      <c r="A17" s="180" t="s">
        <v>21</v>
      </c>
      <c r="B17" s="181" t="s">
        <v>22</v>
      </c>
      <c r="C17" s="317">
        <f t="shared" ref="C17:D17" si="3">SUM(C18:C20)</f>
        <v>2127.6</v>
      </c>
      <c r="D17" s="317">
        <f t="shared" si="3"/>
        <v>1949.1</v>
      </c>
      <c r="E17" s="414"/>
      <c r="F17" s="414"/>
      <c r="K17" s="312"/>
    </row>
    <row r="18" spans="1:11" ht="99" customHeight="1" x14ac:dyDescent="0.25">
      <c r="A18" s="143" t="s">
        <v>1545</v>
      </c>
      <c r="B18" s="413" t="s">
        <v>1617</v>
      </c>
      <c r="C18" s="411">
        <f>1382.2-205.4-198.7</f>
        <v>978.09999999999991</v>
      </c>
      <c r="D18" s="411">
        <f>1382.2-205.4-273.9</f>
        <v>902.9</v>
      </c>
      <c r="E18" s="414" t="s">
        <v>1610</v>
      </c>
      <c r="F18" s="414" t="s">
        <v>1614</v>
      </c>
      <c r="K18" s="312"/>
    </row>
    <row r="19" spans="1:11" ht="118.5" customHeight="1" x14ac:dyDescent="0.25">
      <c r="A19" s="236" t="s">
        <v>1546</v>
      </c>
      <c r="B19" s="413" t="s">
        <v>1618</v>
      </c>
      <c r="C19" s="411">
        <f>6.9-1.4</f>
        <v>5.5</v>
      </c>
      <c r="D19" s="411">
        <f>6.9-1.9</f>
        <v>5</v>
      </c>
      <c r="E19" s="414" t="s">
        <v>1611</v>
      </c>
      <c r="F19" s="414" t="s">
        <v>1615</v>
      </c>
      <c r="K19" s="312"/>
    </row>
    <row r="20" spans="1:11" ht="98.45" customHeight="1" x14ac:dyDescent="0.25">
      <c r="A20" s="236" t="s">
        <v>1547</v>
      </c>
      <c r="B20" s="413" t="s">
        <v>1619</v>
      </c>
      <c r="C20" s="411">
        <f>1800.3-665+8.7</f>
        <v>1144</v>
      </c>
      <c r="D20" s="411">
        <f>1800.3-665-94.1</f>
        <v>1041.2</v>
      </c>
      <c r="E20" s="414" t="s">
        <v>1612</v>
      </c>
      <c r="F20" s="414" t="s">
        <v>1616</v>
      </c>
      <c r="K20" s="312"/>
    </row>
    <row r="21" spans="1:11" ht="18.75" x14ac:dyDescent="0.25">
      <c r="A21" s="137" t="s">
        <v>23</v>
      </c>
      <c r="B21" s="138" t="s">
        <v>24</v>
      </c>
      <c r="C21" s="317">
        <f>SUM(C22+C27+C29)</f>
        <v>14911</v>
      </c>
      <c r="D21" s="317">
        <f>SUM(D22+D27+D29)</f>
        <v>15831</v>
      </c>
      <c r="K21" s="312"/>
    </row>
    <row r="22" spans="1:11" ht="31.5" x14ac:dyDescent="0.25">
      <c r="A22" s="134" t="s">
        <v>25</v>
      </c>
      <c r="B22" s="138" t="s">
        <v>26</v>
      </c>
      <c r="C22" s="317">
        <f>C23+C25</f>
        <v>14519</v>
      </c>
      <c r="D22" s="317">
        <f>D23+D25</f>
        <v>15414</v>
      </c>
      <c r="H22" s="313">
        <v>14519</v>
      </c>
      <c r="I22" s="313">
        <f>H22-C22</f>
        <v>0</v>
      </c>
      <c r="J22" s="313">
        <v>15413.9</v>
      </c>
      <c r="K22" s="313">
        <f>J22-D22</f>
        <v>-0.1000000000003638</v>
      </c>
    </row>
    <row r="23" spans="1:11" s="200" customFormat="1" ht="31.5" x14ac:dyDescent="0.25">
      <c r="A23" s="134" t="s">
        <v>1116</v>
      </c>
      <c r="B23" s="206" t="s">
        <v>28</v>
      </c>
      <c r="C23" s="317">
        <f>C24</f>
        <v>7259.5</v>
      </c>
      <c r="D23" s="317">
        <f>D24</f>
        <v>7707</v>
      </c>
      <c r="K23" s="312"/>
    </row>
    <row r="24" spans="1:11" ht="31.5" x14ac:dyDescent="0.25">
      <c r="A24" s="132" t="s">
        <v>27</v>
      </c>
      <c r="B24" s="144" t="s">
        <v>28</v>
      </c>
      <c r="C24" s="326">
        <v>7259.5</v>
      </c>
      <c r="D24" s="326">
        <v>7707</v>
      </c>
      <c r="K24" s="312"/>
    </row>
    <row r="25" spans="1:11" s="200" customFormat="1" ht="47.25" x14ac:dyDescent="0.25">
      <c r="A25" s="134" t="s">
        <v>1115</v>
      </c>
      <c r="B25" s="239" t="s">
        <v>1114</v>
      </c>
      <c r="C25" s="317">
        <f>C26</f>
        <v>7259.5</v>
      </c>
      <c r="D25" s="317">
        <f>D26</f>
        <v>7707</v>
      </c>
      <c r="K25" s="312"/>
    </row>
    <row r="26" spans="1:11" ht="63" x14ac:dyDescent="0.25">
      <c r="A26" s="132" t="s">
        <v>29</v>
      </c>
      <c r="B26" s="144" t="s">
        <v>30</v>
      </c>
      <c r="C26" s="326">
        <f>C24</f>
        <v>7259.5</v>
      </c>
      <c r="D26" s="326">
        <f>D24</f>
        <v>7707</v>
      </c>
      <c r="K26" s="312"/>
    </row>
    <row r="27" spans="1:11" ht="31.5" hidden="1" x14ac:dyDescent="0.25">
      <c r="A27" s="134" t="s">
        <v>31</v>
      </c>
      <c r="B27" s="138" t="s">
        <v>32</v>
      </c>
      <c r="C27" s="317">
        <f t="shared" ref="C27:D27" si="4">SUM(C28:C28)</f>
        <v>0</v>
      </c>
      <c r="D27" s="317">
        <f t="shared" si="4"/>
        <v>0</v>
      </c>
      <c r="K27" s="312"/>
    </row>
    <row r="28" spans="1:11" ht="21.75" hidden="1" customHeight="1" x14ac:dyDescent="0.25">
      <c r="A28" s="198" t="s">
        <v>33</v>
      </c>
      <c r="B28" s="223" t="s">
        <v>32</v>
      </c>
      <c r="C28" s="326">
        <v>0</v>
      </c>
      <c r="D28" s="326">
        <v>0</v>
      </c>
      <c r="E28" s="220"/>
      <c r="K28" s="312"/>
    </row>
    <row r="29" spans="1:11" s="200" customFormat="1" ht="36" customHeight="1" x14ac:dyDescent="0.25">
      <c r="A29" s="134" t="s">
        <v>1127</v>
      </c>
      <c r="B29" s="145" t="s">
        <v>1117</v>
      </c>
      <c r="C29" s="317">
        <f>C30</f>
        <v>392</v>
      </c>
      <c r="D29" s="326">
        <f>D30</f>
        <v>417</v>
      </c>
      <c r="K29" s="312"/>
    </row>
    <row r="30" spans="1:11" ht="31.5" x14ac:dyDescent="0.25">
      <c r="A30" s="132" t="s">
        <v>34</v>
      </c>
      <c r="B30" s="231" t="s">
        <v>35</v>
      </c>
      <c r="C30" s="326">
        <v>392</v>
      </c>
      <c r="D30" s="326">
        <v>417</v>
      </c>
      <c r="K30" s="312"/>
    </row>
    <row r="31" spans="1:11" ht="18.75" x14ac:dyDescent="0.25">
      <c r="A31" s="137" t="s">
        <v>36</v>
      </c>
      <c r="B31" s="138" t="s">
        <v>37</v>
      </c>
      <c r="C31" s="317">
        <f>C32+C34</f>
        <v>1695</v>
      </c>
      <c r="D31" s="317">
        <f t="shared" ref="D31" si="5">D32+D34</f>
        <v>1823</v>
      </c>
      <c r="K31" s="312"/>
    </row>
    <row r="32" spans="1:11" ht="18.75" x14ac:dyDescent="0.25">
      <c r="A32" s="137" t="s">
        <v>38</v>
      </c>
      <c r="B32" s="138" t="s">
        <v>39</v>
      </c>
      <c r="C32" s="317">
        <f t="shared" ref="C32:D32" si="6">C33</f>
        <v>990</v>
      </c>
      <c r="D32" s="317">
        <f t="shared" si="6"/>
        <v>1089</v>
      </c>
      <c r="K32" s="312"/>
    </row>
    <row r="33" spans="1:11" ht="47.25" x14ac:dyDescent="0.25">
      <c r="A33" s="198" t="s">
        <v>40</v>
      </c>
      <c r="B33" s="144" t="s">
        <v>41</v>
      </c>
      <c r="C33" s="326">
        <v>990</v>
      </c>
      <c r="D33" s="326">
        <v>1089</v>
      </c>
      <c r="K33" s="312"/>
    </row>
    <row r="34" spans="1:11" ht="18.75" x14ac:dyDescent="0.25">
      <c r="A34" s="137" t="s">
        <v>42</v>
      </c>
      <c r="B34" s="138" t="s">
        <v>43</v>
      </c>
      <c r="C34" s="317">
        <f>C35+C37</f>
        <v>705</v>
      </c>
      <c r="D34" s="317">
        <f>D35+D37</f>
        <v>734</v>
      </c>
      <c r="J34" s="200">
        <v>734</v>
      </c>
      <c r="K34" s="313">
        <f>J34-D34</f>
        <v>0</v>
      </c>
    </row>
    <row r="35" spans="1:11" s="200" customFormat="1" ht="18.75" x14ac:dyDescent="0.25">
      <c r="A35" s="137" t="s">
        <v>1129</v>
      </c>
      <c r="B35" s="138" t="s">
        <v>1128</v>
      </c>
      <c r="C35" s="317">
        <f>C36</f>
        <v>541</v>
      </c>
      <c r="D35" s="317">
        <f>D36</f>
        <v>563</v>
      </c>
      <c r="K35" s="312"/>
    </row>
    <row r="36" spans="1:11" ht="31.5" x14ac:dyDescent="0.25">
      <c r="A36" s="198" t="s">
        <v>44</v>
      </c>
      <c r="B36" s="144" t="s">
        <v>45</v>
      </c>
      <c r="C36" s="326">
        <v>541</v>
      </c>
      <c r="D36" s="326">
        <v>563</v>
      </c>
      <c r="K36" s="312"/>
    </row>
    <row r="37" spans="1:11" s="200" customFormat="1" ht="18.75" x14ac:dyDescent="0.25">
      <c r="A37" s="137" t="s">
        <v>1131</v>
      </c>
      <c r="B37" s="138" t="s">
        <v>1130</v>
      </c>
      <c r="C37" s="317">
        <f>C38</f>
        <v>164</v>
      </c>
      <c r="D37" s="317">
        <f>D38</f>
        <v>171</v>
      </c>
      <c r="K37" s="312"/>
    </row>
    <row r="38" spans="1:11" ht="31.5" x14ac:dyDescent="0.25">
      <c r="A38" s="198" t="s">
        <v>46</v>
      </c>
      <c r="B38" s="144" t="s">
        <v>47</v>
      </c>
      <c r="C38" s="326">
        <v>164</v>
      </c>
      <c r="D38" s="326">
        <v>171</v>
      </c>
      <c r="K38" s="312"/>
    </row>
    <row r="39" spans="1:11" ht="18.75" x14ac:dyDescent="0.25">
      <c r="A39" s="137" t="s">
        <v>48</v>
      </c>
      <c r="B39" s="138" t="s">
        <v>49</v>
      </c>
      <c r="C39" s="317">
        <f t="shared" ref="C39:D40" si="7">C40</f>
        <v>1534</v>
      </c>
      <c r="D39" s="317">
        <f t="shared" si="7"/>
        <v>1534</v>
      </c>
      <c r="K39" s="312"/>
    </row>
    <row r="40" spans="1:11" ht="31.5" x14ac:dyDescent="0.25">
      <c r="A40" s="137" t="s">
        <v>50</v>
      </c>
      <c r="B40" s="138" t="s">
        <v>51</v>
      </c>
      <c r="C40" s="317">
        <f t="shared" si="7"/>
        <v>1534</v>
      </c>
      <c r="D40" s="317">
        <f t="shared" si="7"/>
        <v>1534</v>
      </c>
      <c r="K40" s="312"/>
    </row>
    <row r="41" spans="1:11" ht="47.25" x14ac:dyDescent="0.25">
      <c r="A41" s="198" t="s">
        <v>52</v>
      </c>
      <c r="B41" s="139" t="s">
        <v>53</v>
      </c>
      <c r="C41" s="326">
        <v>1534</v>
      </c>
      <c r="D41" s="326">
        <v>1534</v>
      </c>
      <c r="K41" s="312"/>
    </row>
    <row r="42" spans="1:11" ht="36" customHeight="1" x14ac:dyDescent="0.25">
      <c r="A42" s="137" t="s">
        <v>54</v>
      </c>
      <c r="B42" s="146" t="s">
        <v>55</v>
      </c>
      <c r="C42" s="317">
        <f t="shared" ref="C42:D42" si="8">C43</f>
        <v>45000</v>
      </c>
      <c r="D42" s="317">
        <f t="shared" si="8"/>
        <v>45000</v>
      </c>
      <c r="E42" s="22"/>
      <c r="F42" s="22"/>
      <c r="H42" s="227">
        <v>45000</v>
      </c>
      <c r="I42" s="227">
        <f>H42-C42</f>
        <v>0</v>
      </c>
      <c r="J42" s="227">
        <v>45000</v>
      </c>
      <c r="K42" s="313">
        <f>J42-D42</f>
        <v>0</v>
      </c>
    </row>
    <row r="43" spans="1:11" ht="78.75" x14ac:dyDescent="0.25">
      <c r="A43" s="137" t="s">
        <v>56</v>
      </c>
      <c r="B43" s="146" t="s">
        <v>57</v>
      </c>
      <c r="C43" s="317">
        <f t="shared" ref="C43:D43" si="9">C44+C46</f>
        <v>45000</v>
      </c>
      <c r="D43" s="317">
        <f t="shared" si="9"/>
        <v>45000</v>
      </c>
      <c r="K43" s="312"/>
    </row>
    <row r="44" spans="1:11" ht="63" x14ac:dyDescent="0.25">
      <c r="A44" s="137" t="s">
        <v>58</v>
      </c>
      <c r="B44" s="138" t="s">
        <v>59</v>
      </c>
      <c r="C44" s="317">
        <f t="shared" ref="C44:D44" si="10">C45</f>
        <v>40000</v>
      </c>
      <c r="D44" s="317">
        <f t="shared" si="10"/>
        <v>40000</v>
      </c>
      <c r="K44" s="312"/>
    </row>
    <row r="45" spans="1:11" ht="71.45" customHeight="1" x14ac:dyDescent="0.25">
      <c r="A45" s="198" t="s">
        <v>60</v>
      </c>
      <c r="B45" s="144" t="s">
        <v>61</v>
      </c>
      <c r="C45" s="326">
        <v>40000</v>
      </c>
      <c r="D45" s="326">
        <v>40000</v>
      </c>
      <c r="K45" s="312"/>
    </row>
    <row r="46" spans="1:11" ht="40.700000000000003" customHeight="1" x14ac:dyDescent="0.25">
      <c r="A46" s="137" t="s">
        <v>62</v>
      </c>
      <c r="B46" s="138" t="s">
        <v>63</v>
      </c>
      <c r="C46" s="317">
        <f t="shared" ref="C46:D46" si="11">C47</f>
        <v>5000</v>
      </c>
      <c r="D46" s="317">
        <f t="shared" si="11"/>
        <v>5000</v>
      </c>
      <c r="K46" s="312"/>
    </row>
    <row r="47" spans="1:11" ht="31.5" x14ac:dyDescent="0.25">
      <c r="A47" s="198" t="s">
        <v>64</v>
      </c>
      <c r="B47" s="144" t="s">
        <v>65</v>
      </c>
      <c r="C47" s="326">
        <v>5000</v>
      </c>
      <c r="D47" s="326">
        <v>5000</v>
      </c>
      <c r="K47" s="312"/>
    </row>
    <row r="48" spans="1:11" ht="26.45" customHeight="1" x14ac:dyDescent="0.25">
      <c r="A48" s="137" t="s">
        <v>66</v>
      </c>
      <c r="B48" s="230" t="s">
        <v>67</v>
      </c>
      <c r="C48" s="317">
        <f t="shared" ref="C48:D48" si="12">SUM(C49)</f>
        <v>3346.6739999999995</v>
      </c>
      <c r="D48" s="317">
        <f t="shared" si="12"/>
        <v>3480.5339999999997</v>
      </c>
      <c r="H48" s="227">
        <v>3346.7</v>
      </c>
      <c r="I48" s="227">
        <f>H48-C48</f>
        <v>2.6000000000294676E-2</v>
      </c>
      <c r="J48" s="227">
        <v>3480.5</v>
      </c>
      <c r="K48" s="313">
        <f>J48-D48</f>
        <v>-3.3999999999650754E-2</v>
      </c>
    </row>
    <row r="49" spans="1:11" ht="18.75" x14ac:dyDescent="0.25">
      <c r="A49" s="137" t="s">
        <v>68</v>
      </c>
      <c r="B49" s="146" t="s">
        <v>69</v>
      </c>
      <c r="C49" s="317">
        <f>C50+C51+C52</f>
        <v>3346.6739999999995</v>
      </c>
      <c r="D49" s="317">
        <f>D50+D51+D52</f>
        <v>3480.5339999999997</v>
      </c>
      <c r="E49" t="s">
        <v>1628</v>
      </c>
      <c r="F49" t="s">
        <v>1627</v>
      </c>
      <c r="K49" s="312"/>
    </row>
    <row r="50" spans="1:11" ht="31.5" x14ac:dyDescent="0.25">
      <c r="A50" s="137" t="s">
        <v>70</v>
      </c>
      <c r="B50" s="146" t="s">
        <v>71</v>
      </c>
      <c r="C50" s="412">
        <f>405-218.088</f>
        <v>186.91200000000001</v>
      </c>
      <c r="D50" s="412">
        <f>405-210.612</f>
        <v>194.38800000000001</v>
      </c>
      <c r="E50" t="s">
        <v>1621</v>
      </c>
      <c r="F50" t="s">
        <v>1622</v>
      </c>
      <c r="K50" s="312"/>
    </row>
    <row r="51" spans="1:11" ht="18.75" x14ac:dyDescent="0.25">
      <c r="A51" s="137" t="s">
        <v>72</v>
      </c>
      <c r="B51" s="146" t="s">
        <v>73</v>
      </c>
      <c r="C51" s="412">
        <f>228.8-56.138</f>
        <v>172.66200000000001</v>
      </c>
      <c r="D51" s="412">
        <f>228.8-49.232</f>
        <v>179.56800000000001</v>
      </c>
      <c r="E51" t="s">
        <v>1623</v>
      </c>
      <c r="F51" t="s">
        <v>1624</v>
      </c>
      <c r="K51" s="312"/>
    </row>
    <row r="52" spans="1:11" s="200" customFormat="1" ht="33.75" customHeight="1" x14ac:dyDescent="0.25">
      <c r="A52" s="137" t="s">
        <v>1620</v>
      </c>
      <c r="B52" s="230" t="s">
        <v>1118</v>
      </c>
      <c r="C52" s="317">
        <f>C53+C54</f>
        <v>2987.0999999999995</v>
      </c>
      <c r="D52" s="317">
        <f>D53+D54</f>
        <v>3106.5779999999995</v>
      </c>
      <c r="K52" s="312"/>
    </row>
    <row r="53" spans="1:11" ht="18.75" x14ac:dyDescent="0.25">
      <c r="A53" s="198" t="s">
        <v>795</v>
      </c>
      <c r="B53" s="139" t="s">
        <v>796</v>
      </c>
      <c r="C53" s="411">
        <f>3588-372.3-423.36</f>
        <v>2792.3399999999997</v>
      </c>
      <c r="D53" s="411">
        <f>3588-238.5-445.47</f>
        <v>2904.0299999999997</v>
      </c>
      <c r="E53" t="s">
        <v>1625</v>
      </c>
      <c r="F53" t="s">
        <v>1626</v>
      </c>
      <c r="K53" s="312"/>
    </row>
    <row r="54" spans="1:11" ht="18.75" x14ac:dyDescent="0.25">
      <c r="A54" s="198" t="s">
        <v>797</v>
      </c>
      <c r="B54" s="139" t="s">
        <v>798</v>
      </c>
      <c r="C54" s="411">
        <f>131+63.76</f>
        <v>194.76</v>
      </c>
      <c r="D54" s="411">
        <f>131+71.548</f>
        <v>202.548</v>
      </c>
      <c r="E54" t="s">
        <v>1629</v>
      </c>
      <c r="F54" t="s">
        <v>1630</v>
      </c>
      <c r="K54" s="312"/>
    </row>
    <row r="55" spans="1:11" ht="31.5" x14ac:dyDescent="0.25">
      <c r="A55" s="137" t="s">
        <v>74</v>
      </c>
      <c r="B55" s="146" t="s">
        <v>75</v>
      </c>
      <c r="C55" s="317">
        <f>C57</f>
        <v>833.9</v>
      </c>
      <c r="D55" s="317">
        <f>D57</f>
        <v>833.9</v>
      </c>
      <c r="K55" s="312"/>
    </row>
    <row r="56" spans="1:11" ht="18.75" x14ac:dyDescent="0.25">
      <c r="A56" s="137" t="s">
        <v>76</v>
      </c>
      <c r="B56" s="146" t="s">
        <v>77</v>
      </c>
      <c r="C56" s="317">
        <f>C57</f>
        <v>833.9</v>
      </c>
      <c r="D56" s="317">
        <f>D57</f>
        <v>833.9</v>
      </c>
      <c r="K56" s="312"/>
    </row>
    <row r="57" spans="1:11" ht="31.5" x14ac:dyDescent="0.25">
      <c r="A57" s="198" t="s">
        <v>78</v>
      </c>
      <c r="B57" s="139" t="s">
        <v>79</v>
      </c>
      <c r="C57" s="326">
        <v>833.9</v>
      </c>
      <c r="D57" s="326">
        <v>833.9</v>
      </c>
      <c r="K57" s="312"/>
    </row>
    <row r="58" spans="1:11" ht="31.5" x14ac:dyDescent="0.25">
      <c r="A58" s="137" t="s">
        <v>80</v>
      </c>
      <c r="B58" s="146" t="s">
        <v>81</v>
      </c>
      <c r="C58" s="317">
        <f t="shared" ref="C58:D58" si="13">SUM(C59+C61)</f>
        <v>236</v>
      </c>
      <c r="D58" s="317">
        <f t="shared" si="13"/>
        <v>236</v>
      </c>
      <c r="K58" s="312"/>
    </row>
    <row r="59" spans="1:11" ht="78.75" x14ac:dyDescent="0.25">
      <c r="A59" s="137" t="s">
        <v>82</v>
      </c>
      <c r="B59" s="146" t="s">
        <v>83</v>
      </c>
      <c r="C59" s="317">
        <f t="shared" ref="C59:D59" si="14">C60</f>
        <v>235</v>
      </c>
      <c r="D59" s="317">
        <f t="shared" si="14"/>
        <v>235</v>
      </c>
      <c r="K59" s="312"/>
    </row>
    <row r="60" spans="1:11" ht="78.75" x14ac:dyDescent="0.25">
      <c r="A60" s="198" t="s">
        <v>84</v>
      </c>
      <c r="B60" s="139" t="s">
        <v>699</v>
      </c>
      <c r="C60" s="326">
        <v>235</v>
      </c>
      <c r="D60" s="326">
        <v>235</v>
      </c>
      <c r="K60" s="312"/>
    </row>
    <row r="61" spans="1:11" ht="31.5" x14ac:dyDescent="0.25">
      <c r="A61" s="137" t="s">
        <v>85</v>
      </c>
      <c r="B61" s="146" t="s">
        <v>86</v>
      </c>
      <c r="C61" s="317">
        <f t="shared" ref="C61:D61" si="15">SUM(C62)</f>
        <v>1</v>
      </c>
      <c r="D61" s="317">
        <f t="shared" si="15"/>
        <v>1</v>
      </c>
      <c r="K61" s="312"/>
    </row>
    <row r="62" spans="1:11" ht="47.25" x14ac:dyDescent="0.25">
      <c r="A62" s="198" t="s">
        <v>87</v>
      </c>
      <c r="B62" s="139" t="s">
        <v>88</v>
      </c>
      <c r="C62" s="326">
        <v>1</v>
      </c>
      <c r="D62" s="326">
        <v>1</v>
      </c>
      <c r="K62" s="312"/>
    </row>
    <row r="63" spans="1:11" ht="18.75" x14ac:dyDescent="0.25">
      <c r="A63" s="137" t="s">
        <v>89</v>
      </c>
      <c r="B63" s="146" t="s">
        <v>90</v>
      </c>
      <c r="C63" s="317">
        <f>C64</f>
        <v>6.3</v>
      </c>
      <c r="D63" s="317">
        <f>D64</f>
        <v>6.3</v>
      </c>
      <c r="K63" s="312"/>
    </row>
    <row r="64" spans="1:11" ht="31.5" x14ac:dyDescent="0.25">
      <c r="A64" s="137" t="s">
        <v>1097</v>
      </c>
      <c r="B64" s="230" t="s">
        <v>91</v>
      </c>
      <c r="C64" s="350">
        <f>C65+C67+C69</f>
        <v>6.3</v>
      </c>
      <c r="D64" s="350">
        <f>D65+D67+D69</f>
        <v>6.3</v>
      </c>
      <c r="K64" s="312"/>
    </row>
    <row r="65" spans="1:11" s="200" customFormat="1" ht="54.75" customHeight="1" x14ac:dyDescent="0.25">
      <c r="A65" s="137" t="s">
        <v>1111</v>
      </c>
      <c r="B65" s="240" t="s">
        <v>1110</v>
      </c>
      <c r="C65" s="350">
        <f>C66</f>
        <v>2.5</v>
      </c>
      <c r="D65" s="350">
        <f>D66</f>
        <v>2.5</v>
      </c>
      <c r="K65" s="312"/>
    </row>
    <row r="66" spans="1:11" s="200" customFormat="1" ht="72" customHeight="1" x14ac:dyDescent="0.25">
      <c r="A66" s="198" t="s">
        <v>1099</v>
      </c>
      <c r="B66" s="241" t="s">
        <v>1105</v>
      </c>
      <c r="C66" s="346">
        <v>2.5</v>
      </c>
      <c r="D66" s="346">
        <v>2.5</v>
      </c>
      <c r="K66" s="312"/>
    </row>
    <row r="67" spans="1:11" s="200" customFormat="1" ht="78.75" hidden="1" x14ac:dyDescent="0.25">
      <c r="A67" s="137" t="s">
        <v>1113</v>
      </c>
      <c r="B67" s="240" t="s">
        <v>1112</v>
      </c>
      <c r="C67" s="350">
        <f>C68</f>
        <v>0</v>
      </c>
      <c r="D67" s="350">
        <f>D68</f>
        <v>0</v>
      </c>
      <c r="K67" s="312"/>
    </row>
    <row r="68" spans="1:11" ht="96" hidden="1" customHeight="1" x14ac:dyDescent="0.25">
      <c r="A68" s="198" t="s">
        <v>1098</v>
      </c>
      <c r="B68" s="241" t="s">
        <v>1106</v>
      </c>
      <c r="C68" s="346">
        <v>0</v>
      </c>
      <c r="D68" s="346">
        <v>0</v>
      </c>
      <c r="K68" s="312"/>
    </row>
    <row r="69" spans="1:11" s="200" customFormat="1" ht="70.5" customHeight="1" x14ac:dyDescent="0.25">
      <c r="A69" s="137" t="s">
        <v>1109</v>
      </c>
      <c r="B69" s="242" t="s">
        <v>1108</v>
      </c>
      <c r="C69" s="350">
        <f>C70</f>
        <v>3.8</v>
      </c>
      <c r="D69" s="350">
        <f>D70</f>
        <v>3.8</v>
      </c>
    </row>
    <row r="70" spans="1:11" ht="87.75" customHeight="1" x14ac:dyDescent="0.25">
      <c r="A70" s="198" t="s">
        <v>1102</v>
      </c>
      <c r="B70" s="243" t="s">
        <v>1107</v>
      </c>
      <c r="C70" s="326">
        <v>3.8</v>
      </c>
      <c r="D70" s="326">
        <v>3.8</v>
      </c>
    </row>
    <row r="71" spans="1:11" ht="18.75" hidden="1" x14ac:dyDescent="0.25">
      <c r="A71" s="3" t="s">
        <v>1100</v>
      </c>
      <c r="B71" s="179" t="s">
        <v>767</v>
      </c>
      <c r="C71" s="317">
        <f>C72</f>
        <v>0</v>
      </c>
      <c r="D71" s="317">
        <f>D72</f>
        <v>0</v>
      </c>
    </row>
    <row r="72" spans="1:11" ht="18.75" hidden="1" x14ac:dyDescent="0.25">
      <c r="A72" s="3" t="s">
        <v>1101</v>
      </c>
      <c r="B72" s="179" t="s">
        <v>768</v>
      </c>
      <c r="C72" s="317">
        <f t="shared" ref="C72:D72" si="16">SUM(C73)</f>
        <v>0</v>
      </c>
      <c r="D72" s="317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26">
        <v>0</v>
      </c>
      <c r="D73" s="326">
        <v>0</v>
      </c>
    </row>
    <row r="74" spans="1:11" ht="18.75" x14ac:dyDescent="0.25">
      <c r="A74" s="137" t="s">
        <v>92</v>
      </c>
      <c r="B74" s="138" t="s">
        <v>93</v>
      </c>
      <c r="C74" s="317">
        <f>SUM(C75+C149)</f>
        <v>442875.89999999997</v>
      </c>
      <c r="D74" s="317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17">
        <f>SUM(C76+C81+C115+C141)</f>
        <v>442875.89999999997</v>
      </c>
      <c r="D75" s="317">
        <f>SUM(D76+D81+D115+D141)</f>
        <v>473972.89999999991</v>
      </c>
      <c r="E75">
        <v>265225.5</v>
      </c>
    </row>
    <row r="76" spans="1:11" ht="18.75" x14ac:dyDescent="0.25">
      <c r="A76" s="137" t="s">
        <v>814</v>
      </c>
      <c r="B76" s="147" t="s">
        <v>96</v>
      </c>
      <c r="C76" s="317">
        <f>C77+C79</f>
        <v>205743</v>
      </c>
      <c r="D76" s="317">
        <f>D77+D79</f>
        <v>205743</v>
      </c>
      <c r="E76" s="22">
        <f>E74-E75</f>
        <v>-28092.600000000035</v>
      </c>
    </row>
    <row r="77" spans="1:11" s="200" customFormat="1" ht="18.75" x14ac:dyDescent="0.25">
      <c r="A77" s="137" t="s">
        <v>1133</v>
      </c>
      <c r="B77" s="147" t="s">
        <v>1132</v>
      </c>
      <c r="C77" s="317">
        <f t="shared" ref="C77:D77" si="17">C78</f>
        <v>154837</v>
      </c>
      <c r="D77" s="317">
        <f t="shared" si="17"/>
        <v>154837</v>
      </c>
    </row>
    <row r="78" spans="1:11" ht="36.75" customHeight="1" x14ac:dyDescent="0.25">
      <c r="A78" s="198" t="s">
        <v>813</v>
      </c>
      <c r="B78" s="144" t="s">
        <v>1141</v>
      </c>
      <c r="C78" s="326">
        <v>154837</v>
      </c>
      <c r="D78" s="326">
        <v>154837</v>
      </c>
    </row>
    <row r="79" spans="1:11" s="200" customFormat="1" ht="31.5" x14ac:dyDescent="0.25">
      <c r="A79" s="134" t="s">
        <v>1456</v>
      </c>
      <c r="B79" s="138" t="s">
        <v>1457</v>
      </c>
      <c r="C79" s="317">
        <f>C80</f>
        <v>50906</v>
      </c>
      <c r="D79" s="317">
        <f>D80</f>
        <v>50906</v>
      </c>
    </row>
    <row r="80" spans="1:11" s="200" customFormat="1" ht="31.5" x14ac:dyDescent="0.25">
      <c r="A80" s="132" t="s">
        <v>1458</v>
      </c>
      <c r="B80" s="144" t="s">
        <v>1459</v>
      </c>
      <c r="C80" s="326">
        <v>50906</v>
      </c>
      <c r="D80" s="326">
        <v>50906</v>
      </c>
    </row>
    <row r="81" spans="1:6" ht="31.5" x14ac:dyDescent="0.25">
      <c r="A81" s="137" t="s">
        <v>812</v>
      </c>
      <c r="B81" s="138" t="s">
        <v>97</v>
      </c>
      <c r="C81" s="317">
        <f>C91+C96+C99+C92+C94+C88+C86+C82+C84</f>
        <v>14026.500000000002</v>
      </c>
      <c r="D81" s="317">
        <f>D91+D96+D99+D92+D94+D88+D86+D82+D84</f>
        <v>13511.800000000001</v>
      </c>
    </row>
    <row r="82" spans="1:6" s="200" customFormat="1" ht="47.25" hidden="1" x14ac:dyDescent="0.25">
      <c r="A82" s="253" t="s">
        <v>1156</v>
      </c>
      <c r="B82" s="254" t="s">
        <v>1158</v>
      </c>
      <c r="C82" s="319">
        <f>C83</f>
        <v>0</v>
      </c>
      <c r="D82" s="319">
        <f>D83</f>
        <v>0</v>
      </c>
    </row>
    <row r="83" spans="1:6" s="200" customFormat="1" ht="47.25" hidden="1" x14ac:dyDescent="0.25">
      <c r="A83" s="198" t="s">
        <v>1155</v>
      </c>
      <c r="B83" s="256" t="s">
        <v>1157</v>
      </c>
      <c r="C83" s="326">
        <v>0</v>
      </c>
      <c r="D83" s="326">
        <v>0</v>
      </c>
    </row>
    <row r="84" spans="1:6" s="200" customFormat="1" ht="53.45" customHeight="1" x14ac:dyDescent="0.25">
      <c r="A84" s="137" t="s">
        <v>1471</v>
      </c>
      <c r="B84" s="322" t="s">
        <v>1473</v>
      </c>
      <c r="C84" s="317">
        <f>C85</f>
        <v>1677.7</v>
      </c>
      <c r="D84" s="317">
        <f>D85</f>
        <v>2245</v>
      </c>
    </row>
    <row r="85" spans="1:6" s="200" customFormat="1" ht="47.25" x14ac:dyDescent="0.25">
      <c r="A85" s="198" t="s">
        <v>1472</v>
      </c>
      <c r="B85" s="379" t="s">
        <v>1474</v>
      </c>
      <c r="C85" s="326">
        <v>1677.7</v>
      </c>
      <c r="D85" s="326">
        <v>2245</v>
      </c>
      <c r="E85" s="227">
        <f>'пр.6.1.ведом.22-23'!G680-167.95</f>
        <v>1581.4999999999998</v>
      </c>
      <c r="F85" s="227">
        <f>'пр.6.1.ведом.22-23'!H680-224.75</f>
        <v>2116.25</v>
      </c>
    </row>
    <row r="86" spans="1:6" s="200" customFormat="1" ht="47.25" hidden="1" x14ac:dyDescent="0.25">
      <c r="A86" s="137" t="s">
        <v>1159</v>
      </c>
      <c r="B86" s="255" t="s">
        <v>1162</v>
      </c>
      <c r="C86" s="317">
        <f>C87</f>
        <v>0</v>
      </c>
      <c r="D86" s="317">
        <f>D87</f>
        <v>0</v>
      </c>
    </row>
    <row r="87" spans="1:6" s="200" customFormat="1" ht="47.25" hidden="1" x14ac:dyDescent="0.25">
      <c r="A87" s="198" t="s">
        <v>1160</v>
      </c>
      <c r="B87" s="256" t="s">
        <v>1161</v>
      </c>
      <c r="C87" s="326">
        <v>0</v>
      </c>
      <c r="D87" s="326">
        <v>0</v>
      </c>
    </row>
    <row r="88" spans="1:6" s="200" customFormat="1" ht="18.75" hidden="1" x14ac:dyDescent="0.25">
      <c r="A88" s="275"/>
      <c r="B88" s="276" t="s">
        <v>1285</v>
      </c>
      <c r="C88" s="317">
        <f>C89</f>
        <v>0</v>
      </c>
      <c r="D88" s="317">
        <f>D89</f>
        <v>0</v>
      </c>
    </row>
    <row r="89" spans="1:6" s="200" customFormat="1" ht="18.75" hidden="1" x14ac:dyDescent="0.25">
      <c r="A89" s="273"/>
      <c r="B89" s="274"/>
      <c r="C89" s="326">
        <v>0</v>
      </c>
      <c r="D89" s="317">
        <v>0</v>
      </c>
      <c r="E89" s="227">
        <f>'пр.6.1.ведом.22-23'!G400-'пр.6.1.ведом.22-23'!R1096</f>
        <v>0</v>
      </c>
    </row>
    <row r="90" spans="1:6" ht="31.5" x14ac:dyDescent="0.25">
      <c r="A90" s="235" t="s">
        <v>1119</v>
      </c>
      <c r="B90" s="138" t="s">
        <v>1134</v>
      </c>
      <c r="C90" s="317">
        <f>C91</f>
        <v>267.8</v>
      </c>
      <c r="D90" s="317">
        <f>D91</f>
        <v>262.8</v>
      </c>
    </row>
    <row r="91" spans="1:6" s="200" customFormat="1" ht="31.5" x14ac:dyDescent="0.25">
      <c r="A91" s="236" t="s">
        <v>792</v>
      </c>
      <c r="B91" s="144" t="s">
        <v>794</v>
      </c>
      <c r="C91" s="326">
        <v>267.8</v>
      </c>
      <c r="D91" s="326">
        <v>262.8</v>
      </c>
      <c r="E91" s="227">
        <f>'пр.6.1.ведом.22-23'!G452-'пр.6.1.ведом.22-23'!L452</f>
        <v>267.8</v>
      </c>
      <c r="F91" s="227">
        <f>'пр.6.1.ведом.22-23'!H452-'пр.6.1.ведом.22-23'!M452</f>
        <v>262.8</v>
      </c>
    </row>
    <row r="92" spans="1:6" ht="40.700000000000003" hidden="1" customHeight="1" x14ac:dyDescent="0.25">
      <c r="A92" s="235" t="s">
        <v>1120</v>
      </c>
      <c r="B92" s="146" t="s">
        <v>826</v>
      </c>
      <c r="C92" s="317">
        <f>C93</f>
        <v>0</v>
      </c>
      <c r="D92" s="317">
        <f>D93</f>
        <v>0</v>
      </c>
    </row>
    <row r="93" spans="1:6" ht="39.75" hidden="1" customHeight="1" x14ac:dyDescent="0.25">
      <c r="A93" s="236" t="s">
        <v>825</v>
      </c>
      <c r="B93" s="139" t="s">
        <v>826</v>
      </c>
      <c r="C93" s="326">
        <v>0</v>
      </c>
      <c r="D93" s="326">
        <v>0</v>
      </c>
    </row>
    <row r="94" spans="1:6" s="200" customFormat="1" ht="19.5" hidden="1" customHeight="1" x14ac:dyDescent="0.25">
      <c r="A94" s="260" t="s">
        <v>1152</v>
      </c>
      <c r="B94" s="259" t="s">
        <v>1153</v>
      </c>
      <c r="C94" s="317">
        <f>C95</f>
        <v>0</v>
      </c>
      <c r="D94" s="317">
        <f>D95</f>
        <v>0</v>
      </c>
    </row>
    <row r="95" spans="1:6" s="200" customFormat="1" ht="87.75" hidden="1" customHeight="1" x14ac:dyDescent="0.25">
      <c r="A95" s="261" t="s">
        <v>1150</v>
      </c>
      <c r="B95" s="262" t="s">
        <v>1190</v>
      </c>
      <c r="C95" s="326">
        <v>0</v>
      </c>
      <c r="D95" s="326">
        <v>0</v>
      </c>
    </row>
    <row r="96" spans="1:6" ht="60.75" customHeight="1" x14ac:dyDescent="0.25">
      <c r="A96" s="310" t="s">
        <v>1446</v>
      </c>
      <c r="B96" s="138" t="s">
        <v>1447</v>
      </c>
      <c r="C96" s="317">
        <f t="shared" ref="C96:D98" si="18">SUM(C97)</f>
        <v>5193.6000000000004</v>
      </c>
      <c r="D96" s="317">
        <f t="shared" si="18"/>
        <v>4931.6000000000004</v>
      </c>
    </row>
    <row r="97" spans="1:7" ht="68.25" customHeight="1" x14ac:dyDescent="0.25">
      <c r="A97" s="311" t="s">
        <v>1448</v>
      </c>
      <c r="B97" s="144" t="s">
        <v>1426</v>
      </c>
      <c r="C97" s="326">
        <v>5193.6000000000004</v>
      </c>
      <c r="D97" s="326">
        <v>4931.6000000000004</v>
      </c>
      <c r="E97" s="227">
        <f>'пр.6.1.ведом.22-23'!G672-519.93</f>
        <v>4895.72</v>
      </c>
      <c r="F97" s="227">
        <f>'пр.6.1.ведом.22-23'!H672-493.7</f>
        <v>4648.7500000000009</v>
      </c>
    </row>
    <row r="98" spans="1:7" ht="18.75" x14ac:dyDescent="0.25">
      <c r="A98" s="235" t="s">
        <v>1125</v>
      </c>
      <c r="B98" s="138" t="s">
        <v>1124</v>
      </c>
      <c r="C98" s="317">
        <f t="shared" si="18"/>
        <v>6887.4000000000005</v>
      </c>
      <c r="D98" s="317">
        <f t="shared" si="18"/>
        <v>6072.4000000000005</v>
      </c>
    </row>
    <row r="99" spans="1:7" ht="18.75" x14ac:dyDescent="0.25">
      <c r="A99" s="198" t="s">
        <v>810</v>
      </c>
      <c r="B99" s="144" t="s">
        <v>98</v>
      </c>
      <c r="C99" s="343">
        <f>C100+C101+C102+C104+C105+C108+C109+C110+C111+C112+C114+C107+C113+C103</f>
        <v>6887.4000000000005</v>
      </c>
      <c r="D99" s="343">
        <f>D100+D101+D102+D104+D105+D108+D109+D110+D111+D112+D114+D107+D113+D103</f>
        <v>6072.4000000000005</v>
      </c>
    </row>
    <row r="100" spans="1:7" ht="81" customHeight="1" x14ac:dyDescent="0.25">
      <c r="A100" s="551"/>
      <c r="B100" s="402" t="s">
        <v>1599</v>
      </c>
      <c r="C100" s="326">
        <v>65.2</v>
      </c>
      <c r="D100" s="326">
        <v>65.2</v>
      </c>
      <c r="E100" s="313" t="e">
        <f>'пр.6.1.ведом.22-23'!#REF!</f>
        <v>#REF!</v>
      </c>
      <c r="F100" s="313" t="e">
        <f>'пр.6.1.ведом.22-23'!#REF!</f>
        <v>#REF!</v>
      </c>
    </row>
    <row r="101" spans="1:7" s="200" customFormat="1" ht="144.75" customHeight="1" x14ac:dyDescent="0.25">
      <c r="A101" s="552"/>
      <c r="B101" s="404" t="s">
        <v>1604</v>
      </c>
      <c r="C101" s="344">
        <v>1666.6</v>
      </c>
      <c r="D101" s="344">
        <v>915</v>
      </c>
      <c r="E101" s="314">
        <f>'пр.6.1.ведом.22-23'!G598</f>
        <v>1666.6</v>
      </c>
      <c r="F101" s="314">
        <f>'пр.6.1.ведом.22-23'!H598</f>
        <v>915</v>
      </c>
    </row>
    <row r="102" spans="1:7" s="200" customFormat="1" ht="143.44999999999999" hidden="1" customHeight="1" x14ac:dyDescent="0.25">
      <c r="A102" s="552"/>
      <c r="B102" s="258" t="s">
        <v>1154</v>
      </c>
      <c r="C102" s="344">
        <v>0</v>
      </c>
      <c r="D102" s="344">
        <v>0</v>
      </c>
      <c r="E102" s="227" t="e">
        <f>'пр.6.1.ведом.22-23'!#REF!</f>
        <v>#REF!</v>
      </c>
      <c r="F102" s="227" t="e">
        <f>'пр.6.1.ведом.22-23'!#REF!</f>
        <v>#REF!</v>
      </c>
    </row>
    <row r="103" spans="1:7" s="200" customFormat="1" ht="153" customHeight="1" x14ac:dyDescent="0.25">
      <c r="A103" s="552"/>
      <c r="B103" s="407" t="s">
        <v>1607</v>
      </c>
      <c r="C103" s="344">
        <v>200</v>
      </c>
      <c r="D103" s="344">
        <f>C103</f>
        <v>200</v>
      </c>
      <c r="E103" s="227"/>
      <c r="F103" s="227"/>
    </row>
    <row r="104" spans="1:7" ht="94.5" x14ac:dyDescent="0.25">
      <c r="A104" s="552"/>
      <c r="B104" s="403" t="s">
        <v>1600</v>
      </c>
      <c r="C104" s="345">
        <v>2161.1</v>
      </c>
      <c r="D104" s="345">
        <v>2161.1</v>
      </c>
      <c r="E104" s="313">
        <f>'пр.6.1.ведом.22-23'!G728</f>
        <v>0</v>
      </c>
      <c r="F104" s="313">
        <f>'пр.6.1.ведом.22-23'!H728</f>
        <v>0</v>
      </c>
    </row>
    <row r="105" spans="1:7" ht="67.7" hidden="1" customHeight="1" x14ac:dyDescent="0.25">
      <c r="A105" s="552"/>
      <c r="B105" s="149" t="s">
        <v>1424</v>
      </c>
      <c r="C105" s="346"/>
      <c r="D105" s="346"/>
      <c r="F105" s="200"/>
    </row>
    <row r="106" spans="1:7" ht="116.45" hidden="1" customHeight="1" x14ac:dyDescent="0.25">
      <c r="A106" s="552"/>
      <c r="B106" s="244" t="s">
        <v>802</v>
      </c>
      <c r="C106" s="347">
        <v>0</v>
      </c>
      <c r="D106" s="347">
        <v>0</v>
      </c>
      <c r="F106" s="200"/>
    </row>
    <row r="107" spans="1:7" ht="132.75" customHeight="1" x14ac:dyDescent="0.25">
      <c r="A107" s="552"/>
      <c r="B107" s="402" t="s">
        <v>1598</v>
      </c>
      <c r="C107" s="326">
        <v>40</v>
      </c>
      <c r="D107" s="326">
        <v>40</v>
      </c>
      <c r="E107" s="314">
        <f>'пр.6.1.ведом.22-23'!G51</f>
        <v>0</v>
      </c>
      <c r="F107" s="314">
        <f>'пр.6.1.ведом.22-23'!H51</f>
        <v>0</v>
      </c>
    </row>
    <row r="108" spans="1:7" ht="80.45" customHeight="1" x14ac:dyDescent="0.25">
      <c r="A108" s="552"/>
      <c r="B108" s="402" t="s">
        <v>1601</v>
      </c>
      <c r="C108" s="326">
        <v>1731.8</v>
      </c>
      <c r="D108" s="326">
        <v>1665.2</v>
      </c>
      <c r="E108" s="314" t="e">
        <f>'пр.6.1.ведом.22-23'!#REF!</f>
        <v>#REF!</v>
      </c>
      <c r="F108" s="314" t="e">
        <f>'пр.6.1.ведом.22-23'!#REF!</f>
        <v>#REF!</v>
      </c>
    </row>
    <row r="109" spans="1:7" ht="99" customHeight="1" x14ac:dyDescent="0.25">
      <c r="A109" s="552"/>
      <c r="B109" s="402" t="s">
        <v>1603</v>
      </c>
      <c r="C109" s="326">
        <v>255</v>
      </c>
      <c r="D109" s="326">
        <v>255</v>
      </c>
      <c r="E109" s="314">
        <f>'пр.6.1.ведом.22-23'!G200</f>
        <v>0</v>
      </c>
      <c r="F109" s="314">
        <f>'пр.6.1.ведом.22-23'!H200</f>
        <v>0</v>
      </c>
    </row>
    <row r="110" spans="1:7" ht="100.5" customHeight="1" x14ac:dyDescent="0.25">
      <c r="A110" s="552"/>
      <c r="B110" s="402" t="s">
        <v>1602</v>
      </c>
      <c r="C110" s="326">
        <v>516.6</v>
      </c>
      <c r="D110" s="326">
        <v>516.6</v>
      </c>
      <c r="E110" s="314" t="e">
        <f>'пр.6.1.ведом.22-23'!#REF!</f>
        <v>#REF!</v>
      </c>
      <c r="F110" s="314" t="e">
        <f>'пр.6.1.ведом.22-23'!#REF!</f>
        <v>#REF!</v>
      </c>
    </row>
    <row r="111" spans="1:7" s="200" customFormat="1" ht="95.25" hidden="1" customHeight="1" x14ac:dyDescent="0.25">
      <c r="A111" s="552"/>
      <c r="B111" s="262" t="s">
        <v>1163</v>
      </c>
      <c r="C111" s="354">
        <v>0</v>
      </c>
      <c r="D111" s="326">
        <v>0</v>
      </c>
    </row>
    <row r="112" spans="1:7" ht="165.2" customHeight="1" x14ac:dyDescent="0.25">
      <c r="A112" s="552"/>
      <c r="B112" s="405" t="s">
        <v>1605</v>
      </c>
      <c r="C112" s="343">
        <v>173.3</v>
      </c>
      <c r="D112" s="343">
        <v>173.3</v>
      </c>
      <c r="E112" s="314" t="e">
        <f>'пр.6.1.ведом.22-23'!#REF!</f>
        <v>#REF!</v>
      </c>
      <c r="F112" s="314" t="e">
        <f>'пр.6.1.ведом.22-23'!#REF!</f>
        <v>#REF!</v>
      </c>
      <c r="G112" s="312"/>
    </row>
    <row r="113" spans="1:7" s="200" customFormat="1" ht="84.75" customHeight="1" x14ac:dyDescent="0.25">
      <c r="A113" s="552"/>
      <c r="B113" s="406" t="s">
        <v>1606</v>
      </c>
      <c r="C113" s="343">
        <v>77.8</v>
      </c>
      <c r="D113" s="343">
        <v>81</v>
      </c>
      <c r="E113" s="314">
        <f>'пр.6.1.ведом.22-23'!G668</f>
        <v>0</v>
      </c>
      <c r="F113" s="314">
        <f>'пр.6.1.ведом.22-23'!H668</f>
        <v>0</v>
      </c>
    </row>
    <row r="114" spans="1:7" s="200" customFormat="1" ht="63" hidden="1" x14ac:dyDescent="0.25">
      <c r="A114" s="553"/>
      <c r="B114" s="298" t="s">
        <v>1426</v>
      </c>
      <c r="C114" s="343">
        <v>0</v>
      </c>
      <c r="D114" s="343">
        <v>0</v>
      </c>
      <c r="E114" s="313"/>
      <c r="F114" s="313"/>
    </row>
    <row r="115" spans="1:7" ht="24.75" customHeight="1" x14ac:dyDescent="0.25">
      <c r="A115" s="137" t="s">
        <v>809</v>
      </c>
      <c r="B115" s="230" t="s">
        <v>100</v>
      </c>
      <c r="C115" s="317">
        <f>C139+C116+C137</f>
        <v>215880.3</v>
      </c>
      <c r="D115" s="317">
        <f>D139+D116+D137</f>
        <v>247491.99999999997</v>
      </c>
      <c r="F115" s="200"/>
    </row>
    <row r="116" spans="1:7" ht="31.5" x14ac:dyDescent="0.25">
      <c r="A116" s="137" t="s">
        <v>808</v>
      </c>
      <c r="B116" s="146" t="s">
        <v>101</v>
      </c>
      <c r="C116" s="317">
        <f t="shared" ref="C116:D116" si="19">C117</f>
        <v>215317.09999999998</v>
      </c>
      <c r="D116" s="317">
        <f t="shared" si="19"/>
        <v>247144.29999999996</v>
      </c>
      <c r="F116" s="200"/>
    </row>
    <row r="117" spans="1:7" ht="31.5" x14ac:dyDescent="0.25">
      <c r="A117" s="198" t="s">
        <v>807</v>
      </c>
      <c r="B117" s="139" t="s">
        <v>102</v>
      </c>
      <c r="C117" s="326">
        <f>SUM(C118+C119+C120+C121+C122+C123+C124+C127+C128+C129+C130+C131+C132+C133)</f>
        <v>215317.09999999998</v>
      </c>
      <c r="D117" s="326">
        <f>SUM(D118+D119+D120+D121+D122+D123+D124+D127+D128+D129+D130+D131+D132+D133)</f>
        <v>247144.29999999996</v>
      </c>
      <c r="F117" s="200"/>
    </row>
    <row r="118" spans="1:7" ht="116.45" customHeight="1" x14ac:dyDescent="0.25">
      <c r="A118" s="551"/>
      <c r="B118" s="403" t="s">
        <v>1584</v>
      </c>
      <c r="C118" s="346">
        <v>115047.8</v>
      </c>
      <c r="D118" s="346">
        <v>134211.70000000001</v>
      </c>
      <c r="E118" s="314">
        <f>'пр.6.1.ведом.22-23'!G624</f>
        <v>115047.8</v>
      </c>
      <c r="F118" s="314">
        <f>'пр.6.1.ведом.22-23'!H624</f>
        <v>134211.70000000001</v>
      </c>
    </row>
    <row r="119" spans="1:7" ht="83.25" customHeight="1" x14ac:dyDescent="0.25">
      <c r="A119" s="552"/>
      <c r="B119" s="402" t="s">
        <v>1593</v>
      </c>
      <c r="C119" s="346">
        <v>70113.2</v>
      </c>
      <c r="D119" s="346">
        <v>74475.8</v>
      </c>
      <c r="E119" s="314">
        <f>'пр.6.1.ведом.22-23'!G567</f>
        <v>70113.2</v>
      </c>
      <c r="F119" s="314">
        <f>'пр.6.1.ведом.22-23'!H567</f>
        <v>74475.8</v>
      </c>
    </row>
    <row r="120" spans="1:7" ht="112.7" customHeight="1" x14ac:dyDescent="0.25">
      <c r="A120" s="552"/>
      <c r="B120" s="402" t="s">
        <v>1586</v>
      </c>
      <c r="C120" s="346">
        <v>4743.8999999999996</v>
      </c>
      <c r="D120" s="346">
        <f t="shared" ref="D120:D129" si="20">C120</f>
        <v>4743.8999999999996</v>
      </c>
      <c r="E120" s="315">
        <f>'пр.6.1.ведом.22-23'!G326+'пр.6.1.ведом.22-23'!G564+'пр.6.1.ведом.22-23'!G630+'пр.6.1.ведом.22-23'!G706</f>
        <v>4743.8999999999996</v>
      </c>
      <c r="F120" s="315">
        <f>'пр.6.1.ведом.22-23'!H326+'пр.6.1.ведом.22-23'!H564+'пр.6.1.ведом.22-23'!H630+'пр.6.1.ведом.22-23'!H706</f>
        <v>4743.8999999999996</v>
      </c>
      <c r="G120" s="316"/>
    </row>
    <row r="121" spans="1:7" ht="115.5" customHeight="1" x14ac:dyDescent="0.25">
      <c r="A121" s="552"/>
      <c r="B121" s="402" t="s">
        <v>1585</v>
      </c>
      <c r="C121" s="346">
        <f>пр.1дох.21!C148</f>
        <v>2185</v>
      </c>
      <c r="D121" s="346">
        <f t="shared" si="20"/>
        <v>2185</v>
      </c>
      <c r="E121" s="314">
        <f>'пр.6.1.ведом.22-23'!G703+'пр.6.1.ведом.22-23'!G627+'пр.6.1.ведом.22-23'!G561+'пр.6.1.ведом.22-23'!G323</f>
        <v>2185</v>
      </c>
      <c r="F121" s="314">
        <f>'пр.6.1.ведом.22-23'!H703+'пр.6.1.ведом.22-23'!H627+'пр.6.1.ведом.22-23'!H561+'пр.6.1.ведом.22-23'!H323</f>
        <v>2185</v>
      </c>
    </row>
    <row r="122" spans="1:7" ht="114.75" customHeight="1" x14ac:dyDescent="0.25">
      <c r="A122" s="552"/>
      <c r="B122" s="402" t="s">
        <v>1587</v>
      </c>
      <c r="C122" s="346">
        <v>1411.1</v>
      </c>
      <c r="D122" s="346">
        <v>1411.1</v>
      </c>
      <c r="E122" s="314">
        <f>'пр.6.1.ведом.22-23'!G79</f>
        <v>1411.1</v>
      </c>
      <c r="F122" s="314">
        <f>'пр.6.1.ведом.22-23'!H79</f>
        <v>1411.1</v>
      </c>
    </row>
    <row r="123" spans="1:7" ht="144" customHeight="1" x14ac:dyDescent="0.25">
      <c r="A123" s="552"/>
      <c r="B123" s="402" t="s">
        <v>1589</v>
      </c>
      <c r="C123" s="346">
        <v>264.2</v>
      </c>
      <c r="D123" s="346">
        <v>274.8</v>
      </c>
      <c r="E123" s="314">
        <f>'пр.6.1.ведом.22-23'!G208</f>
        <v>264.2</v>
      </c>
      <c r="F123" s="314">
        <f>'пр.6.1.ведом.22-23'!H208</f>
        <v>274.8</v>
      </c>
    </row>
    <row r="124" spans="1:7" ht="65.25" customHeight="1" x14ac:dyDescent="0.25">
      <c r="A124" s="552"/>
      <c r="B124" s="402" t="s">
        <v>1590</v>
      </c>
      <c r="C124" s="346">
        <f>SUM(C125:C126)</f>
        <v>3650.3999999999996</v>
      </c>
      <c r="D124" s="346">
        <f>SUM(D125:D126)</f>
        <v>3606.4</v>
      </c>
      <c r="E124" s="313">
        <f>'пр.6.1.ведом.22-23'!G237</f>
        <v>3650.4</v>
      </c>
      <c r="F124" s="313">
        <f>'пр.6.1.ведом.22-23'!H237</f>
        <v>3606.4</v>
      </c>
      <c r="G124" s="313"/>
    </row>
    <row r="125" spans="1:7" ht="81.75" customHeight="1" x14ac:dyDescent="0.25">
      <c r="A125" s="552"/>
      <c r="B125" s="409" t="s">
        <v>1591</v>
      </c>
      <c r="C125" s="346">
        <f>пр.1дох.21!C152</f>
        <v>2829.1</v>
      </c>
      <c r="D125" s="346">
        <v>2759</v>
      </c>
      <c r="F125" s="200"/>
    </row>
    <row r="126" spans="1:7" ht="160.5" customHeight="1" x14ac:dyDescent="0.25">
      <c r="A126" s="552"/>
      <c r="B126" s="409" t="s">
        <v>1592</v>
      </c>
      <c r="C126" s="346">
        <v>821.3</v>
      </c>
      <c r="D126" s="346">
        <v>847.4</v>
      </c>
      <c r="F126" s="200"/>
    </row>
    <row r="127" spans="1:7" ht="128.25" customHeight="1" x14ac:dyDescent="0.25">
      <c r="A127" s="552"/>
      <c r="B127" s="402" t="s">
        <v>1594</v>
      </c>
      <c r="C127" s="346">
        <f>пр.1дох.21!C154</f>
        <v>341.4</v>
      </c>
      <c r="D127" s="346">
        <f t="shared" si="20"/>
        <v>341.4</v>
      </c>
      <c r="E127" s="314">
        <f>'пр.6.1.ведом.22-23'!G384</f>
        <v>341.4</v>
      </c>
      <c r="F127" s="314">
        <f>'пр.6.1.ведом.22-23'!H384</f>
        <v>341.4</v>
      </c>
    </row>
    <row r="128" spans="1:7" ht="116.45" customHeight="1" x14ac:dyDescent="0.25">
      <c r="A128" s="552"/>
      <c r="B128" s="402" t="s">
        <v>1583</v>
      </c>
      <c r="C128" s="346">
        <v>909.3</v>
      </c>
      <c r="D128" s="346">
        <v>909.3</v>
      </c>
      <c r="E128" s="314">
        <f>'пр.6.1.ведом.22-23'!G633</f>
        <v>909.3</v>
      </c>
      <c r="F128" s="314">
        <f>'пр.6.1.ведом.22-23'!H633</f>
        <v>909.3</v>
      </c>
    </row>
    <row r="129" spans="1:6" ht="51.75" customHeight="1" x14ac:dyDescent="0.25">
      <c r="A129" s="552"/>
      <c r="B129" s="402" t="s">
        <v>1595</v>
      </c>
      <c r="C129" s="346">
        <f>пр.1дох.21!C156</f>
        <v>1334.3</v>
      </c>
      <c r="D129" s="346">
        <f t="shared" si="20"/>
        <v>1334.3</v>
      </c>
      <c r="E129" s="314">
        <f>'пр.6.1.ведом.22-23'!G84</f>
        <v>1334.3</v>
      </c>
      <c r="F129" s="314">
        <f>'пр.6.1.ведом.22-23'!H84</f>
        <v>1334.3</v>
      </c>
    </row>
    <row r="130" spans="1:6" ht="197.45" customHeight="1" x14ac:dyDescent="0.25">
      <c r="A130" s="552"/>
      <c r="B130" s="407" t="s">
        <v>1588</v>
      </c>
      <c r="C130" s="346">
        <v>22.3</v>
      </c>
      <c r="D130" s="346">
        <v>22.3</v>
      </c>
      <c r="E130" s="314">
        <f>'пр.6.1.ведом.22-23'!G506</f>
        <v>22.3</v>
      </c>
      <c r="F130" s="314">
        <f>'пр.6.1.ведом.22-23'!H506</f>
        <v>22.3</v>
      </c>
    </row>
    <row r="131" spans="1:6" s="200" customFormat="1" ht="164.25" customHeight="1" x14ac:dyDescent="0.25">
      <c r="A131" s="552"/>
      <c r="B131" s="410" t="s">
        <v>1596</v>
      </c>
      <c r="C131" s="346">
        <v>2469.1</v>
      </c>
      <c r="D131" s="346">
        <v>10803.2</v>
      </c>
      <c r="E131" s="314">
        <f>'пр.6.1.ведом.22-23'!G536</f>
        <v>2469.1</v>
      </c>
      <c r="F131" s="314">
        <f>'пр.6.1.ведом.22-23'!H536</f>
        <v>10803.2</v>
      </c>
    </row>
    <row r="132" spans="1:6" s="200" customFormat="1" ht="63" hidden="1" x14ac:dyDescent="0.25">
      <c r="A132" s="552"/>
      <c r="B132" s="139" t="s">
        <v>1449</v>
      </c>
      <c r="C132" s="346"/>
      <c r="D132" s="346"/>
      <c r="E132" s="314">
        <f>'пр.6.1.ведом.22-23'!G997</f>
        <v>0</v>
      </c>
      <c r="F132" s="314">
        <f>'пр.6.1.ведом.22-23'!H997</f>
        <v>0</v>
      </c>
    </row>
    <row r="133" spans="1:6" s="200" customFormat="1" ht="79.5" customHeight="1" x14ac:dyDescent="0.25">
      <c r="A133" s="552"/>
      <c r="B133" s="408" t="s">
        <v>1597</v>
      </c>
      <c r="C133" s="348">
        <f>SUM(C134:C136)</f>
        <v>12825.1</v>
      </c>
      <c r="D133" s="348">
        <f>SUM(D134:D136)</f>
        <v>12825.1</v>
      </c>
      <c r="E133" s="227"/>
      <c r="F133" s="227"/>
    </row>
    <row r="134" spans="1:6" s="200" customFormat="1" ht="55.5" customHeight="1" x14ac:dyDescent="0.25">
      <c r="A134" s="552"/>
      <c r="B134" s="299" t="s">
        <v>1450</v>
      </c>
      <c r="C134" s="349">
        <v>9911</v>
      </c>
      <c r="D134" s="346">
        <f>C134</f>
        <v>9911</v>
      </c>
      <c r="E134" s="314">
        <f>'пр.6.1.ведом.22-23'!G700+'пр.6.1.ведом.22-23'!G621+'пр.6.1.ведом.22-23'!G558+'пр.6.1.ведом.22-23'!G320</f>
        <v>9911</v>
      </c>
      <c r="F134" s="314">
        <f>'пр.6.1.ведом.22-23'!H700+'пр.6.1.ведом.22-23'!H621+'пр.6.1.ведом.22-23'!H558+'пр.6.1.ведом.22-23'!H320</f>
        <v>9911</v>
      </c>
    </row>
    <row r="135" spans="1:6" s="200" customFormat="1" ht="63" x14ac:dyDescent="0.25">
      <c r="A135" s="552"/>
      <c r="B135" s="299" t="s">
        <v>1451</v>
      </c>
      <c r="C135" s="349">
        <v>2100.6</v>
      </c>
      <c r="D135" s="346">
        <f>C135</f>
        <v>2100.6</v>
      </c>
      <c r="E135" s="314">
        <f>'пр.6.1.ведом.22-23'!G381</f>
        <v>2100.6</v>
      </c>
      <c r="F135" s="314">
        <f>'пр.6.1.ведом.22-23'!H381</f>
        <v>2100.6</v>
      </c>
    </row>
    <row r="136" spans="1:6" s="200" customFormat="1" ht="57.75" customHeight="1" x14ac:dyDescent="0.25">
      <c r="A136" s="553"/>
      <c r="B136" s="299" t="s">
        <v>1452</v>
      </c>
      <c r="C136" s="349">
        <v>813.5</v>
      </c>
      <c r="D136" s="346">
        <f>C136</f>
        <v>813.5</v>
      </c>
      <c r="E136" s="314">
        <f>'пр.6.1.ведом.22-23'!G792</f>
        <v>813.5</v>
      </c>
      <c r="F136" s="314">
        <f>'пр.6.1.ведом.22-23'!H792</f>
        <v>813.5</v>
      </c>
    </row>
    <row r="137" spans="1:6" s="200" customFormat="1" ht="63" hidden="1" x14ac:dyDescent="0.25">
      <c r="A137" s="137" t="s">
        <v>1164</v>
      </c>
      <c r="B137" s="255" t="s">
        <v>1166</v>
      </c>
      <c r="C137" s="350">
        <f>C138</f>
        <v>0</v>
      </c>
      <c r="D137" s="350">
        <f>D138</f>
        <v>0</v>
      </c>
    </row>
    <row r="138" spans="1:6" s="200" customFormat="1" ht="63" hidden="1" x14ac:dyDescent="0.25">
      <c r="A138" s="198" t="s">
        <v>1165</v>
      </c>
      <c r="B138" s="256" t="s">
        <v>1166</v>
      </c>
      <c r="C138" s="346">
        <v>0</v>
      </c>
      <c r="D138" s="346">
        <v>0</v>
      </c>
      <c r="E138" s="227">
        <f>'пр.6.1.ведом.22-23'!G73</f>
        <v>0</v>
      </c>
      <c r="F138" s="227">
        <f>'пр.6.1.ведом.22-23'!H73</f>
        <v>0</v>
      </c>
    </row>
    <row r="139" spans="1:6" ht="31.5" x14ac:dyDescent="0.25">
      <c r="A139" s="137" t="s">
        <v>806</v>
      </c>
      <c r="B139" s="146" t="s">
        <v>103</v>
      </c>
      <c r="C139" s="317">
        <f t="shared" ref="C139:D139" si="21">C140</f>
        <v>563.20000000000005</v>
      </c>
      <c r="D139" s="317">
        <f t="shared" si="21"/>
        <v>347.7</v>
      </c>
      <c r="F139" s="200"/>
    </row>
    <row r="140" spans="1:6" ht="31.5" x14ac:dyDescent="0.25">
      <c r="A140" s="198" t="s">
        <v>805</v>
      </c>
      <c r="B140" s="139" t="s">
        <v>104</v>
      </c>
      <c r="C140" s="326">
        <v>563.20000000000005</v>
      </c>
      <c r="D140" s="326">
        <v>347.7</v>
      </c>
      <c r="E140" s="314">
        <f>'пр.6.1.ведом.22-23'!G74</f>
        <v>563.20000000000005</v>
      </c>
      <c r="F140" s="314">
        <f>'пр.6.1.ведом.22-23'!H74</f>
        <v>347.7</v>
      </c>
    </row>
    <row r="141" spans="1:6" ht="18.75" x14ac:dyDescent="0.25">
      <c r="A141" s="137" t="s">
        <v>804</v>
      </c>
      <c r="B141" s="146" t="s">
        <v>105</v>
      </c>
      <c r="C141" s="317">
        <f>C142</f>
        <v>7226.1</v>
      </c>
      <c r="D141" s="317">
        <f>D142</f>
        <v>7226.1</v>
      </c>
      <c r="F141" s="200"/>
    </row>
    <row r="142" spans="1:6" s="200" customFormat="1" ht="51.75" customHeight="1" x14ac:dyDescent="0.25">
      <c r="A142" s="325" t="s">
        <v>1391</v>
      </c>
      <c r="B142" s="291" t="s">
        <v>1389</v>
      </c>
      <c r="C142" s="317">
        <f>C143</f>
        <v>7226.1</v>
      </c>
      <c r="D142" s="317">
        <f>D143</f>
        <v>7226.1</v>
      </c>
    </row>
    <row r="143" spans="1:6" s="200" customFormat="1" ht="65.25" customHeight="1" x14ac:dyDescent="0.25">
      <c r="A143" s="198" t="s">
        <v>1392</v>
      </c>
      <c r="B143" s="285" t="s">
        <v>1608</v>
      </c>
      <c r="C143" s="326">
        <v>7226.1</v>
      </c>
      <c r="D143" s="326">
        <v>7226.1</v>
      </c>
      <c r="E143" s="313">
        <f>'пр.6.1.ведом.22-23'!G618</f>
        <v>7226.1</v>
      </c>
      <c r="F143" s="227">
        <f>'пр.6.1.ведом.22-23'!H618</f>
        <v>7226.1</v>
      </c>
    </row>
    <row r="144" spans="1:6" ht="18.75" hidden="1" x14ac:dyDescent="0.25">
      <c r="A144" s="137" t="s">
        <v>803</v>
      </c>
      <c r="B144" s="146" t="s">
        <v>106</v>
      </c>
      <c r="C144" s="317">
        <f t="shared" ref="C144:D144" si="22">C145</f>
        <v>0</v>
      </c>
      <c r="D144" s="317">
        <f t="shared" si="22"/>
        <v>0</v>
      </c>
    </row>
    <row r="145" spans="1:4" s="200" customFormat="1" ht="31.5" hidden="1" x14ac:dyDescent="0.25">
      <c r="A145" s="198" t="s">
        <v>815</v>
      </c>
      <c r="B145" s="139" t="s">
        <v>1126</v>
      </c>
      <c r="C145" s="326">
        <f>SUM(C146:C148)</f>
        <v>0</v>
      </c>
      <c r="D145" s="326">
        <f>SUM(D146:D148)</f>
        <v>0</v>
      </c>
    </row>
    <row r="146" spans="1:4" ht="126" hidden="1" x14ac:dyDescent="0.25">
      <c r="A146" s="551"/>
      <c r="B146" s="151" t="s">
        <v>787</v>
      </c>
      <c r="C146" s="349">
        <f>пр.1дох.21!C177</f>
        <v>0</v>
      </c>
      <c r="D146" s="349">
        <f>C146</f>
        <v>0</v>
      </c>
    </row>
    <row r="147" spans="1:4" ht="126" hidden="1" x14ac:dyDescent="0.25">
      <c r="A147" s="552"/>
      <c r="B147" s="151" t="s">
        <v>788</v>
      </c>
      <c r="C147" s="349">
        <f>пр.1дох.21!C178</f>
        <v>0</v>
      </c>
      <c r="D147" s="349">
        <f t="shared" ref="D147:D148" si="23">C147</f>
        <v>0</v>
      </c>
    </row>
    <row r="148" spans="1:4" ht="126" hidden="1" x14ac:dyDescent="0.25">
      <c r="A148" s="553"/>
      <c r="B148" s="151" t="s">
        <v>829</v>
      </c>
      <c r="C148" s="349">
        <f>пр.1дох.21!C179</f>
        <v>0</v>
      </c>
      <c r="D148" s="349">
        <f t="shared" si="23"/>
        <v>0</v>
      </c>
    </row>
    <row r="149" spans="1:4" ht="18.75" hidden="1" x14ac:dyDescent="0.25">
      <c r="A149" s="19" t="s">
        <v>783</v>
      </c>
      <c r="B149" s="186" t="s">
        <v>784</v>
      </c>
      <c r="C149" s="351">
        <f>SUM(C150)</f>
        <v>0</v>
      </c>
      <c r="D149" s="351">
        <f>SUM(D150)</f>
        <v>0</v>
      </c>
    </row>
    <row r="150" spans="1:4" ht="18.75" hidden="1" x14ac:dyDescent="0.25">
      <c r="A150" s="19" t="s">
        <v>785</v>
      </c>
      <c r="B150" s="186" t="s">
        <v>786</v>
      </c>
      <c r="C150" s="351">
        <f>SUM(C151)</f>
        <v>0</v>
      </c>
      <c r="D150" s="351">
        <f>SUM(D151)</f>
        <v>0</v>
      </c>
    </row>
    <row r="151" spans="1:4" ht="18.75" hidden="1" x14ac:dyDescent="0.25">
      <c r="A151" s="556" t="s">
        <v>834</v>
      </c>
      <c r="B151" s="189" t="s">
        <v>786</v>
      </c>
      <c r="C151" s="351">
        <f>SUM(C153:C154)</f>
        <v>0</v>
      </c>
      <c r="D151" s="351">
        <f>SUM(D153:D154)</f>
        <v>0</v>
      </c>
    </row>
    <row r="152" spans="1:4" ht="18.75" hidden="1" x14ac:dyDescent="0.25">
      <c r="A152" s="557"/>
      <c r="B152" s="189" t="s">
        <v>99</v>
      </c>
      <c r="C152" s="351"/>
      <c r="D152" s="351"/>
    </row>
    <row r="153" spans="1:4" ht="94.5" hidden="1" x14ac:dyDescent="0.25">
      <c r="A153" s="557"/>
      <c r="B153" s="187" t="s">
        <v>831</v>
      </c>
      <c r="C153" s="349">
        <v>0</v>
      </c>
      <c r="D153" s="349">
        <v>0</v>
      </c>
    </row>
    <row r="154" spans="1:4" ht="78.75" hidden="1" x14ac:dyDescent="0.25">
      <c r="A154" s="558"/>
      <c r="B154" s="187" t="s">
        <v>832</v>
      </c>
      <c r="C154" s="349">
        <v>0</v>
      </c>
      <c r="D154" s="349">
        <v>0</v>
      </c>
    </row>
    <row r="155" spans="1:4" ht="18.75" x14ac:dyDescent="0.25">
      <c r="A155" s="198"/>
      <c r="B155" s="183" t="s">
        <v>107</v>
      </c>
      <c r="C155" s="317">
        <f>SUM(C9+C74)</f>
        <v>735455.37399999995</v>
      </c>
      <c r="D155" s="317">
        <f>SUM(D9+D74)</f>
        <v>776263.73399999994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498322.47399999999</v>
      </c>
      <c r="D157" s="22">
        <f>D9+D78+D80</f>
        <v>508033.83399999997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3" orientation="portrait" r:id="rId7"/>
  <legacy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93" zoomScaleNormal="100" zoomScaleSheetLayoutView="93" workbookViewId="0">
      <selection activeCell="B31" sqref="B31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  <col min="4" max="4" width="15.85546875" style="449" customWidth="1"/>
    <col min="5" max="5" width="13.28515625" style="449" customWidth="1"/>
  </cols>
  <sheetData>
    <row r="1" spans="1:5" ht="15.75" x14ac:dyDescent="0.25">
      <c r="A1" s="12"/>
      <c r="C1" s="195"/>
      <c r="D1" s="582" t="s">
        <v>1816</v>
      </c>
      <c r="E1" s="582"/>
    </row>
    <row r="2" spans="1:5" ht="15.75" x14ac:dyDescent="0.25">
      <c r="A2" s="12"/>
      <c r="B2" s="12"/>
      <c r="C2" s="515"/>
      <c r="D2" s="583" t="s">
        <v>1809</v>
      </c>
      <c r="E2" s="583"/>
    </row>
    <row r="3" spans="1:5" ht="15.75" x14ac:dyDescent="0.25">
      <c r="A3" s="12"/>
      <c r="B3" s="12"/>
      <c r="C3" s="434"/>
      <c r="D3" s="583" t="s">
        <v>1808</v>
      </c>
      <c r="E3" s="583"/>
    </row>
    <row r="4" spans="1:5" s="449" customFormat="1" ht="15.75" x14ac:dyDescent="0.25">
      <c r="A4" s="12"/>
      <c r="B4" s="12"/>
      <c r="C4" s="434"/>
      <c r="D4" s="583" t="s">
        <v>1807</v>
      </c>
      <c r="E4" s="583"/>
    </row>
    <row r="5" spans="1:5" s="449" customFormat="1" ht="15.75" x14ac:dyDescent="0.25">
      <c r="A5" s="12"/>
      <c r="B5" s="12"/>
      <c r="C5" s="434"/>
      <c r="D5" s="583" t="s">
        <v>1812</v>
      </c>
      <c r="E5" s="583"/>
    </row>
    <row r="6" spans="1:5" s="200" customFormat="1" ht="15.75" x14ac:dyDescent="0.25">
      <c r="A6" s="12"/>
      <c r="B6" s="12"/>
      <c r="C6" s="388"/>
      <c r="D6" s="388"/>
      <c r="E6" s="388"/>
    </row>
    <row r="7" spans="1:5" ht="16.5" x14ac:dyDescent="0.25">
      <c r="A7" s="581" t="s">
        <v>1779</v>
      </c>
      <c r="B7" s="581"/>
      <c r="C7" s="581"/>
      <c r="D7" s="581"/>
      <c r="E7" s="581"/>
    </row>
    <row r="8" spans="1:5" ht="16.5" x14ac:dyDescent="0.25">
      <c r="A8" s="581" t="s">
        <v>1780</v>
      </c>
      <c r="B8" s="581"/>
      <c r="C8" s="581"/>
      <c r="D8" s="581"/>
      <c r="E8" s="581"/>
    </row>
    <row r="9" spans="1:5" ht="15.75" x14ac:dyDescent="0.25">
      <c r="A9" s="82"/>
      <c r="B9" s="82"/>
    </row>
    <row r="10" spans="1:5" ht="15.75" x14ac:dyDescent="0.25">
      <c r="A10" s="12"/>
      <c r="B10" s="12"/>
      <c r="C10" s="83"/>
      <c r="D10" s="83"/>
      <c r="E10" s="83"/>
    </row>
    <row r="11" spans="1:5" ht="40.15" customHeight="1" x14ac:dyDescent="0.25">
      <c r="A11" s="79" t="s">
        <v>660</v>
      </c>
      <c r="B11" s="79" t="s">
        <v>661</v>
      </c>
      <c r="C11" s="366" t="s">
        <v>1771</v>
      </c>
      <c r="D11" s="366" t="s">
        <v>1772</v>
      </c>
      <c r="E11" s="366" t="s">
        <v>1773</v>
      </c>
    </row>
    <row r="12" spans="1:5" ht="33" x14ac:dyDescent="0.25">
      <c r="A12" s="84" t="s">
        <v>662</v>
      </c>
      <c r="B12" s="85" t="s">
        <v>663</v>
      </c>
      <c r="C12" s="384">
        <f>C13-C15</f>
        <v>35838.954000000027</v>
      </c>
      <c r="D12" s="384">
        <f t="shared" ref="D12" si="0">D13-D15</f>
        <v>-22090.325889999978</v>
      </c>
      <c r="E12" s="384"/>
    </row>
    <row r="13" spans="1:5" ht="33" customHeight="1" x14ac:dyDescent="0.25">
      <c r="A13" s="86" t="s">
        <v>664</v>
      </c>
      <c r="B13" s="87" t="s">
        <v>665</v>
      </c>
      <c r="C13" s="385">
        <f>C14</f>
        <v>41672.199999999997</v>
      </c>
      <c r="D13" s="386">
        <f t="shared" ref="D13" si="1">D14</f>
        <v>41672.199999999997</v>
      </c>
      <c r="E13" s="385"/>
    </row>
    <row r="14" spans="1:5" ht="31.5" x14ac:dyDescent="0.25">
      <c r="A14" s="88" t="s">
        <v>666</v>
      </c>
      <c r="B14" s="89" t="s">
        <v>667</v>
      </c>
      <c r="C14" s="386">
        <v>41672.199999999997</v>
      </c>
      <c r="D14" s="386">
        <v>41672.199999999997</v>
      </c>
      <c r="E14" s="386"/>
    </row>
    <row r="15" spans="1:5" ht="32.25" customHeight="1" x14ac:dyDescent="0.25">
      <c r="A15" s="86" t="s">
        <v>668</v>
      </c>
      <c r="B15" s="87" t="s">
        <v>669</v>
      </c>
      <c r="C15" s="384">
        <f>C16</f>
        <v>5833.2459999999701</v>
      </c>
      <c r="D15" s="384">
        <f t="shared" ref="D15" si="2">D16</f>
        <v>63762.525889999975</v>
      </c>
      <c r="E15" s="384"/>
    </row>
    <row r="16" spans="1:5" ht="32.65" customHeight="1" x14ac:dyDescent="0.25">
      <c r="A16" s="88" t="s">
        <v>670</v>
      </c>
      <c r="B16" s="89" t="s">
        <v>671</v>
      </c>
      <c r="C16" s="386">
        <f>C14+C22</f>
        <v>5833.2459999999701</v>
      </c>
      <c r="D16" s="386">
        <f t="shared" ref="D16" si="3">D14+D22</f>
        <v>63762.525889999975</v>
      </c>
      <c r="E16" s="386"/>
    </row>
    <row r="17" spans="1:5" ht="16.5" x14ac:dyDescent="0.25">
      <c r="A17" s="86" t="s">
        <v>657</v>
      </c>
      <c r="B17" s="89"/>
      <c r="C17" s="387">
        <f>C14-C16</f>
        <v>35838.954000000027</v>
      </c>
      <c r="D17" s="387">
        <f t="shared" ref="D17" si="4">D14-D16</f>
        <v>-22090.325889999978</v>
      </c>
      <c r="E17" s="387" t="s">
        <v>1805</v>
      </c>
    </row>
    <row r="19" spans="1:5" ht="15.75" x14ac:dyDescent="0.25">
      <c r="A19" s="584" t="s">
        <v>1817</v>
      </c>
      <c r="B19" s="584"/>
      <c r="C19" s="584"/>
      <c r="D19" s="584"/>
      <c r="E19" s="584"/>
    </row>
    <row r="20" spans="1:5" x14ac:dyDescent="0.25">
      <c r="B20" t="s">
        <v>672</v>
      </c>
      <c r="C20">
        <f>пр.1дох.21!C186</f>
        <v>927515.78099999996</v>
      </c>
      <c r="D20" s="449">
        <f>пр.1дох.21!D186</f>
        <v>656641.70279000001</v>
      </c>
      <c r="E20" s="449">
        <f>пр.1дох.21!E186</f>
        <v>70.795744529763425</v>
      </c>
    </row>
    <row r="21" spans="1:5" x14ac:dyDescent="0.25">
      <c r="B21" t="s">
        <v>673</v>
      </c>
      <c r="C21" s="22">
        <f>'Пр.4 ведом.21'!G1144</f>
        <v>963354.73499999999</v>
      </c>
      <c r="D21" s="22">
        <f>'Пр.4 ведом.21'!H1144</f>
        <v>634551.37690000003</v>
      </c>
      <c r="E21" s="22">
        <f>'Пр.4 ведом.21'!I1144</f>
        <v>65.868921784040438</v>
      </c>
    </row>
    <row r="22" spans="1:5" x14ac:dyDescent="0.25">
      <c r="B22" t="s">
        <v>674</v>
      </c>
      <c r="C22" s="22">
        <f>C20-C21</f>
        <v>-35838.954000000027</v>
      </c>
      <c r="D22" s="22">
        <f t="shared" ref="D22:E22" si="5">D20-D21</f>
        <v>22090.325889999978</v>
      </c>
      <c r="E22" s="22">
        <f t="shared" si="5"/>
        <v>4.926822745722987</v>
      </c>
    </row>
    <row r="23" spans="1:5" x14ac:dyDescent="0.25">
      <c r="C23" t="s">
        <v>1704</v>
      </c>
      <c r="D23" s="449" t="s">
        <v>1704</v>
      </c>
      <c r="E23" s="449" t="s">
        <v>1704</v>
      </c>
    </row>
    <row r="26" spans="1:5" x14ac:dyDescent="0.25">
      <c r="C26" s="22">
        <f>C17-35839</f>
        <v>-4.5999999972991645E-2</v>
      </c>
      <c r="D26" s="22">
        <f t="shared" ref="D26:E26" si="6">D17-35839</f>
        <v>-57929.325889999978</v>
      </c>
      <c r="E26" s="22" t="e">
        <f t="shared" si="6"/>
        <v>#VALUE!</v>
      </c>
    </row>
  </sheetData>
  <mergeCells count="8">
    <mergeCell ref="D1:E1"/>
    <mergeCell ref="A19:E19"/>
    <mergeCell ref="A7:E7"/>
    <mergeCell ref="A8:E8"/>
    <mergeCell ref="D3:E3"/>
    <mergeCell ref="D5:E5"/>
    <mergeCell ref="D4:E4"/>
    <mergeCell ref="D2:E2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03" sqref="C103:D103"/>
    </sheetView>
  </sheetViews>
  <sheetFormatPr defaultColWidth="9.140625" defaultRowHeight="15" x14ac:dyDescent="0.25"/>
  <cols>
    <col min="1" max="1" width="38.7109375" style="449" customWidth="1"/>
    <col min="2" max="2" width="41.42578125" style="449" customWidth="1"/>
    <col min="3" max="3" width="13" style="449" customWidth="1"/>
    <col min="4" max="4" width="14.85546875" style="449" customWidth="1"/>
    <col min="5" max="16384" width="9.140625" style="449"/>
  </cols>
  <sheetData>
    <row r="1" spans="1:4" ht="15.75" x14ac:dyDescent="0.25">
      <c r="A1" s="12"/>
      <c r="D1" s="195" t="s">
        <v>1086</v>
      </c>
    </row>
    <row r="2" spans="1:4" ht="15.75" x14ac:dyDescent="0.25">
      <c r="A2" s="12"/>
      <c r="B2" s="12"/>
      <c r="D2" s="195" t="s">
        <v>0</v>
      </c>
    </row>
    <row r="3" spans="1:4" ht="15.75" x14ac:dyDescent="0.25">
      <c r="A3" s="12"/>
      <c r="B3" s="12"/>
    </row>
    <row r="4" spans="1:4" ht="16.5" x14ac:dyDescent="0.25">
      <c r="A4" s="581" t="s">
        <v>659</v>
      </c>
      <c r="B4" s="581"/>
      <c r="C4" s="581"/>
      <c r="D4" s="581"/>
    </row>
    <row r="5" spans="1:4" ht="16.5" x14ac:dyDescent="0.25">
      <c r="A5" s="581" t="s">
        <v>1337</v>
      </c>
      <c r="B5" s="581"/>
      <c r="C5" s="581"/>
      <c r="D5" s="581"/>
    </row>
    <row r="6" spans="1:4" ht="15.75" x14ac:dyDescent="0.25">
      <c r="A6" s="499"/>
      <c r="B6" s="499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1027</v>
      </c>
      <c r="D8" s="176" t="s">
        <v>1291</v>
      </c>
    </row>
    <row r="9" spans="1:4" ht="44.45" customHeight="1" x14ac:dyDescent="0.25">
      <c r="A9" s="84" t="s">
        <v>662</v>
      </c>
      <c r="B9" s="85" t="s">
        <v>663</v>
      </c>
      <c r="C9" s="228">
        <f>C10-C12</f>
        <v>0</v>
      </c>
      <c r="D9" s="228">
        <f>D10-D12</f>
        <v>0</v>
      </c>
    </row>
    <row r="10" spans="1:4" ht="33.75" customHeight="1" x14ac:dyDescent="0.25">
      <c r="A10" s="86" t="s">
        <v>664</v>
      </c>
      <c r="B10" s="87" t="s">
        <v>665</v>
      </c>
      <c r="C10" s="297">
        <f>C11</f>
        <v>0</v>
      </c>
      <c r="D10" s="228">
        <f>D11</f>
        <v>0</v>
      </c>
    </row>
    <row r="11" spans="1:4" ht="36.75" customHeight="1" x14ac:dyDescent="0.25">
      <c r="A11" s="88" t="s">
        <v>666</v>
      </c>
      <c r="B11" s="89" t="s">
        <v>667</v>
      </c>
      <c r="C11" s="282">
        <f>C19*(-1)</f>
        <v>0</v>
      </c>
      <c r="D11" s="229">
        <f>D19*(-1)</f>
        <v>0</v>
      </c>
    </row>
    <row r="12" spans="1:4" ht="33" customHeight="1" x14ac:dyDescent="0.25">
      <c r="A12" s="86" t="s">
        <v>668</v>
      </c>
      <c r="B12" s="87" t="s">
        <v>669</v>
      </c>
      <c r="C12" s="228">
        <f>C13</f>
        <v>0</v>
      </c>
      <c r="D12" s="228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82">
        <f>C11+C19</f>
        <v>0</v>
      </c>
      <c r="D13" s="229">
        <f t="shared" si="0"/>
        <v>0</v>
      </c>
    </row>
    <row r="14" spans="1:4" ht="16.5" x14ac:dyDescent="0.25">
      <c r="A14" s="86" t="s">
        <v>657</v>
      </c>
      <c r="B14" s="89"/>
      <c r="C14" s="283">
        <f>C11-C13</f>
        <v>0</v>
      </c>
      <c r="D14" s="283">
        <f>D11-D13</f>
        <v>0</v>
      </c>
    </row>
    <row r="17" spans="2:4" x14ac:dyDescent="0.25">
      <c r="B17" s="449" t="s">
        <v>672</v>
      </c>
      <c r="C17" s="296">
        <f>'Пр.1.1. дох.22-23 (2)'!C155</f>
        <v>736280.6</v>
      </c>
      <c r="D17" s="296">
        <f>'Пр.1.1. дох.22-23 (2)'!D155</f>
        <v>777267.39999999991</v>
      </c>
    </row>
    <row r="18" spans="2:4" x14ac:dyDescent="0.25">
      <c r="B18" s="449" t="s">
        <v>673</v>
      </c>
      <c r="C18" s="296">
        <f>'пр.6.1.ведом.22-23 (2)'!G1094</f>
        <v>736280.59999999986</v>
      </c>
      <c r="D18" s="296">
        <f>'пр.6.1.ведом.22-23 (2)'!H1094</f>
        <v>777267.39999999991</v>
      </c>
    </row>
    <row r="19" spans="2:4" x14ac:dyDescent="0.25">
      <c r="B19" s="449" t="s">
        <v>674</v>
      </c>
      <c r="C19" s="296">
        <f t="shared" ref="C19:D19" si="1">C17-C18</f>
        <v>0</v>
      </c>
      <c r="D19" s="296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0"/>
      <c r="D1" s="195" t="s">
        <v>1086</v>
      </c>
    </row>
    <row r="2" spans="1:4" ht="15.75" x14ac:dyDescent="0.25">
      <c r="A2" s="12"/>
      <c r="B2" s="12"/>
      <c r="D2" s="195" t="s">
        <v>0</v>
      </c>
    </row>
    <row r="3" spans="1:4" ht="15.75" x14ac:dyDescent="0.25">
      <c r="A3" s="12"/>
      <c r="B3" s="12"/>
      <c r="C3" s="200"/>
    </row>
    <row r="4" spans="1:4" ht="16.5" x14ac:dyDescent="0.25">
      <c r="A4" s="581" t="s">
        <v>659</v>
      </c>
      <c r="B4" s="581"/>
      <c r="C4" s="581"/>
      <c r="D4" s="581"/>
    </row>
    <row r="5" spans="1:4" ht="16.5" x14ac:dyDescent="0.25">
      <c r="A5" s="581" t="s">
        <v>1337</v>
      </c>
      <c r="B5" s="581"/>
      <c r="C5" s="581"/>
      <c r="D5" s="581"/>
    </row>
    <row r="6" spans="1:4" ht="15.75" x14ac:dyDescent="0.25">
      <c r="A6" s="82"/>
      <c r="B6" s="82"/>
      <c r="C6" s="200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1027</v>
      </c>
      <c r="D8" s="176" t="s">
        <v>1291</v>
      </c>
    </row>
    <row r="9" spans="1:4" ht="44.45" customHeight="1" x14ac:dyDescent="0.25">
      <c r="A9" s="84" t="s">
        <v>662</v>
      </c>
      <c r="B9" s="85" t="s">
        <v>663</v>
      </c>
      <c r="C9" s="228">
        <f>C10-C12</f>
        <v>68859.925999999861</v>
      </c>
      <c r="D9" s="228">
        <f>D10-D12</f>
        <v>69038.366000000038</v>
      </c>
    </row>
    <row r="10" spans="1:4" ht="33.75" customHeight="1" x14ac:dyDescent="0.25">
      <c r="A10" s="86" t="s">
        <v>664</v>
      </c>
      <c r="B10" s="87" t="s">
        <v>665</v>
      </c>
      <c r="C10" s="297">
        <f>C11</f>
        <v>68859.925999999861</v>
      </c>
      <c r="D10" s="228">
        <f>D11</f>
        <v>69038.366000000038</v>
      </c>
    </row>
    <row r="11" spans="1:4" ht="36.75" customHeight="1" x14ac:dyDescent="0.25">
      <c r="A11" s="88" t="s">
        <v>666</v>
      </c>
      <c r="B11" s="89" t="s">
        <v>667</v>
      </c>
      <c r="C11" s="282">
        <f>C19*(-1)</f>
        <v>68859.925999999861</v>
      </c>
      <c r="D11" s="229">
        <f>D19*(-1)</f>
        <v>69038.366000000038</v>
      </c>
    </row>
    <row r="12" spans="1:4" ht="33" customHeight="1" x14ac:dyDescent="0.25">
      <c r="A12" s="86" t="s">
        <v>668</v>
      </c>
      <c r="B12" s="87" t="s">
        <v>669</v>
      </c>
      <c r="C12" s="228">
        <f>C13</f>
        <v>0</v>
      </c>
      <c r="D12" s="228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82">
        <f>C11+C19</f>
        <v>0</v>
      </c>
      <c r="D13" s="229">
        <f t="shared" si="0"/>
        <v>0</v>
      </c>
    </row>
    <row r="14" spans="1:4" ht="16.5" x14ac:dyDescent="0.25">
      <c r="A14" s="86" t="s">
        <v>657</v>
      </c>
      <c r="B14" s="89"/>
      <c r="C14" s="283">
        <f>C11-C13</f>
        <v>68859.925999999861</v>
      </c>
      <c r="D14" s="283">
        <f>D11-D13</f>
        <v>69038.366000000038</v>
      </c>
    </row>
    <row r="15" spans="1:4" x14ac:dyDescent="0.25">
      <c r="A15" s="200"/>
      <c r="B15" s="200"/>
      <c r="C15" s="200"/>
    </row>
    <row r="16" spans="1:4" x14ac:dyDescent="0.25">
      <c r="A16" s="200"/>
      <c r="B16" s="200"/>
      <c r="C16" s="200"/>
    </row>
    <row r="17" spans="1:4" x14ac:dyDescent="0.25">
      <c r="A17" s="200"/>
      <c r="B17" s="200" t="s">
        <v>672</v>
      </c>
      <c r="C17" s="296">
        <f>'Пр.1.1. дох.22-23'!C155</f>
        <v>735455.37399999995</v>
      </c>
      <c r="D17" s="296">
        <f>'Пр.1.1. дох.22-23'!D155</f>
        <v>776263.73399999994</v>
      </c>
    </row>
    <row r="18" spans="1:4" x14ac:dyDescent="0.25">
      <c r="A18" s="200"/>
      <c r="B18" s="200" t="s">
        <v>673</v>
      </c>
      <c r="C18" s="296">
        <f>'пр.6.1.ведом.22-23'!G1094</f>
        <v>804315.29999999981</v>
      </c>
      <c r="D18" s="296">
        <f>'пр.6.1.ведом.22-23'!H1094</f>
        <v>845302.1</v>
      </c>
    </row>
    <row r="19" spans="1:4" x14ac:dyDescent="0.25">
      <c r="A19" s="200"/>
      <c r="B19" s="200" t="s">
        <v>674</v>
      </c>
      <c r="C19" s="296">
        <f t="shared" ref="C19:D19" si="1">C17-C18</f>
        <v>-68859.925999999861</v>
      </c>
      <c r="D19" s="296">
        <f t="shared" si="1"/>
        <v>-69038.366000000038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zoomScale="80" zoomScaleNormal="100" zoomScaleSheetLayoutView="80" workbookViewId="0">
      <selection activeCell="F115" sqref="F115"/>
    </sheetView>
  </sheetViews>
  <sheetFormatPr defaultColWidth="9.140625" defaultRowHeight="15" x14ac:dyDescent="0.25"/>
  <cols>
    <col min="1" max="1" width="25" style="449" customWidth="1"/>
    <col min="2" max="2" width="71.7109375" style="449" customWidth="1"/>
    <col min="3" max="3" width="16" style="22" customWidth="1"/>
    <col min="4" max="4" width="17.28515625" style="22" customWidth="1"/>
    <col min="5" max="5" width="12.5703125" style="449" customWidth="1"/>
    <col min="6" max="6" width="10.85546875" style="449" customWidth="1"/>
    <col min="7" max="7" width="9" style="449" customWidth="1"/>
    <col min="8" max="9" width="10.28515625" style="449" customWidth="1"/>
    <col min="10" max="10" width="11.140625" style="449" customWidth="1"/>
    <col min="11" max="11" width="9" style="449" customWidth="1"/>
    <col min="12" max="16384" width="9.140625" style="449"/>
  </cols>
  <sheetData>
    <row r="1" spans="1:11" ht="15.75" x14ac:dyDescent="0.25">
      <c r="A1" s="128"/>
      <c r="B1" s="128"/>
      <c r="C1" s="554" t="s">
        <v>1519</v>
      </c>
      <c r="D1" s="554"/>
    </row>
    <row r="2" spans="1:11" ht="15.75" x14ac:dyDescent="0.25">
      <c r="A2" s="128"/>
      <c r="B2" s="128"/>
      <c r="C2" s="554" t="s">
        <v>1518</v>
      </c>
      <c r="D2" s="554"/>
    </row>
    <row r="3" spans="1:11" ht="15.75" x14ac:dyDescent="0.25">
      <c r="A3" s="128"/>
      <c r="B3" s="130"/>
      <c r="C3" s="554" t="s">
        <v>1517</v>
      </c>
      <c r="D3" s="554"/>
    </row>
    <row r="4" spans="1:11" ht="15.75" x14ac:dyDescent="0.25">
      <c r="A4" s="547" t="s">
        <v>1135</v>
      </c>
      <c r="B4" s="547"/>
      <c r="C4" s="547"/>
      <c r="D4" s="547"/>
    </row>
    <row r="5" spans="1:11" ht="15.75" x14ac:dyDescent="0.25">
      <c r="A5" s="547" t="s">
        <v>1340</v>
      </c>
      <c r="B5" s="547"/>
      <c r="C5" s="547"/>
      <c r="D5" s="547"/>
    </row>
    <row r="6" spans="1:11" ht="15.75" x14ac:dyDescent="0.25">
      <c r="A6" s="547" t="s">
        <v>1314</v>
      </c>
      <c r="B6" s="547"/>
      <c r="C6" s="547"/>
      <c r="D6" s="547"/>
    </row>
    <row r="7" spans="1:11" ht="15.75" x14ac:dyDescent="0.25">
      <c r="A7" s="131"/>
      <c r="B7" s="131"/>
      <c r="C7" s="352"/>
      <c r="D7" s="494" t="s">
        <v>698</v>
      </c>
    </row>
    <row r="8" spans="1:11" ht="33" customHeight="1" x14ac:dyDescent="0.25">
      <c r="A8" s="132" t="s">
        <v>2</v>
      </c>
      <c r="B8" s="133" t="s">
        <v>3</v>
      </c>
      <c r="C8" s="353" t="s">
        <v>1027</v>
      </c>
      <c r="D8" s="10" t="s">
        <v>1291</v>
      </c>
      <c r="H8" s="555" t="s">
        <v>1441</v>
      </c>
      <c r="I8" s="555"/>
      <c r="J8" s="555"/>
      <c r="K8" s="555"/>
    </row>
    <row r="9" spans="1:11" ht="18.75" x14ac:dyDescent="0.25">
      <c r="A9" s="134" t="s">
        <v>5</v>
      </c>
      <c r="B9" s="135" t="s">
        <v>6</v>
      </c>
      <c r="C9" s="317">
        <f>C10+C16+C21+C31+C39+C42+C48+C55+C58+C63+C71</f>
        <v>293404.7</v>
      </c>
      <c r="D9" s="317">
        <f>D10+D16+D21+D31+D39+D42+D48+D55+D58+D63+D71</f>
        <v>303294.5</v>
      </c>
      <c r="E9" s="22">
        <f>C10+C16+C21+C31+C39</f>
        <v>243348</v>
      </c>
      <c r="F9" s="22">
        <f>D10+D16+D21+D31+D39</f>
        <v>253104</v>
      </c>
    </row>
    <row r="10" spans="1:11" ht="18.75" x14ac:dyDescent="0.25">
      <c r="A10" s="136" t="s">
        <v>7</v>
      </c>
      <c r="B10" s="135" t="s">
        <v>8</v>
      </c>
      <c r="C10" s="317">
        <f t="shared" ref="C10:D10" si="0">C11</f>
        <v>222889</v>
      </c>
      <c r="D10" s="317">
        <f t="shared" si="0"/>
        <v>231597</v>
      </c>
      <c r="E10" s="449">
        <f>(C9+C76)*2.5%</f>
        <v>12478.692500000001</v>
      </c>
      <c r="F10" s="449">
        <f>(D9+D76)*5%</f>
        <v>25451.875</v>
      </c>
      <c r="I10" s="313">
        <f>SUM(I16:I55)</f>
        <v>335.19999999999982</v>
      </c>
      <c r="J10" s="312"/>
      <c r="K10" s="313">
        <f>SUM(K16:K52)</f>
        <v>392.09999999999945</v>
      </c>
    </row>
    <row r="11" spans="1:11" ht="18.75" x14ac:dyDescent="0.25">
      <c r="A11" s="137" t="s">
        <v>9</v>
      </c>
      <c r="B11" s="138" t="s">
        <v>10</v>
      </c>
      <c r="C11" s="317">
        <f t="shared" ref="C11:D11" si="1">SUM(C12:C15)</f>
        <v>222889</v>
      </c>
      <c r="D11" s="317">
        <f t="shared" si="1"/>
        <v>231597</v>
      </c>
    </row>
    <row r="12" spans="1:11" ht="64.5" customHeight="1" x14ac:dyDescent="0.25">
      <c r="A12" s="198" t="s">
        <v>11</v>
      </c>
      <c r="B12" s="139" t="s">
        <v>12</v>
      </c>
      <c r="C12" s="326">
        <v>220139</v>
      </c>
      <c r="D12" s="326">
        <v>228667</v>
      </c>
    </row>
    <row r="13" spans="1:11" ht="110.25" x14ac:dyDescent="0.25">
      <c r="A13" s="198" t="s">
        <v>13</v>
      </c>
      <c r="B13" s="140" t="s">
        <v>14</v>
      </c>
      <c r="C13" s="326">
        <v>916</v>
      </c>
      <c r="D13" s="326">
        <v>978</v>
      </c>
    </row>
    <row r="14" spans="1:11" ht="47.25" x14ac:dyDescent="0.25">
      <c r="A14" s="198" t="s">
        <v>15</v>
      </c>
      <c r="B14" s="140" t="s">
        <v>16</v>
      </c>
      <c r="C14" s="326">
        <v>1257</v>
      </c>
      <c r="D14" s="326">
        <v>1343</v>
      </c>
    </row>
    <row r="15" spans="1:11" ht="78.75" x14ac:dyDescent="0.25">
      <c r="A15" s="198" t="s">
        <v>17</v>
      </c>
      <c r="B15" s="140" t="s">
        <v>18</v>
      </c>
      <c r="C15" s="326">
        <v>577</v>
      </c>
      <c r="D15" s="326">
        <v>609</v>
      </c>
    </row>
    <row r="16" spans="1:11" ht="31.5" x14ac:dyDescent="0.25">
      <c r="A16" s="141" t="s">
        <v>19</v>
      </c>
      <c r="B16" s="142" t="s">
        <v>20</v>
      </c>
      <c r="C16" s="317">
        <f t="shared" ref="C16:D16" si="2">C17</f>
        <v>2319</v>
      </c>
      <c r="D16" s="317">
        <f t="shared" si="2"/>
        <v>2319</v>
      </c>
      <c r="H16" s="313">
        <v>3288</v>
      </c>
      <c r="I16" s="313">
        <f>H16-C16</f>
        <v>969</v>
      </c>
      <c r="J16" s="313">
        <v>3345</v>
      </c>
      <c r="K16" s="313">
        <f>J16-D16</f>
        <v>1026</v>
      </c>
    </row>
    <row r="17" spans="1:11" ht="31.5" x14ac:dyDescent="0.25">
      <c r="A17" s="180" t="s">
        <v>21</v>
      </c>
      <c r="B17" s="181" t="s">
        <v>22</v>
      </c>
      <c r="C17" s="317">
        <f t="shared" ref="C17:D17" si="3">SUM(C18:C20)</f>
        <v>2319</v>
      </c>
      <c r="D17" s="317">
        <f t="shared" si="3"/>
        <v>2319</v>
      </c>
      <c r="K17" s="312"/>
    </row>
    <row r="18" spans="1:11" ht="63" x14ac:dyDescent="0.25">
      <c r="A18" s="143" t="s">
        <v>1736</v>
      </c>
      <c r="B18" s="140" t="s">
        <v>1737</v>
      </c>
      <c r="C18" s="326">
        <f>1382.2-205.4</f>
        <v>1176.8</v>
      </c>
      <c r="D18" s="326">
        <f>1382.2-205.4</f>
        <v>1176.8</v>
      </c>
      <c r="K18" s="312"/>
    </row>
    <row r="19" spans="1:11" ht="78.75" x14ac:dyDescent="0.25">
      <c r="A19" s="498" t="s">
        <v>1738</v>
      </c>
      <c r="B19" s="140" t="s">
        <v>1739</v>
      </c>
      <c r="C19" s="326">
        <v>6.9</v>
      </c>
      <c r="D19" s="326">
        <v>6.9</v>
      </c>
      <c r="K19" s="312"/>
    </row>
    <row r="20" spans="1:11" ht="63" x14ac:dyDescent="0.25">
      <c r="A20" s="498" t="s">
        <v>1740</v>
      </c>
      <c r="B20" s="140" t="s">
        <v>1741</v>
      </c>
      <c r="C20" s="326">
        <f>1800.3-665</f>
        <v>1135.3</v>
      </c>
      <c r="D20" s="326">
        <f>1800.3-665</f>
        <v>1135.3</v>
      </c>
      <c r="K20" s="312"/>
    </row>
    <row r="21" spans="1:11" ht="18.75" x14ac:dyDescent="0.25">
      <c r="A21" s="137" t="s">
        <v>23</v>
      </c>
      <c r="B21" s="138" t="s">
        <v>24</v>
      </c>
      <c r="C21" s="317">
        <f>SUM(C22+C27+C29)</f>
        <v>14911</v>
      </c>
      <c r="D21" s="317">
        <f>SUM(D22+D27+D29)</f>
        <v>15831</v>
      </c>
      <c r="K21" s="312"/>
    </row>
    <row r="22" spans="1:11" ht="31.5" x14ac:dyDescent="0.25">
      <c r="A22" s="134" t="s">
        <v>25</v>
      </c>
      <c r="B22" s="138" t="s">
        <v>26</v>
      </c>
      <c r="C22" s="317">
        <f>C23+C25</f>
        <v>14519</v>
      </c>
      <c r="D22" s="317">
        <f>D23+D25</f>
        <v>15414</v>
      </c>
      <c r="H22" s="313">
        <v>14519</v>
      </c>
      <c r="I22" s="313">
        <f>H22-C22</f>
        <v>0</v>
      </c>
      <c r="J22" s="313">
        <v>15413.9</v>
      </c>
      <c r="K22" s="313">
        <f>J22-D22</f>
        <v>-0.1000000000003638</v>
      </c>
    </row>
    <row r="23" spans="1:11" ht="31.5" x14ac:dyDescent="0.25">
      <c r="A23" s="134" t="s">
        <v>1116</v>
      </c>
      <c r="B23" s="206" t="s">
        <v>28</v>
      </c>
      <c r="C23" s="317">
        <f>C24</f>
        <v>7259.5</v>
      </c>
      <c r="D23" s="317">
        <f>D24</f>
        <v>7707</v>
      </c>
      <c r="K23" s="312"/>
    </row>
    <row r="24" spans="1:11" ht="31.5" x14ac:dyDescent="0.25">
      <c r="A24" s="132" t="s">
        <v>27</v>
      </c>
      <c r="B24" s="144" t="s">
        <v>28</v>
      </c>
      <c r="C24" s="326">
        <v>7259.5</v>
      </c>
      <c r="D24" s="326">
        <v>7707</v>
      </c>
      <c r="K24" s="312"/>
    </row>
    <row r="25" spans="1:11" ht="47.25" x14ac:dyDescent="0.25">
      <c r="A25" s="134" t="s">
        <v>1115</v>
      </c>
      <c r="B25" s="239" t="s">
        <v>1114</v>
      </c>
      <c r="C25" s="317">
        <f>C26</f>
        <v>7259.5</v>
      </c>
      <c r="D25" s="317">
        <f>D26</f>
        <v>7707</v>
      </c>
      <c r="K25" s="312"/>
    </row>
    <row r="26" spans="1:11" ht="63" x14ac:dyDescent="0.25">
      <c r="A26" s="132" t="s">
        <v>29</v>
      </c>
      <c r="B26" s="144" t="s">
        <v>30</v>
      </c>
      <c r="C26" s="326">
        <f>C24</f>
        <v>7259.5</v>
      </c>
      <c r="D26" s="326">
        <f>D24</f>
        <v>7707</v>
      </c>
      <c r="K26" s="312"/>
    </row>
    <row r="27" spans="1:11" ht="31.5" hidden="1" x14ac:dyDescent="0.25">
      <c r="A27" s="134" t="s">
        <v>31</v>
      </c>
      <c r="B27" s="138" t="s">
        <v>32</v>
      </c>
      <c r="C27" s="317">
        <f t="shared" ref="C27:D27" si="4">SUM(C28:C28)</f>
        <v>0</v>
      </c>
      <c r="D27" s="317">
        <f t="shared" si="4"/>
        <v>0</v>
      </c>
      <c r="K27" s="312"/>
    </row>
    <row r="28" spans="1:11" ht="21.75" hidden="1" customHeight="1" x14ac:dyDescent="0.25">
      <c r="A28" s="198" t="s">
        <v>33</v>
      </c>
      <c r="B28" s="223" t="s">
        <v>32</v>
      </c>
      <c r="C28" s="326">
        <v>0</v>
      </c>
      <c r="D28" s="326">
        <v>0</v>
      </c>
      <c r="E28" s="220"/>
      <c r="K28" s="312"/>
    </row>
    <row r="29" spans="1:11" ht="36" customHeight="1" x14ac:dyDescent="0.25">
      <c r="A29" s="134" t="s">
        <v>1127</v>
      </c>
      <c r="B29" s="145" t="s">
        <v>1117</v>
      </c>
      <c r="C29" s="317">
        <f>C30</f>
        <v>392</v>
      </c>
      <c r="D29" s="326">
        <f>D30</f>
        <v>417</v>
      </c>
      <c r="K29" s="312"/>
    </row>
    <row r="30" spans="1:11" ht="31.5" x14ac:dyDescent="0.25">
      <c r="A30" s="132" t="s">
        <v>34</v>
      </c>
      <c r="B30" s="231" t="s">
        <v>35</v>
      </c>
      <c r="C30" s="326">
        <v>392</v>
      </c>
      <c r="D30" s="326">
        <v>417</v>
      </c>
      <c r="K30" s="312"/>
    </row>
    <row r="31" spans="1:11" ht="18.75" x14ac:dyDescent="0.25">
      <c r="A31" s="137" t="s">
        <v>36</v>
      </c>
      <c r="B31" s="138" t="s">
        <v>37</v>
      </c>
      <c r="C31" s="317">
        <f>C32+C34</f>
        <v>1695</v>
      </c>
      <c r="D31" s="317">
        <f t="shared" ref="D31" si="5">D32+D34</f>
        <v>1823</v>
      </c>
      <c r="K31" s="312"/>
    </row>
    <row r="32" spans="1:11" ht="18.75" x14ac:dyDescent="0.25">
      <c r="A32" s="137" t="s">
        <v>38</v>
      </c>
      <c r="B32" s="138" t="s">
        <v>39</v>
      </c>
      <c r="C32" s="317">
        <f t="shared" ref="C32:D32" si="6">C33</f>
        <v>990</v>
      </c>
      <c r="D32" s="317">
        <f t="shared" si="6"/>
        <v>1089</v>
      </c>
      <c r="K32" s="312"/>
    </row>
    <row r="33" spans="1:11" ht="47.25" x14ac:dyDescent="0.25">
      <c r="A33" s="198" t="s">
        <v>40</v>
      </c>
      <c r="B33" s="144" t="s">
        <v>41</v>
      </c>
      <c r="C33" s="326">
        <v>990</v>
      </c>
      <c r="D33" s="326">
        <v>1089</v>
      </c>
      <c r="K33" s="312"/>
    </row>
    <row r="34" spans="1:11" ht="18.75" x14ac:dyDescent="0.25">
      <c r="A34" s="137" t="s">
        <v>42</v>
      </c>
      <c r="B34" s="138" t="s">
        <v>43</v>
      </c>
      <c r="C34" s="317">
        <f>C35+C37</f>
        <v>705</v>
      </c>
      <c r="D34" s="317">
        <f>D35+D37</f>
        <v>734</v>
      </c>
      <c r="J34" s="449">
        <v>734</v>
      </c>
      <c r="K34" s="313">
        <f>J34-D34</f>
        <v>0</v>
      </c>
    </row>
    <row r="35" spans="1:11" ht="18.75" x14ac:dyDescent="0.25">
      <c r="A35" s="137" t="s">
        <v>1129</v>
      </c>
      <c r="B35" s="138" t="s">
        <v>1128</v>
      </c>
      <c r="C35" s="317">
        <f>C36</f>
        <v>541</v>
      </c>
      <c r="D35" s="317">
        <f>D36</f>
        <v>563</v>
      </c>
      <c r="K35" s="312"/>
    </row>
    <row r="36" spans="1:11" ht="31.5" x14ac:dyDescent="0.25">
      <c r="A36" s="198" t="s">
        <v>44</v>
      </c>
      <c r="B36" s="144" t="s">
        <v>45</v>
      </c>
      <c r="C36" s="326">
        <v>541</v>
      </c>
      <c r="D36" s="326">
        <v>563</v>
      </c>
      <c r="K36" s="312"/>
    </row>
    <row r="37" spans="1:11" ht="18.75" x14ac:dyDescent="0.25">
      <c r="A37" s="137" t="s">
        <v>1131</v>
      </c>
      <c r="B37" s="138" t="s">
        <v>1130</v>
      </c>
      <c r="C37" s="317">
        <f>C38</f>
        <v>164</v>
      </c>
      <c r="D37" s="317">
        <f>D38</f>
        <v>171</v>
      </c>
      <c r="K37" s="312"/>
    </row>
    <row r="38" spans="1:11" ht="31.5" x14ac:dyDescent="0.25">
      <c r="A38" s="198" t="s">
        <v>46</v>
      </c>
      <c r="B38" s="144" t="s">
        <v>47</v>
      </c>
      <c r="C38" s="326">
        <v>164</v>
      </c>
      <c r="D38" s="326">
        <v>171</v>
      </c>
      <c r="K38" s="312"/>
    </row>
    <row r="39" spans="1:11" ht="18.75" x14ac:dyDescent="0.25">
      <c r="A39" s="137" t="s">
        <v>48</v>
      </c>
      <c r="B39" s="138" t="s">
        <v>49</v>
      </c>
      <c r="C39" s="317">
        <f t="shared" ref="C39:D40" si="7">C40</f>
        <v>1534</v>
      </c>
      <c r="D39" s="317">
        <f t="shared" si="7"/>
        <v>1534</v>
      </c>
      <c r="K39" s="312"/>
    </row>
    <row r="40" spans="1:11" ht="31.5" x14ac:dyDescent="0.25">
      <c r="A40" s="137" t="s">
        <v>50</v>
      </c>
      <c r="B40" s="138" t="s">
        <v>51</v>
      </c>
      <c r="C40" s="317">
        <f t="shared" si="7"/>
        <v>1534</v>
      </c>
      <c r="D40" s="317">
        <f t="shared" si="7"/>
        <v>1534</v>
      </c>
      <c r="K40" s="312"/>
    </row>
    <row r="41" spans="1:11" ht="47.25" x14ac:dyDescent="0.25">
      <c r="A41" s="198" t="s">
        <v>52</v>
      </c>
      <c r="B41" s="139" t="s">
        <v>53</v>
      </c>
      <c r="C41" s="326">
        <v>1534</v>
      </c>
      <c r="D41" s="326">
        <v>1534</v>
      </c>
      <c r="K41" s="312"/>
    </row>
    <row r="42" spans="1:11" ht="47.25" x14ac:dyDescent="0.25">
      <c r="A42" s="137" t="s">
        <v>54</v>
      </c>
      <c r="B42" s="146" t="s">
        <v>55</v>
      </c>
      <c r="C42" s="317">
        <f t="shared" ref="C42:D42" si="8">C43</f>
        <v>45000</v>
      </c>
      <c r="D42" s="317">
        <f t="shared" si="8"/>
        <v>45000</v>
      </c>
      <c r="E42" s="22"/>
      <c r="F42" s="22"/>
      <c r="H42" s="227">
        <v>45000</v>
      </c>
      <c r="I42" s="227">
        <f>H42-C42</f>
        <v>0</v>
      </c>
      <c r="J42" s="227">
        <v>45000</v>
      </c>
      <c r="K42" s="313">
        <f>J42-D42</f>
        <v>0</v>
      </c>
    </row>
    <row r="43" spans="1:11" ht="78.75" x14ac:dyDescent="0.25">
      <c r="A43" s="137" t="s">
        <v>56</v>
      </c>
      <c r="B43" s="146" t="s">
        <v>57</v>
      </c>
      <c r="C43" s="317">
        <f t="shared" ref="C43:D43" si="9">C44+C46</f>
        <v>45000</v>
      </c>
      <c r="D43" s="317">
        <f t="shared" si="9"/>
        <v>45000</v>
      </c>
      <c r="K43" s="312"/>
    </row>
    <row r="44" spans="1:11" ht="63" x14ac:dyDescent="0.25">
      <c r="A44" s="137" t="s">
        <v>58</v>
      </c>
      <c r="B44" s="138" t="s">
        <v>59</v>
      </c>
      <c r="C44" s="317">
        <f t="shared" ref="C44:D44" si="10">C45</f>
        <v>40000</v>
      </c>
      <c r="D44" s="317">
        <f t="shared" si="10"/>
        <v>40000</v>
      </c>
      <c r="K44" s="312"/>
    </row>
    <row r="45" spans="1:11" ht="78.75" x14ac:dyDescent="0.25">
      <c r="A45" s="198" t="s">
        <v>60</v>
      </c>
      <c r="B45" s="144" t="s">
        <v>61</v>
      </c>
      <c r="C45" s="326">
        <v>40000</v>
      </c>
      <c r="D45" s="326">
        <v>40000</v>
      </c>
      <c r="K45" s="312"/>
    </row>
    <row r="46" spans="1:11" ht="47.25" x14ac:dyDescent="0.25">
      <c r="A46" s="137" t="s">
        <v>62</v>
      </c>
      <c r="B46" s="138" t="s">
        <v>63</v>
      </c>
      <c r="C46" s="317">
        <f t="shared" ref="C46:D46" si="11">C47</f>
        <v>5000</v>
      </c>
      <c r="D46" s="317">
        <f t="shared" si="11"/>
        <v>5000</v>
      </c>
      <c r="K46" s="312"/>
    </row>
    <row r="47" spans="1:11" ht="31.5" x14ac:dyDescent="0.25">
      <c r="A47" s="198" t="s">
        <v>64</v>
      </c>
      <c r="B47" s="144" t="s">
        <v>65</v>
      </c>
      <c r="C47" s="326">
        <v>5000</v>
      </c>
      <c r="D47" s="326">
        <v>5000</v>
      </c>
      <c r="K47" s="312"/>
    </row>
    <row r="48" spans="1:11" ht="26.45" customHeight="1" x14ac:dyDescent="0.25">
      <c r="A48" s="137" t="s">
        <v>66</v>
      </c>
      <c r="B48" s="230" t="s">
        <v>67</v>
      </c>
      <c r="C48" s="317">
        <f t="shared" ref="C48:D48" si="12">SUM(C49)</f>
        <v>3980.5</v>
      </c>
      <c r="D48" s="317">
        <f t="shared" si="12"/>
        <v>4114.3</v>
      </c>
      <c r="H48" s="227">
        <v>3346.7</v>
      </c>
      <c r="I48" s="227">
        <f>H48-C48</f>
        <v>-633.80000000000018</v>
      </c>
      <c r="J48" s="227">
        <v>3480.5</v>
      </c>
      <c r="K48" s="313">
        <f>J48-D48</f>
        <v>-633.80000000000018</v>
      </c>
    </row>
    <row r="49" spans="1:11" ht="18.75" x14ac:dyDescent="0.25">
      <c r="A49" s="137" t="s">
        <v>68</v>
      </c>
      <c r="B49" s="146" t="s">
        <v>69</v>
      </c>
      <c r="C49" s="317">
        <f>C50+C51+C52</f>
        <v>3980.5</v>
      </c>
      <c r="D49" s="317">
        <f>D50+D51+D52</f>
        <v>4114.3</v>
      </c>
      <c r="K49" s="312"/>
    </row>
    <row r="50" spans="1:11" ht="31.5" x14ac:dyDescent="0.25">
      <c r="A50" s="137" t="s">
        <v>70</v>
      </c>
      <c r="B50" s="146" t="s">
        <v>71</v>
      </c>
      <c r="C50" s="317">
        <v>405</v>
      </c>
      <c r="D50" s="317">
        <v>405</v>
      </c>
      <c r="K50" s="312"/>
    </row>
    <row r="51" spans="1:11" ht="18.75" x14ac:dyDescent="0.25">
      <c r="A51" s="137" t="s">
        <v>72</v>
      </c>
      <c r="B51" s="146" t="s">
        <v>73</v>
      </c>
      <c r="C51" s="317">
        <v>228.8</v>
      </c>
      <c r="D51" s="317">
        <v>228.8</v>
      </c>
      <c r="K51" s="312"/>
    </row>
    <row r="52" spans="1:11" ht="31.5" x14ac:dyDescent="0.25">
      <c r="A52" s="137" t="s">
        <v>1742</v>
      </c>
      <c r="B52" s="230" t="s">
        <v>1118</v>
      </c>
      <c r="C52" s="317">
        <f>C53+C54</f>
        <v>3346.7</v>
      </c>
      <c r="D52" s="317">
        <f>D53+D54</f>
        <v>3480.5</v>
      </c>
      <c r="K52" s="312"/>
    </row>
    <row r="53" spans="1:11" ht="18.75" x14ac:dyDescent="0.25">
      <c r="A53" s="198" t="s">
        <v>795</v>
      </c>
      <c r="B53" s="139" t="s">
        <v>796</v>
      </c>
      <c r="C53" s="326">
        <f>3588-372.3</f>
        <v>3215.7</v>
      </c>
      <c r="D53" s="326">
        <f>3588-238.5</f>
        <v>3349.5</v>
      </c>
      <c r="K53" s="312"/>
    </row>
    <row r="54" spans="1:11" ht="18.75" x14ac:dyDescent="0.25">
      <c r="A54" s="198" t="s">
        <v>797</v>
      </c>
      <c r="B54" s="139" t="s">
        <v>798</v>
      </c>
      <c r="C54" s="326">
        <v>131</v>
      </c>
      <c r="D54" s="326">
        <v>131</v>
      </c>
      <c r="K54" s="312"/>
    </row>
    <row r="55" spans="1:11" ht="31.5" x14ac:dyDescent="0.25">
      <c r="A55" s="137" t="s">
        <v>74</v>
      </c>
      <c r="B55" s="146" t="s">
        <v>75</v>
      </c>
      <c r="C55" s="317">
        <f>C57</f>
        <v>833.9</v>
      </c>
      <c r="D55" s="317">
        <f>D57</f>
        <v>833.9</v>
      </c>
      <c r="K55" s="312"/>
    </row>
    <row r="56" spans="1:11" ht="18.75" x14ac:dyDescent="0.25">
      <c r="A56" s="137" t="s">
        <v>76</v>
      </c>
      <c r="B56" s="146" t="s">
        <v>77</v>
      </c>
      <c r="C56" s="317">
        <f>C57</f>
        <v>833.9</v>
      </c>
      <c r="D56" s="317">
        <f>D57</f>
        <v>833.9</v>
      </c>
      <c r="K56" s="312"/>
    </row>
    <row r="57" spans="1:11" ht="31.5" x14ac:dyDescent="0.25">
      <c r="A57" s="198" t="s">
        <v>78</v>
      </c>
      <c r="B57" s="139" t="s">
        <v>79</v>
      </c>
      <c r="C57" s="326">
        <v>833.9</v>
      </c>
      <c r="D57" s="326">
        <v>833.9</v>
      </c>
      <c r="K57" s="312"/>
    </row>
    <row r="58" spans="1:11" ht="31.5" x14ac:dyDescent="0.25">
      <c r="A58" s="137" t="s">
        <v>80</v>
      </c>
      <c r="B58" s="146" t="s">
        <v>81</v>
      </c>
      <c r="C58" s="317">
        <f t="shared" ref="C58:D58" si="13">SUM(C59+C61)</f>
        <v>236</v>
      </c>
      <c r="D58" s="317">
        <f t="shared" si="13"/>
        <v>236</v>
      </c>
      <c r="K58" s="312"/>
    </row>
    <row r="59" spans="1:11" ht="78.75" x14ac:dyDescent="0.25">
      <c r="A59" s="137" t="s">
        <v>82</v>
      </c>
      <c r="B59" s="146" t="s">
        <v>83</v>
      </c>
      <c r="C59" s="317">
        <f t="shared" ref="C59:D59" si="14">C60</f>
        <v>235</v>
      </c>
      <c r="D59" s="317">
        <f t="shared" si="14"/>
        <v>235</v>
      </c>
      <c r="K59" s="312"/>
    </row>
    <row r="60" spans="1:11" ht="94.5" x14ac:dyDescent="0.25">
      <c r="A60" s="198" t="s">
        <v>84</v>
      </c>
      <c r="B60" s="139" t="s">
        <v>699</v>
      </c>
      <c r="C60" s="326">
        <v>235</v>
      </c>
      <c r="D60" s="326">
        <v>235</v>
      </c>
      <c r="K60" s="312"/>
    </row>
    <row r="61" spans="1:11" ht="31.5" x14ac:dyDescent="0.25">
      <c r="A61" s="137" t="s">
        <v>85</v>
      </c>
      <c r="B61" s="146" t="s">
        <v>86</v>
      </c>
      <c r="C61" s="317">
        <f t="shared" ref="C61:D61" si="15">SUM(C62)</f>
        <v>1</v>
      </c>
      <c r="D61" s="317">
        <f t="shared" si="15"/>
        <v>1</v>
      </c>
      <c r="K61" s="312"/>
    </row>
    <row r="62" spans="1:11" ht="47.25" x14ac:dyDescent="0.25">
      <c r="A62" s="198" t="s">
        <v>87</v>
      </c>
      <c r="B62" s="139" t="s">
        <v>88</v>
      </c>
      <c r="C62" s="326">
        <v>1</v>
      </c>
      <c r="D62" s="326">
        <v>1</v>
      </c>
      <c r="K62" s="312"/>
    </row>
    <row r="63" spans="1:11" ht="18.75" x14ac:dyDescent="0.25">
      <c r="A63" s="137" t="s">
        <v>89</v>
      </c>
      <c r="B63" s="146" t="s">
        <v>90</v>
      </c>
      <c r="C63" s="317">
        <f>C64</f>
        <v>6.3</v>
      </c>
      <c r="D63" s="317">
        <f>D64</f>
        <v>6.3</v>
      </c>
      <c r="K63" s="312"/>
    </row>
    <row r="64" spans="1:11" ht="31.5" x14ac:dyDescent="0.25">
      <c r="A64" s="137" t="s">
        <v>1097</v>
      </c>
      <c r="B64" s="230" t="s">
        <v>91</v>
      </c>
      <c r="C64" s="350">
        <f>C65+C67+C69</f>
        <v>6.3</v>
      </c>
      <c r="D64" s="350">
        <f>D65+D67+D69</f>
        <v>6.3</v>
      </c>
      <c r="K64" s="312"/>
    </row>
    <row r="65" spans="1:11" ht="63" x14ac:dyDescent="0.25">
      <c r="A65" s="137" t="s">
        <v>1111</v>
      </c>
      <c r="B65" s="240" t="s">
        <v>1110</v>
      </c>
      <c r="C65" s="350">
        <f>C66</f>
        <v>2.5</v>
      </c>
      <c r="D65" s="350">
        <f>D66</f>
        <v>2.5</v>
      </c>
      <c r="K65" s="312"/>
    </row>
    <row r="66" spans="1:11" ht="78.75" x14ac:dyDescent="0.25">
      <c r="A66" s="198" t="s">
        <v>1099</v>
      </c>
      <c r="B66" s="241" t="s">
        <v>1105</v>
      </c>
      <c r="C66" s="346">
        <v>2.5</v>
      </c>
      <c r="D66" s="346">
        <v>2.5</v>
      </c>
      <c r="K66" s="312"/>
    </row>
    <row r="67" spans="1:11" ht="78.75" hidden="1" x14ac:dyDescent="0.25">
      <c r="A67" s="137" t="s">
        <v>1113</v>
      </c>
      <c r="B67" s="240" t="s">
        <v>1112</v>
      </c>
      <c r="C67" s="350">
        <f>C68</f>
        <v>0</v>
      </c>
      <c r="D67" s="350">
        <f>D68</f>
        <v>0</v>
      </c>
      <c r="K67" s="312"/>
    </row>
    <row r="68" spans="1:11" ht="96" hidden="1" customHeight="1" x14ac:dyDescent="0.25">
      <c r="A68" s="198" t="s">
        <v>1098</v>
      </c>
      <c r="B68" s="241" t="s">
        <v>1106</v>
      </c>
      <c r="C68" s="346">
        <v>0</v>
      </c>
      <c r="D68" s="346">
        <v>0</v>
      </c>
      <c r="K68" s="312"/>
    </row>
    <row r="69" spans="1:11" ht="75.2" customHeight="1" x14ac:dyDescent="0.25">
      <c r="A69" s="137" t="s">
        <v>1109</v>
      </c>
      <c r="B69" s="242" t="s">
        <v>1108</v>
      </c>
      <c r="C69" s="350">
        <f>C70</f>
        <v>3.8</v>
      </c>
      <c r="D69" s="350">
        <f>D70</f>
        <v>3.8</v>
      </c>
    </row>
    <row r="70" spans="1:11" ht="87.75" customHeight="1" x14ac:dyDescent="0.25">
      <c r="A70" s="198" t="s">
        <v>1102</v>
      </c>
      <c r="B70" s="243" t="s">
        <v>1107</v>
      </c>
      <c r="C70" s="326">
        <v>3.8</v>
      </c>
      <c r="D70" s="326">
        <v>3.8</v>
      </c>
    </row>
    <row r="71" spans="1:11" ht="18.75" hidden="1" x14ac:dyDescent="0.25">
      <c r="A71" s="3" t="s">
        <v>1100</v>
      </c>
      <c r="B71" s="179" t="s">
        <v>767</v>
      </c>
      <c r="C71" s="317">
        <f>C72</f>
        <v>0</v>
      </c>
      <c r="D71" s="317">
        <f>D72</f>
        <v>0</v>
      </c>
    </row>
    <row r="72" spans="1:11" ht="18.75" hidden="1" x14ac:dyDescent="0.25">
      <c r="A72" s="3" t="s">
        <v>1101</v>
      </c>
      <c r="B72" s="179" t="s">
        <v>768</v>
      </c>
      <c r="C72" s="317">
        <f t="shared" ref="C72:D72" si="16">SUM(C73)</f>
        <v>0</v>
      </c>
      <c r="D72" s="317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26">
        <v>0</v>
      </c>
      <c r="D73" s="326">
        <v>0</v>
      </c>
    </row>
    <row r="74" spans="1:11" ht="18.75" x14ac:dyDescent="0.25">
      <c r="A74" s="137" t="s">
        <v>92</v>
      </c>
      <c r="B74" s="138" t="s">
        <v>93</v>
      </c>
      <c r="C74" s="317">
        <f>SUM(C75+C149)</f>
        <v>442875.89999999997</v>
      </c>
      <c r="D74" s="317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17">
        <f>SUM(C76+C81+C115+C141)</f>
        <v>442875.89999999997</v>
      </c>
      <c r="D75" s="317">
        <f>SUM(D76+D81+D115+D141)</f>
        <v>473972.89999999991</v>
      </c>
      <c r="E75" s="449">
        <v>265225.5</v>
      </c>
    </row>
    <row r="76" spans="1:11" ht="18.75" x14ac:dyDescent="0.25">
      <c r="A76" s="137" t="s">
        <v>814</v>
      </c>
      <c r="B76" s="147" t="s">
        <v>96</v>
      </c>
      <c r="C76" s="317">
        <f>C77+C79</f>
        <v>205743</v>
      </c>
      <c r="D76" s="317">
        <f>D77+D79</f>
        <v>205743</v>
      </c>
      <c r="E76" s="22">
        <f>E74-E75</f>
        <v>-28092.600000000035</v>
      </c>
    </row>
    <row r="77" spans="1:11" ht="31.5" x14ac:dyDescent="0.25">
      <c r="A77" s="137" t="s">
        <v>1133</v>
      </c>
      <c r="B77" s="147" t="s">
        <v>1132</v>
      </c>
      <c r="C77" s="317">
        <f t="shared" ref="C77:D77" si="17">C78</f>
        <v>154837</v>
      </c>
      <c r="D77" s="317">
        <f t="shared" si="17"/>
        <v>154837</v>
      </c>
    </row>
    <row r="78" spans="1:11" ht="36.75" customHeight="1" x14ac:dyDescent="0.25">
      <c r="A78" s="198" t="s">
        <v>813</v>
      </c>
      <c r="B78" s="144" t="s">
        <v>1141</v>
      </c>
      <c r="C78" s="326">
        <v>154837</v>
      </c>
      <c r="D78" s="326">
        <v>154837</v>
      </c>
    </row>
    <row r="79" spans="1:11" ht="31.5" x14ac:dyDescent="0.25">
      <c r="A79" s="134" t="s">
        <v>1456</v>
      </c>
      <c r="B79" s="138" t="s">
        <v>1457</v>
      </c>
      <c r="C79" s="317">
        <f>C80</f>
        <v>50906</v>
      </c>
      <c r="D79" s="317">
        <f>D80</f>
        <v>50906</v>
      </c>
    </row>
    <row r="80" spans="1:11" ht="31.5" x14ac:dyDescent="0.25">
      <c r="A80" s="132" t="s">
        <v>1458</v>
      </c>
      <c r="B80" s="144" t="s">
        <v>1459</v>
      </c>
      <c r="C80" s="326">
        <v>50906</v>
      </c>
      <c r="D80" s="326">
        <v>50906</v>
      </c>
    </row>
    <row r="81" spans="1:6" ht="31.5" x14ac:dyDescent="0.25">
      <c r="A81" s="137" t="s">
        <v>812</v>
      </c>
      <c r="B81" s="138" t="s">
        <v>97</v>
      </c>
      <c r="C81" s="317">
        <f>C91+C96+C99+C92+C94+C88+C86+C82+C84</f>
        <v>14026.500000000002</v>
      </c>
      <c r="D81" s="317">
        <f>D91+D96+D99+D92+D94+D88+D86+D82+D84</f>
        <v>13511.800000000001</v>
      </c>
    </row>
    <row r="82" spans="1:6" ht="47.25" hidden="1" x14ac:dyDescent="0.25">
      <c r="A82" s="496" t="s">
        <v>1156</v>
      </c>
      <c r="B82" s="254" t="s">
        <v>1158</v>
      </c>
      <c r="C82" s="319">
        <f>C83</f>
        <v>0</v>
      </c>
      <c r="D82" s="319">
        <f>D83</f>
        <v>0</v>
      </c>
    </row>
    <row r="83" spans="1:6" ht="47.25" hidden="1" x14ac:dyDescent="0.25">
      <c r="A83" s="198" t="s">
        <v>1155</v>
      </c>
      <c r="B83" s="256" t="s">
        <v>1157</v>
      </c>
      <c r="C83" s="326">
        <v>0</v>
      </c>
      <c r="D83" s="326">
        <v>0</v>
      </c>
    </row>
    <row r="84" spans="1:6" ht="53.45" customHeight="1" x14ac:dyDescent="0.25">
      <c r="A84" s="137" t="s">
        <v>1471</v>
      </c>
      <c r="B84" s="322" t="s">
        <v>1473</v>
      </c>
      <c r="C84" s="317">
        <f>C85</f>
        <v>1677.7</v>
      </c>
      <c r="D84" s="317">
        <f>D85</f>
        <v>2245</v>
      </c>
    </row>
    <row r="85" spans="1:6" ht="47.25" x14ac:dyDescent="0.25">
      <c r="A85" s="198" t="s">
        <v>1472</v>
      </c>
      <c r="B85" s="379" t="s">
        <v>1474</v>
      </c>
      <c r="C85" s="326">
        <v>1677.7</v>
      </c>
      <c r="D85" s="326">
        <v>2245</v>
      </c>
      <c r="E85" s="227">
        <f>'пр.6.1.ведом.22-23 (2)'!G680-167.95</f>
        <v>1581.4999999999998</v>
      </c>
      <c r="F85" s="227">
        <f>'пр.6.1.ведом.22-23 (2)'!H680-224.75</f>
        <v>2116.25</v>
      </c>
    </row>
    <row r="86" spans="1:6" ht="47.25" hidden="1" x14ac:dyDescent="0.25">
      <c r="A86" s="137" t="s">
        <v>1159</v>
      </c>
      <c r="B86" s="255" t="s">
        <v>1162</v>
      </c>
      <c r="C86" s="317">
        <f>C87</f>
        <v>0</v>
      </c>
      <c r="D86" s="317">
        <f>D87</f>
        <v>0</v>
      </c>
    </row>
    <row r="87" spans="1:6" ht="47.25" hidden="1" x14ac:dyDescent="0.25">
      <c r="A87" s="198" t="s">
        <v>1160</v>
      </c>
      <c r="B87" s="256" t="s">
        <v>1161</v>
      </c>
      <c r="C87" s="326">
        <v>0</v>
      </c>
      <c r="D87" s="326">
        <v>0</v>
      </c>
    </row>
    <row r="88" spans="1:6" ht="18.75" hidden="1" x14ac:dyDescent="0.25">
      <c r="A88" s="275"/>
      <c r="B88" s="276" t="s">
        <v>1285</v>
      </c>
      <c r="C88" s="317">
        <f>C89</f>
        <v>0</v>
      </c>
      <c r="D88" s="317">
        <f>D89</f>
        <v>0</v>
      </c>
    </row>
    <row r="89" spans="1:6" ht="18.75" hidden="1" x14ac:dyDescent="0.25">
      <c r="A89" s="273"/>
      <c r="B89" s="274"/>
      <c r="C89" s="326">
        <v>0</v>
      </c>
      <c r="D89" s="317">
        <v>0</v>
      </c>
      <c r="E89" s="227">
        <f>'пр.6.1.ведом.22-23 (2)'!G400-'пр.6.1.ведом.22-23 (2)'!R1096</f>
        <v>0</v>
      </c>
    </row>
    <row r="90" spans="1:6" ht="31.5" x14ac:dyDescent="0.25">
      <c r="A90" s="496" t="s">
        <v>1119</v>
      </c>
      <c r="B90" s="138" t="s">
        <v>1134</v>
      </c>
      <c r="C90" s="317">
        <f>C91</f>
        <v>267.8</v>
      </c>
      <c r="D90" s="317">
        <f>D91</f>
        <v>262.8</v>
      </c>
    </row>
    <row r="91" spans="1:6" ht="31.5" x14ac:dyDescent="0.25">
      <c r="A91" s="498" t="s">
        <v>792</v>
      </c>
      <c r="B91" s="144" t="s">
        <v>794</v>
      </c>
      <c r="C91" s="326">
        <v>267.8</v>
      </c>
      <c r="D91" s="326">
        <v>262.8</v>
      </c>
      <c r="E91" s="227">
        <f>'пр.6.1.ведом.22-23 (2)'!G452-'пр.6.1.ведом.22-23 (2)'!L452</f>
        <v>267.8</v>
      </c>
      <c r="F91" s="227">
        <f>'пр.6.1.ведом.22-23 (2)'!H452-'пр.6.1.ведом.22-23 (2)'!M452</f>
        <v>262.8</v>
      </c>
    </row>
    <row r="92" spans="1:6" ht="40.700000000000003" hidden="1" customHeight="1" x14ac:dyDescent="0.25">
      <c r="A92" s="496" t="s">
        <v>1120</v>
      </c>
      <c r="B92" s="146" t="s">
        <v>826</v>
      </c>
      <c r="C92" s="317">
        <f>C93</f>
        <v>0</v>
      </c>
      <c r="D92" s="317">
        <f>D93</f>
        <v>0</v>
      </c>
    </row>
    <row r="93" spans="1:6" ht="39.75" hidden="1" customHeight="1" x14ac:dyDescent="0.25">
      <c r="A93" s="498" t="s">
        <v>825</v>
      </c>
      <c r="B93" s="139" t="s">
        <v>826</v>
      </c>
      <c r="C93" s="326">
        <v>0</v>
      </c>
      <c r="D93" s="326">
        <v>0</v>
      </c>
    </row>
    <row r="94" spans="1:6" ht="19.5" hidden="1" customHeight="1" x14ac:dyDescent="0.25">
      <c r="A94" s="260" t="s">
        <v>1152</v>
      </c>
      <c r="B94" s="259" t="s">
        <v>1153</v>
      </c>
      <c r="C94" s="317">
        <f>C95</f>
        <v>0</v>
      </c>
      <c r="D94" s="317">
        <f>D95</f>
        <v>0</v>
      </c>
    </row>
    <row r="95" spans="1:6" ht="87.75" hidden="1" customHeight="1" x14ac:dyDescent="0.25">
      <c r="A95" s="261" t="s">
        <v>1150</v>
      </c>
      <c r="B95" s="262" t="s">
        <v>1190</v>
      </c>
      <c r="C95" s="326">
        <v>0</v>
      </c>
      <c r="D95" s="326">
        <v>0</v>
      </c>
    </row>
    <row r="96" spans="1:6" ht="60.75" customHeight="1" x14ac:dyDescent="0.25">
      <c r="A96" s="496" t="s">
        <v>1446</v>
      </c>
      <c r="B96" s="138" t="s">
        <v>1447</v>
      </c>
      <c r="C96" s="317">
        <f t="shared" ref="C96:D98" si="18">SUM(C97)</f>
        <v>5193.6000000000004</v>
      </c>
      <c r="D96" s="317">
        <f t="shared" si="18"/>
        <v>4931.6000000000004</v>
      </c>
    </row>
    <row r="97" spans="1:7" ht="68.25" customHeight="1" x14ac:dyDescent="0.25">
      <c r="A97" s="498" t="s">
        <v>1448</v>
      </c>
      <c r="B97" s="144" t="s">
        <v>1426</v>
      </c>
      <c r="C97" s="326">
        <v>5193.6000000000004</v>
      </c>
      <c r="D97" s="326">
        <v>4931.6000000000004</v>
      </c>
      <c r="E97" s="227">
        <f>'пр.6.1.ведом.22-23 (2)'!G672-519.93</f>
        <v>4895.72</v>
      </c>
      <c r="F97" s="227">
        <f>'пр.6.1.ведом.22-23 (2)'!H672-493.7</f>
        <v>4648.7500000000009</v>
      </c>
    </row>
    <row r="98" spans="1:7" ht="18.75" x14ac:dyDescent="0.25">
      <c r="A98" s="496" t="s">
        <v>1125</v>
      </c>
      <c r="B98" s="138" t="s">
        <v>1124</v>
      </c>
      <c r="C98" s="317">
        <f t="shared" si="18"/>
        <v>6887.4000000000005</v>
      </c>
      <c r="D98" s="317">
        <f t="shared" si="18"/>
        <v>6072.4000000000005</v>
      </c>
    </row>
    <row r="99" spans="1:7" ht="18.75" x14ac:dyDescent="0.25">
      <c r="A99" s="198" t="s">
        <v>810</v>
      </c>
      <c r="B99" s="144" t="s">
        <v>98</v>
      </c>
      <c r="C99" s="343">
        <f>C100+C101+C102+C104+C105+C108+C109+C110+C111+C112+C114+C107+C113+C103</f>
        <v>6887.4000000000005</v>
      </c>
      <c r="D99" s="343">
        <f>D100+D101+D102+D104+D105+D108+D109+D110+D111+D112+D114+D107+D113+D103</f>
        <v>6072.4000000000005</v>
      </c>
    </row>
    <row r="100" spans="1:7" ht="63" customHeight="1" x14ac:dyDescent="0.25">
      <c r="A100" s="551"/>
      <c r="B100" s="139" t="s">
        <v>1743</v>
      </c>
      <c r="C100" s="326">
        <v>65.2</v>
      </c>
      <c r="D100" s="326">
        <v>65.2</v>
      </c>
      <c r="E100" s="313" t="e">
        <f>'пр.6.1.ведом.22-23 (2)'!#REF!</f>
        <v>#REF!</v>
      </c>
      <c r="F100" s="313" t="e">
        <f>'пр.6.1.ведом.22-23 (2)'!#REF!</f>
        <v>#REF!</v>
      </c>
    </row>
    <row r="101" spans="1:7" ht="82.15" customHeight="1" x14ac:dyDescent="0.25">
      <c r="A101" s="552"/>
      <c r="B101" s="149" t="s">
        <v>1744</v>
      </c>
      <c r="C101" s="344">
        <v>1666.6</v>
      </c>
      <c r="D101" s="344">
        <v>915</v>
      </c>
      <c r="E101" s="314">
        <f>'пр.6.1.ведом.22-23 (2)'!G598</f>
        <v>1666.6</v>
      </c>
      <c r="F101" s="314">
        <f>'пр.6.1.ведом.22-23 (2)'!H598</f>
        <v>915</v>
      </c>
    </row>
    <row r="102" spans="1:7" ht="143.44999999999999" hidden="1" customHeight="1" x14ac:dyDescent="0.25">
      <c r="A102" s="552"/>
      <c r="B102" s="258" t="s">
        <v>1154</v>
      </c>
      <c r="C102" s="344">
        <v>0</v>
      </c>
      <c r="D102" s="344">
        <v>0</v>
      </c>
      <c r="E102" s="227" t="e">
        <f>'пр.6.1.ведом.22-23 (2)'!#REF!</f>
        <v>#REF!</v>
      </c>
      <c r="F102" s="227" t="e">
        <f>'пр.6.1.ведом.22-23 (2)'!#REF!</f>
        <v>#REF!</v>
      </c>
    </row>
    <row r="103" spans="1:7" ht="101.25" customHeight="1" x14ac:dyDescent="0.25">
      <c r="A103" s="552"/>
      <c r="B103" s="258" t="s">
        <v>1745</v>
      </c>
      <c r="C103" s="344">
        <v>200</v>
      </c>
      <c r="D103" s="344">
        <f>C103</f>
        <v>200</v>
      </c>
      <c r="E103" s="227"/>
      <c r="F103" s="227"/>
    </row>
    <row r="104" spans="1:7" ht="31.5" x14ac:dyDescent="0.25">
      <c r="A104" s="552"/>
      <c r="B104" s="420" t="s">
        <v>1746</v>
      </c>
      <c r="C104" s="345">
        <v>2161.1</v>
      </c>
      <c r="D104" s="345">
        <v>2161.1</v>
      </c>
      <c r="E104" s="313">
        <f>'пр.6.1.ведом.22-23 (2)'!G728</f>
        <v>0</v>
      </c>
      <c r="F104" s="313">
        <f>'пр.6.1.ведом.22-23 (2)'!H728</f>
        <v>0</v>
      </c>
    </row>
    <row r="105" spans="1:7" ht="67.7" hidden="1" customHeight="1" x14ac:dyDescent="0.25">
      <c r="A105" s="552"/>
      <c r="B105" s="149" t="s">
        <v>1424</v>
      </c>
      <c r="C105" s="346"/>
      <c r="D105" s="346"/>
    </row>
    <row r="106" spans="1:7" ht="116.45" hidden="1" customHeight="1" x14ac:dyDescent="0.25">
      <c r="A106" s="552"/>
      <c r="B106" s="244" t="s">
        <v>802</v>
      </c>
      <c r="C106" s="347">
        <v>0</v>
      </c>
      <c r="D106" s="347">
        <v>0</v>
      </c>
    </row>
    <row r="107" spans="1:7" ht="94.5" x14ac:dyDescent="0.25">
      <c r="A107" s="552"/>
      <c r="B107" s="139" t="s">
        <v>1747</v>
      </c>
      <c r="C107" s="326">
        <v>40</v>
      </c>
      <c r="D107" s="326">
        <v>40</v>
      </c>
      <c r="E107" s="314">
        <f>'пр.6.1.ведом.22-23 (2)'!G51</f>
        <v>0</v>
      </c>
      <c r="F107" s="314">
        <f>'пр.6.1.ведом.22-23 (2)'!H51</f>
        <v>0</v>
      </c>
    </row>
    <row r="108" spans="1:7" ht="32.65" customHeight="1" x14ac:dyDescent="0.25">
      <c r="A108" s="552"/>
      <c r="B108" s="139" t="s">
        <v>1748</v>
      </c>
      <c r="C108" s="326">
        <v>1731.8</v>
      </c>
      <c r="D108" s="326">
        <v>1665.2</v>
      </c>
      <c r="E108" s="314" t="e">
        <f>'пр.6.1.ведом.22-23 (2)'!#REF!</f>
        <v>#REF!</v>
      </c>
      <c r="F108" s="314" t="e">
        <f>'пр.6.1.ведом.22-23 (2)'!#REF!</f>
        <v>#REF!</v>
      </c>
    </row>
    <row r="109" spans="1:7" ht="38.1" customHeight="1" x14ac:dyDescent="0.25">
      <c r="A109" s="552"/>
      <c r="B109" s="139" t="s">
        <v>1749</v>
      </c>
      <c r="C109" s="326">
        <v>255</v>
      </c>
      <c r="D109" s="326">
        <v>255</v>
      </c>
      <c r="E109" s="314">
        <f>'пр.6.1.ведом.22-23 (2)'!G200</f>
        <v>0</v>
      </c>
      <c r="F109" s="314">
        <f>'пр.6.1.ведом.22-23 (2)'!H200</f>
        <v>0</v>
      </c>
    </row>
    <row r="110" spans="1:7" ht="47.25" x14ac:dyDescent="0.25">
      <c r="A110" s="552"/>
      <c r="B110" s="139" t="s">
        <v>1750</v>
      </c>
      <c r="C110" s="326">
        <v>516.6</v>
      </c>
      <c r="D110" s="326">
        <v>516.6</v>
      </c>
      <c r="E110" s="314" t="e">
        <f>'пр.6.1.ведом.22-23 (2)'!#REF!</f>
        <v>#REF!</v>
      </c>
      <c r="F110" s="314" t="e">
        <f>'пр.6.1.ведом.22-23 (2)'!#REF!</f>
        <v>#REF!</v>
      </c>
    </row>
    <row r="111" spans="1:7" ht="95.25" hidden="1" customHeight="1" x14ac:dyDescent="0.25">
      <c r="A111" s="552"/>
      <c r="B111" s="262" t="s">
        <v>1163</v>
      </c>
      <c r="C111" s="354">
        <v>0</v>
      </c>
      <c r="D111" s="326">
        <v>0</v>
      </c>
    </row>
    <row r="112" spans="1:7" ht="95.1" customHeight="1" x14ac:dyDescent="0.25">
      <c r="A112" s="552"/>
      <c r="B112" s="422" t="s">
        <v>1751</v>
      </c>
      <c r="C112" s="343">
        <v>173.3</v>
      </c>
      <c r="D112" s="343">
        <v>173.3</v>
      </c>
      <c r="E112" s="314" t="e">
        <f>'пр.6.1.ведом.22-23 (2)'!#REF!</f>
        <v>#REF!</v>
      </c>
      <c r="F112" s="314" t="e">
        <f>'пр.6.1.ведом.22-23 (2)'!#REF!</f>
        <v>#REF!</v>
      </c>
      <c r="G112" s="312"/>
    </row>
    <row r="113" spans="1:7" ht="31.5" x14ac:dyDescent="0.25">
      <c r="A113" s="552"/>
      <c r="B113" s="423" t="s">
        <v>1752</v>
      </c>
      <c r="C113" s="343">
        <v>77.8</v>
      </c>
      <c r="D113" s="343">
        <v>81</v>
      </c>
      <c r="E113" s="314">
        <f>'пр.6.1.ведом.22-23 (2)'!G668</f>
        <v>0</v>
      </c>
      <c r="F113" s="314">
        <f>'пр.6.1.ведом.22-23 (2)'!H668</f>
        <v>0</v>
      </c>
    </row>
    <row r="114" spans="1:7" ht="63" hidden="1" x14ac:dyDescent="0.25">
      <c r="A114" s="553"/>
      <c r="B114" s="298" t="s">
        <v>1426</v>
      </c>
      <c r="C114" s="343">
        <v>0</v>
      </c>
      <c r="D114" s="343">
        <v>0</v>
      </c>
      <c r="E114" s="313"/>
      <c r="F114" s="313"/>
    </row>
    <row r="115" spans="1:7" ht="24.75" customHeight="1" x14ac:dyDescent="0.25">
      <c r="A115" s="137" t="s">
        <v>809</v>
      </c>
      <c r="B115" s="230" t="s">
        <v>100</v>
      </c>
      <c r="C115" s="317">
        <f>C139+C116+C137</f>
        <v>215880.3</v>
      </c>
      <c r="D115" s="317">
        <f>D139+D116+D137</f>
        <v>247491.99999999997</v>
      </c>
    </row>
    <row r="116" spans="1:7" ht="31.5" x14ac:dyDescent="0.25">
      <c r="A116" s="137" t="s">
        <v>808</v>
      </c>
      <c r="B116" s="146" t="s">
        <v>101</v>
      </c>
      <c r="C116" s="317">
        <f t="shared" ref="C116:D116" si="19">C117</f>
        <v>215317.09999999998</v>
      </c>
      <c r="D116" s="317">
        <f t="shared" si="19"/>
        <v>247144.29999999996</v>
      </c>
    </row>
    <row r="117" spans="1:7" ht="31.5" x14ac:dyDescent="0.25">
      <c r="A117" s="198" t="s">
        <v>807</v>
      </c>
      <c r="B117" s="139" t="s">
        <v>102</v>
      </c>
      <c r="C117" s="326">
        <f>SUM(C118+C119+C120+C121+C122+C123+C124+C127+C128+C129+C130+C131+C132+C133)</f>
        <v>215317.09999999998</v>
      </c>
      <c r="D117" s="326">
        <f>SUM(D118+D119+D120+D121+D122+D123+D124+D127+D128+D129+D130+D131+D132+D133)</f>
        <v>247144.29999999996</v>
      </c>
    </row>
    <row r="118" spans="1:7" ht="53.1" customHeight="1" x14ac:dyDescent="0.25">
      <c r="A118" s="551"/>
      <c r="B118" s="420" t="s">
        <v>1753</v>
      </c>
      <c r="C118" s="346">
        <v>115047.8</v>
      </c>
      <c r="D118" s="346">
        <v>134211.70000000001</v>
      </c>
      <c r="E118" s="314">
        <f>'пр.6.1.ведом.22-23 (2)'!G624</f>
        <v>115047.8</v>
      </c>
      <c r="F118" s="314">
        <f>'пр.6.1.ведом.22-23 (2)'!H624</f>
        <v>134211.70000000001</v>
      </c>
    </row>
    <row r="119" spans="1:7" ht="35.450000000000003" customHeight="1" x14ac:dyDescent="0.25">
      <c r="A119" s="552"/>
      <c r="B119" s="139" t="s">
        <v>1754</v>
      </c>
      <c r="C119" s="346">
        <v>70113.2</v>
      </c>
      <c r="D119" s="346">
        <v>74475.8</v>
      </c>
      <c r="E119" s="314">
        <f>'пр.6.1.ведом.22-23 (2)'!G567</f>
        <v>70113.2</v>
      </c>
      <c r="F119" s="314">
        <f>'пр.6.1.ведом.22-23 (2)'!H567</f>
        <v>74475.8</v>
      </c>
    </row>
    <row r="120" spans="1:7" ht="63.2" customHeight="1" x14ac:dyDescent="0.25">
      <c r="A120" s="552"/>
      <c r="B120" s="139" t="s">
        <v>1755</v>
      </c>
      <c r="C120" s="346">
        <v>4743.8999999999996</v>
      </c>
      <c r="D120" s="346">
        <f t="shared" ref="D120:D129" si="20">C120</f>
        <v>4743.8999999999996</v>
      </c>
      <c r="E120" s="315">
        <f>'пр.6.1.ведом.22-23 (2)'!G326+'пр.6.1.ведом.22-23 (2)'!G564+'пр.6.1.ведом.22-23 (2)'!G630+'пр.6.1.ведом.22-23 (2)'!G706</f>
        <v>4743.8999999999996</v>
      </c>
      <c r="F120" s="315">
        <f>'пр.6.1.ведом.22-23 (2)'!H326+'пр.6.1.ведом.22-23 (2)'!H564+'пр.6.1.ведом.22-23 (2)'!H630+'пр.6.1.ведом.22-23 (2)'!H706</f>
        <v>4743.8999999999996</v>
      </c>
      <c r="G120" s="316"/>
    </row>
    <row r="121" spans="1:7" ht="64.5" customHeight="1" x14ac:dyDescent="0.25">
      <c r="A121" s="552"/>
      <c r="B121" s="139" t="s">
        <v>1756</v>
      </c>
      <c r="C121" s="346">
        <f>[1]пр.1дох.21!C126</f>
        <v>2185</v>
      </c>
      <c r="D121" s="346">
        <f t="shared" si="20"/>
        <v>2185</v>
      </c>
      <c r="E121" s="314">
        <f>'пр.6.1.ведом.22-23 (2)'!G703+'пр.6.1.ведом.22-23 (2)'!G627+'пр.6.1.ведом.22-23 (2)'!G561+'пр.6.1.ведом.22-23 (2)'!G323</f>
        <v>2185</v>
      </c>
      <c r="F121" s="314">
        <f>'пр.6.1.ведом.22-23 (2)'!H703+'пр.6.1.ведом.22-23 (2)'!H627+'пр.6.1.ведом.22-23 (2)'!H561+'пр.6.1.ведом.22-23 (2)'!H323</f>
        <v>2185</v>
      </c>
    </row>
    <row r="122" spans="1:7" ht="46.9" customHeight="1" x14ac:dyDescent="0.25">
      <c r="A122" s="552"/>
      <c r="B122" s="139" t="s">
        <v>1757</v>
      </c>
      <c r="C122" s="346">
        <v>1411.1</v>
      </c>
      <c r="D122" s="346">
        <v>1411.1</v>
      </c>
      <c r="E122" s="314">
        <f>'пр.6.1.ведом.22-23 (2)'!G79</f>
        <v>1411.1</v>
      </c>
      <c r="F122" s="314">
        <f>'пр.6.1.ведом.22-23 (2)'!H79</f>
        <v>1411.1</v>
      </c>
    </row>
    <row r="123" spans="1:7" ht="141.75" x14ac:dyDescent="0.25">
      <c r="A123" s="552"/>
      <c r="B123" s="139" t="s">
        <v>1758</v>
      </c>
      <c r="C123" s="346">
        <v>264.2</v>
      </c>
      <c r="D123" s="346">
        <v>274.8</v>
      </c>
      <c r="E123" s="314">
        <f>'пр.6.1.ведом.22-23 (2)'!G208</f>
        <v>264.2</v>
      </c>
      <c r="F123" s="314">
        <f>'пр.6.1.ведом.22-23 (2)'!H208</f>
        <v>274.8</v>
      </c>
    </row>
    <row r="124" spans="1:7" ht="47.25" x14ac:dyDescent="0.25">
      <c r="A124" s="552"/>
      <c r="B124" s="139" t="s">
        <v>1759</v>
      </c>
      <c r="C124" s="346">
        <f>SUM(C125:C126)</f>
        <v>3650.3999999999996</v>
      </c>
      <c r="D124" s="346">
        <f>SUM(D125:D126)</f>
        <v>3606.4</v>
      </c>
      <c r="E124" s="313">
        <f>'пр.6.1.ведом.22-23 (2)'!G237</f>
        <v>3650.4</v>
      </c>
      <c r="F124" s="313">
        <f>'пр.6.1.ведом.22-23 (2)'!H237</f>
        <v>3606.4</v>
      </c>
      <c r="G124" s="313"/>
    </row>
    <row r="125" spans="1:7" ht="31.5" x14ac:dyDescent="0.25">
      <c r="A125" s="552"/>
      <c r="B125" s="424" t="s">
        <v>1760</v>
      </c>
      <c r="C125" s="346">
        <f>[1]пр.1дох.21!C130</f>
        <v>2829.1</v>
      </c>
      <c r="D125" s="346">
        <v>2759</v>
      </c>
    </row>
    <row r="126" spans="1:7" ht="31.5" x14ac:dyDescent="0.25">
      <c r="A126" s="552"/>
      <c r="B126" s="424" t="s">
        <v>1761</v>
      </c>
      <c r="C126" s="346">
        <v>821.3</v>
      </c>
      <c r="D126" s="346">
        <v>847.4</v>
      </c>
    </row>
    <row r="127" spans="1:7" ht="62.1" customHeight="1" x14ac:dyDescent="0.25">
      <c r="A127" s="552"/>
      <c r="B127" s="139" t="s">
        <v>1762</v>
      </c>
      <c r="C127" s="346">
        <f>[1]пр.1дох.21!C132</f>
        <v>341.4</v>
      </c>
      <c r="D127" s="346">
        <f t="shared" si="20"/>
        <v>341.4</v>
      </c>
      <c r="E127" s="314">
        <f>'пр.6.1.ведом.22-23 (2)'!G384</f>
        <v>341.4</v>
      </c>
      <c r="F127" s="314">
        <f>'пр.6.1.ведом.22-23 (2)'!H384</f>
        <v>341.4</v>
      </c>
    </row>
    <row r="128" spans="1:7" ht="62.1" customHeight="1" x14ac:dyDescent="0.25">
      <c r="A128" s="552"/>
      <c r="B128" s="139" t="s">
        <v>1763</v>
      </c>
      <c r="C128" s="346">
        <v>909.3</v>
      </c>
      <c r="D128" s="346">
        <v>909.3</v>
      </c>
      <c r="E128" s="314">
        <f>'пр.6.1.ведом.22-23 (2)'!G633</f>
        <v>909.3</v>
      </c>
      <c r="F128" s="314">
        <f>'пр.6.1.ведом.22-23 (2)'!H633</f>
        <v>909.3</v>
      </c>
    </row>
    <row r="129" spans="1:6" ht="47.25" x14ac:dyDescent="0.25">
      <c r="A129" s="552"/>
      <c r="B129" s="139" t="s">
        <v>1764</v>
      </c>
      <c r="C129" s="346">
        <f>[1]пр.1дох.21!C134</f>
        <v>1334.3</v>
      </c>
      <c r="D129" s="346">
        <f t="shared" si="20"/>
        <v>1334.3</v>
      </c>
      <c r="E129" s="314">
        <f>'пр.6.1.ведом.22-23 (2)'!G84</f>
        <v>1334.3</v>
      </c>
      <c r="F129" s="314">
        <f>'пр.6.1.ведом.22-23 (2)'!H84</f>
        <v>1334.3</v>
      </c>
    </row>
    <row r="130" spans="1:6" ht="78.75" x14ac:dyDescent="0.25">
      <c r="A130" s="552"/>
      <c r="B130" s="29" t="s">
        <v>1765</v>
      </c>
      <c r="C130" s="346">
        <v>22.3</v>
      </c>
      <c r="D130" s="346">
        <v>22.3</v>
      </c>
      <c r="E130" s="314">
        <f>'пр.6.1.ведом.22-23 (2)'!G506</f>
        <v>22.3</v>
      </c>
      <c r="F130" s="314">
        <f>'пр.6.1.ведом.22-23 (2)'!H506</f>
        <v>22.3</v>
      </c>
    </row>
    <row r="131" spans="1:6" ht="82.5" customHeight="1" x14ac:dyDescent="0.25">
      <c r="A131" s="552"/>
      <c r="B131" s="503" t="s">
        <v>1766</v>
      </c>
      <c r="C131" s="346">
        <v>2469.1</v>
      </c>
      <c r="D131" s="346">
        <v>10803.2</v>
      </c>
      <c r="E131" s="314">
        <f>'пр.6.1.ведом.22-23 (2)'!G536</f>
        <v>2469.1</v>
      </c>
      <c r="F131" s="314">
        <f>'пр.6.1.ведом.22-23 (2)'!H536</f>
        <v>10803.2</v>
      </c>
    </row>
    <row r="132" spans="1:6" ht="63" hidden="1" x14ac:dyDescent="0.25">
      <c r="A132" s="552"/>
      <c r="B132" s="139" t="s">
        <v>1449</v>
      </c>
      <c r="C132" s="346"/>
      <c r="D132" s="346"/>
      <c r="E132" s="314">
        <f>'пр.6.1.ведом.22-23 (2)'!G997</f>
        <v>0</v>
      </c>
      <c r="F132" s="314">
        <f>'пр.6.1.ведом.22-23 (2)'!H997</f>
        <v>0</v>
      </c>
    </row>
    <row r="133" spans="1:6" ht="63" x14ac:dyDescent="0.25">
      <c r="A133" s="552"/>
      <c r="B133" s="151" t="s">
        <v>1767</v>
      </c>
      <c r="C133" s="348">
        <f>SUM(C134:C136)</f>
        <v>12825.1</v>
      </c>
      <c r="D133" s="348">
        <f>SUM(D134:D136)</f>
        <v>12825.1</v>
      </c>
      <c r="E133" s="227"/>
      <c r="F133" s="227"/>
    </row>
    <row r="134" spans="1:6" ht="55.5" customHeight="1" x14ac:dyDescent="0.25">
      <c r="A134" s="552"/>
      <c r="B134" s="299" t="s">
        <v>1450</v>
      </c>
      <c r="C134" s="349">
        <v>9911</v>
      </c>
      <c r="D134" s="346">
        <f>C134</f>
        <v>9911</v>
      </c>
      <c r="E134" s="314">
        <f>'пр.6.1.ведом.22-23 (2)'!G700+'пр.6.1.ведом.22-23 (2)'!G621+'пр.6.1.ведом.22-23 (2)'!G558+'пр.6.1.ведом.22-23 (2)'!G320</f>
        <v>9911</v>
      </c>
      <c r="F134" s="314">
        <f>'пр.6.1.ведом.22-23 (2)'!H700+'пр.6.1.ведом.22-23 (2)'!H621+'пр.6.1.ведом.22-23 (2)'!H558+'пр.6.1.ведом.22-23 (2)'!H320</f>
        <v>9911</v>
      </c>
    </row>
    <row r="135" spans="1:6" ht="63" x14ac:dyDescent="0.25">
      <c r="A135" s="552"/>
      <c r="B135" s="299" t="s">
        <v>1451</v>
      </c>
      <c r="C135" s="349">
        <v>2100.6</v>
      </c>
      <c r="D135" s="346">
        <f>C135</f>
        <v>2100.6</v>
      </c>
      <c r="E135" s="314">
        <f>'пр.6.1.ведом.22-23 (2)'!G381</f>
        <v>2100.6</v>
      </c>
      <c r="F135" s="314">
        <f>'пр.6.1.ведом.22-23 (2)'!H381</f>
        <v>2100.6</v>
      </c>
    </row>
    <row r="136" spans="1:6" ht="45.75" customHeight="1" x14ac:dyDescent="0.25">
      <c r="A136" s="553"/>
      <c r="B136" s="299" t="s">
        <v>1452</v>
      </c>
      <c r="C136" s="349">
        <v>813.5</v>
      </c>
      <c r="D136" s="346">
        <f>C136</f>
        <v>813.5</v>
      </c>
      <c r="E136" s="314">
        <f>'пр.6.1.ведом.22-23 (2)'!G792</f>
        <v>813.5</v>
      </c>
      <c r="F136" s="314">
        <f>'пр.6.1.ведом.22-23 (2)'!H792</f>
        <v>813.5</v>
      </c>
    </row>
    <row r="137" spans="1:6" ht="63" hidden="1" x14ac:dyDescent="0.25">
      <c r="A137" s="137" t="s">
        <v>1164</v>
      </c>
      <c r="B137" s="255" t="s">
        <v>1166</v>
      </c>
      <c r="C137" s="350">
        <f>C138</f>
        <v>0</v>
      </c>
      <c r="D137" s="350">
        <f>D138</f>
        <v>0</v>
      </c>
    </row>
    <row r="138" spans="1:6" ht="63" hidden="1" x14ac:dyDescent="0.25">
      <c r="A138" s="198" t="s">
        <v>1165</v>
      </c>
      <c r="B138" s="256" t="s">
        <v>1166</v>
      </c>
      <c r="C138" s="346">
        <v>0</v>
      </c>
      <c r="D138" s="346">
        <v>0</v>
      </c>
      <c r="E138" s="227">
        <f>'пр.6.1.ведом.22-23 (2)'!G73</f>
        <v>0</v>
      </c>
      <c r="F138" s="227">
        <f>'пр.6.1.ведом.22-23 (2)'!H73</f>
        <v>0</v>
      </c>
    </row>
    <row r="139" spans="1:6" ht="31.5" x14ac:dyDescent="0.25">
      <c r="A139" s="137" t="s">
        <v>806</v>
      </c>
      <c r="B139" s="146" t="s">
        <v>103</v>
      </c>
      <c r="C139" s="317">
        <f t="shared" ref="C139:D139" si="21">C140</f>
        <v>563.20000000000005</v>
      </c>
      <c r="D139" s="317">
        <f t="shared" si="21"/>
        <v>347.7</v>
      </c>
    </row>
    <row r="140" spans="1:6" ht="31.5" x14ac:dyDescent="0.25">
      <c r="A140" s="198" t="s">
        <v>805</v>
      </c>
      <c r="B140" s="139" t="s">
        <v>104</v>
      </c>
      <c r="C140" s="326">
        <v>563.20000000000005</v>
      </c>
      <c r="D140" s="326">
        <v>347.7</v>
      </c>
      <c r="E140" s="314">
        <f>'пр.6.1.ведом.22-23 (2)'!G74</f>
        <v>563.20000000000005</v>
      </c>
      <c r="F140" s="314">
        <f>'пр.6.1.ведом.22-23 (2)'!H74</f>
        <v>347.7</v>
      </c>
    </row>
    <row r="141" spans="1:6" ht="18.75" x14ac:dyDescent="0.25">
      <c r="A141" s="137" t="s">
        <v>804</v>
      </c>
      <c r="B141" s="146" t="s">
        <v>105</v>
      </c>
      <c r="C141" s="317">
        <f>C142</f>
        <v>7226.1</v>
      </c>
      <c r="D141" s="317">
        <f>D142</f>
        <v>7226.1</v>
      </c>
    </row>
    <row r="142" spans="1:6" ht="67.7" customHeight="1" x14ac:dyDescent="0.25">
      <c r="A142" s="497" t="s">
        <v>1391</v>
      </c>
      <c r="B142" s="291" t="s">
        <v>1389</v>
      </c>
      <c r="C142" s="317">
        <f>C143</f>
        <v>7226.1</v>
      </c>
      <c r="D142" s="317">
        <f>D143</f>
        <v>7226.1</v>
      </c>
    </row>
    <row r="143" spans="1:6" ht="72" customHeight="1" x14ac:dyDescent="0.25">
      <c r="A143" s="198" t="s">
        <v>1392</v>
      </c>
      <c r="B143" s="285" t="s">
        <v>1390</v>
      </c>
      <c r="C143" s="326">
        <v>7226.1</v>
      </c>
      <c r="D143" s="326">
        <v>7226.1</v>
      </c>
      <c r="E143" s="313">
        <f>'пр.6.1.ведом.22-23 (2)'!G618</f>
        <v>7226.1</v>
      </c>
      <c r="F143" s="227">
        <f>'пр.6.1.ведом.22-23 (2)'!H618</f>
        <v>7226.1</v>
      </c>
    </row>
    <row r="144" spans="1:6" ht="18.75" hidden="1" x14ac:dyDescent="0.25">
      <c r="A144" s="137" t="s">
        <v>803</v>
      </c>
      <c r="B144" s="146" t="s">
        <v>106</v>
      </c>
      <c r="C144" s="317">
        <f t="shared" ref="C144:D144" si="22">C145</f>
        <v>0</v>
      </c>
      <c r="D144" s="317">
        <f t="shared" si="22"/>
        <v>0</v>
      </c>
    </row>
    <row r="145" spans="1:4" ht="31.5" hidden="1" x14ac:dyDescent="0.25">
      <c r="A145" s="198" t="s">
        <v>815</v>
      </c>
      <c r="B145" s="139" t="s">
        <v>1126</v>
      </c>
      <c r="C145" s="326">
        <f>SUM(C146:C148)</f>
        <v>0</v>
      </c>
      <c r="D145" s="326">
        <f>SUM(D146:D148)</f>
        <v>0</v>
      </c>
    </row>
    <row r="146" spans="1:4" ht="126" hidden="1" x14ac:dyDescent="0.25">
      <c r="A146" s="551"/>
      <c r="B146" s="151" t="s">
        <v>787</v>
      </c>
      <c r="C146" s="349">
        <f>[1]пр.1дох.21!C153</f>
        <v>0</v>
      </c>
      <c r="D146" s="349">
        <f>C146</f>
        <v>0</v>
      </c>
    </row>
    <row r="147" spans="1:4" ht="141.75" hidden="1" x14ac:dyDescent="0.25">
      <c r="A147" s="552"/>
      <c r="B147" s="151" t="s">
        <v>788</v>
      </c>
      <c r="C147" s="349">
        <f>[1]пр.1дох.21!C154</f>
        <v>0</v>
      </c>
      <c r="D147" s="349">
        <f t="shared" ref="D147:D148" si="23">C147</f>
        <v>0</v>
      </c>
    </row>
    <row r="148" spans="1:4" ht="126" hidden="1" x14ac:dyDescent="0.25">
      <c r="A148" s="553"/>
      <c r="B148" s="151" t="s">
        <v>829</v>
      </c>
      <c r="C148" s="349">
        <f>[1]пр.1дох.21!C155</f>
        <v>0</v>
      </c>
      <c r="D148" s="349">
        <f t="shared" si="23"/>
        <v>0</v>
      </c>
    </row>
    <row r="149" spans="1:4" ht="18.75" hidden="1" x14ac:dyDescent="0.25">
      <c r="A149" s="453" t="s">
        <v>783</v>
      </c>
      <c r="B149" s="186" t="s">
        <v>784</v>
      </c>
      <c r="C149" s="351">
        <f>SUM(C150)</f>
        <v>0</v>
      </c>
      <c r="D149" s="351">
        <f>SUM(D150)</f>
        <v>0</v>
      </c>
    </row>
    <row r="150" spans="1:4" ht="31.5" hidden="1" x14ac:dyDescent="0.25">
      <c r="A150" s="453" t="s">
        <v>785</v>
      </c>
      <c r="B150" s="186" t="s">
        <v>786</v>
      </c>
      <c r="C150" s="351">
        <f>SUM(C151)</f>
        <v>0</v>
      </c>
      <c r="D150" s="351">
        <f>SUM(D151)</f>
        <v>0</v>
      </c>
    </row>
    <row r="151" spans="1:4" ht="18.75" hidden="1" x14ac:dyDescent="0.25">
      <c r="A151" s="556" t="s">
        <v>834</v>
      </c>
      <c r="B151" s="189" t="s">
        <v>786</v>
      </c>
      <c r="C151" s="351">
        <f>SUM(C153:C154)</f>
        <v>0</v>
      </c>
      <c r="D151" s="351">
        <f>SUM(D153:D154)</f>
        <v>0</v>
      </c>
    </row>
    <row r="152" spans="1:4" ht="18.75" hidden="1" x14ac:dyDescent="0.25">
      <c r="A152" s="557"/>
      <c r="B152" s="189" t="s">
        <v>99</v>
      </c>
      <c r="C152" s="351"/>
      <c r="D152" s="351"/>
    </row>
    <row r="153" spans="1:4" ht="94.5" hidden="1" x14ac:dyDescent="0.25">
      <c r="A153" s="557"/>
      <c r="B153" s="187" t="s">
        <v>831</v>
      </c>
      <c r="C153" s="349">
        <v>0</v>
      </c>
      <c r="D153" s="349">
        <v>0</v>
      </c>
    </row>
    <row r="154" spans="1:4" ht="78.75" hidden="1" x14ac:dyDescent="0.25">
      <c r="A154" s="558"/>
      <c r="B154" s="187" t="s">
        <v>832</v>
      </c>
      <c r="C154" s="349">
        <v>0</v>
      </c>
      <c r="D154" s="349">
        <v>0</v>
      </c>
    </row>
    <row r="155" spans="1:4" ht="18.75" x14ac:dyDescent="0.25">
      <c r="A155" s="198"/>
      <c r="B155" s="183" t="s">
        <v>107</v>
      </c>
      <c r="C155" s="317">
        <f>SUM(C9+C74)</f>
        <v>736280.6</v>
      </c>
      <c r="D155" s="317">
        <f>SUM(D9+D74)</f>
        <v>777267.39999999991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499147.7</v>
      </c>
      <c r="D157" s="22">
        <f>D9+D78+D80</f>
        <v>509037.5</v>
      </c>
    </row>
  </sheetData>
  <mergeCells count="11">
    <mergeCell ref="A6:D6"/>
    <mergeCell ref="C1:D1"/>
    <mergeCell ref="C2:D2"/>
    <mergeCell ref="C3:D3"/>
    <mergeCell ref="A4:D4"/>
    <mergeCell ref="A5:D5"/>
    <mergeCell ref="H8:K8"/>
    <mergeCell ref="A100:A114"/>
    <mergeCell ref="A118:A136"/>
    <mergeCell ref="A146:A148"/>
    <mergeCell ref="A151:A15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topLeftCell="A14" zoomScaleNormal="100" zoomScaleSheetLayoutView="100" workbookViewId="0">
      <selection activeCell="J12" sqref="J1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5" width="14.42578125" style="22" customWidth="1"/>
    <col min="6" max="6" width="12.28515625" style="22" customWidth="1"/>
  </cols>
  <sheetData>
    <row r="1" spans="1:6" ht="15.75" x14ac:dyDescent="0.25">
      <c r="A1" s="11"/>
      <c r="B1" s="515"/>
      <c r="C1" s="515"/>
      <c r="D1" s="195"/>
      <c r="E1" s="582" t="s">
        <v>1776</v>
      </c>
      <c r="F1" s="582"/>
    </row>
    <row r="2" spans="1:6" ht="15.75" x14ac:dyDescent="0.25">
      <c r="A2" s="11"/>
      <c r="B2" s="515"/>
      <c r="C2" s="515"/>
      <c r="D2" s="515"/>
      <c r="E2" s="583" t="s">
        <v>1809</v>
      </c>
      <c r="F2" s="583"/>
    </row>
    <row r="3" spans="1:6" ht="18.75" customHeight="1" x14ac:dyDescent="0.25">
      <c r="A3" s="11"/>
      <c r="B3" s="515"/>
      <c r="C3" s="515"/>
      <c r="D3" s="434"/>
      <c r="E3" s="583" t="s">
        <v>1808</v>
      </c>
      <c r="F3" s="583"/>
    </row>
    <row r="4" spans="1:6" s="449" customFormat="1" ht="18.75" customHeight="1" x14ac:dyDescent="0.25">
      <c r="A4" s="11"/>
      <c r="B4" s="515"/>
      <c r="C4" s="515"/>
      <c r="D4" s="434"/>
      <c r="E4" s="583" t="s">
        <v>1807</v>
      </c>
      <c r="F4" s="583"/>
    </row>
    <row r="5" spans="1:6" s="449" customFormat="1" ht="18.75" customHeight="1" x14ac:dyDescent="0.25">
      <c r="A5" s="11"/>
      <c r="B5" s="515"/>
      <c r="C5" s="515"/>
      <c r="D5" s="434"/>
      <c r="E5" s="583" t="s">
        <v>1810</v>
      </c>
      <c r="F5" s="583"/>
    </row>
    <row r="6" spans="1:6" s="200" customFormat="1" ht="18.75" x14ac:dyDescent="0.3">
      <c r="A6" s="11"/>
      <c r="B6" s="152"/>
      <c r="C6" s="11"/>
      <c r="D6" s="267"/>
      <c r="E6" s="507"/>
      <c r="F6" s="507"/>
    </row>
    <row r="7" spans="1:6" ht="34.9" customHeight="1" x14ac:dyDescent="0.25">
      <c r="A7" s="559" t="s">
        <v>1811</v>
      </c>
      <c r="B7" s="559"/>
      <c r="C7" s="559"/>
      <c r="D7" s="559"/>
      <c r="E7" s="559"/>
      <c r="F7" s="559"/>
    </row>
    <row r="8" spans="1:6" x14ac:dyDescent="0.25">
      <c r="B8" s="90"/>
      <c r="C8" s="90"/>
      <c r="D8" s="355"/>
      <c r="E8" s="355"/>
      <c r="F8" s="355"/>
    </row>
    <row r="9" spans="1:6" ht="66.2" customHeight="1" x14ac:dyDescent="0.25">
      <c r="A9" s="91" t="s">
        <v>675</v>
      </c>
      <c r="B9" s="91" t="s">
        <v>676</v>
      </c>
      <c r="C9" s="91" t="s">
        <v>677</v>
      </c>
      <c r="D9" s="366" t="s">
        <v>1771</v>
      </c>
      <c r="E9" s="366" t="s">
        <v>1772</v>
      </c>
      <c r="F9" s="366" t="s">
        <v>1773</v>
      </c>
    </row>
    <row r="10" spans="1:6" ht="15.75" x14ac:dyDescent="0.25">
      <c r="A10" s="47" t="s">
        <v>117</v>
      </c>
      <c r="B10" s="24" t="s">
        <v>118</v>
      </c>
      <c r="C10" s="92"/>
      <c r="D10" s="357">
        <f>SUM(D11:D17)</f>
        <v>169648.56</v>
      </c>
      <c r="E10" s="357">
        <f t="shared" ref="E10" si="0">SUM(E11:E17)</f>
        <v>117053.17253000001</v>
      </c>
      <c r="F10" s="357">
        <f>E10/D10*100</f>
        <v>68.997445383562351</v>
      </c>
    </row>
    <row r="11" spans="1:6" ht="31.5" x14ac:dyDescent="0.25">
      <c r="A11" s="31" t="s">
        <v>575</v>
      </c>
      <c r="B11" s="20" t="s">
        <v>118</v>
      </c>
      <c r="C11" s="20" t="s">
        <v>213</v>
      </c>
      <c r="D11" s="27">
        <f>'Пр.3 Рд,пр, ЦС,ВР 21'!F11</f>
        <v>4828.54</v>
      </c>
      <c r="E11" s="27">
        <f>'Пр.3 Рд,пр, ЦС,ВР 21'!G11</f>
        <v>3939.4849999999997</v>
      </c>
      <c r="F11" s="359">
        <f t="shared" ref="F11:F51" si="1">E11/D11*100</f>
        <v>81.587498498510939</v>
      </c>
    </row>
    <row r="12" spans="1:6" ht="47.25" x14ac:dyDescent="0.25">
      <c r="A12" s="31" t="s">
        <v>578</v>
      </c>
      <c r="B12" s="20" t="s">
        <v>118</v>
      </c>
      <c r="C12" s="20" t="s">
        <v>215</v>
      </c>
      <c r="D12" s="27">
        <f>'Пр.3 Рд,пр, ЦС,ВР 21'!F27</f>
        <v>6194</v>
      </c>
      <c r="E12" s="27">
        <f>'Пр.3 Рд,пр, ЦС,ВР 21'!G27</f>
        <v>4449.1880000000001</v>
      </c>
      <c r="F12" s="359">
        <f t="shared" si="1"/>
        <v>71.830610268001294</v>
      </c>
    </row>
    <row r="13" spans="1:6" ht="47.25" x14ac:dyDescent="0.25">
      <c r="A13" s="25" t="s">
        <v>149</v>
      </c>
      <c r="B13" s="20" t="s">
        <v>118</v>
      </c>
      <c r="C13" s="20" t="s">
        <v>150</v>
      </c>
      <c r="D13" s="27">
        <f>'Пр.3 Рд,пр, ЦС,ВР 21'!F43</f>
        <v>73371.73</v>
      </c>
      <c r="E13" s="27">
        <f>'Пр.3 Рд,пр, ЦС,ВР 21'!G43</f>
        <v>48035.891999999993</v>
      </c>
      <c r="F13" s="359">
        <f t="shared" si="1"/>
        <v>65.469210007723674</v>
      </c>
    </row>
    <row r="14" spans="1:6" ht="31.5" x14ac:dyDescent="0.25">
      <c r="A14" s="25" t="s">
        <v>119</v>
      </c>
      <c r="B14" s="20" t="s">
        <v>118</v>
      </c>
      <c r="C14" s="20" t="s">
        <v>120</v>
      </c>
      <c r="D14" s="27">
        <f>'Пр.3 Рд,пр, ЦС,ВР 21'!F104</f>
        <v>16854.7</v>
      </c>
      <c r="E14" s="27">
        <f>'Пр.3 Рд,пр, ЦС,ВР 21'!G104</f>
        <v>12805.876</v>
      </c>
      <c r="F14" s="359">
        <f t="shared" si="1"/>
        <v>75.978071398482314</v>
      </c>
    </row>
    <row r="15" spans="1:6" s="200" customFormat="1" ht="15.75" hidden="1" x14ac:dyDescent="0.25">
      <c r="A15" s="25" t="s">
        <v>1148</v>
      </c>
      <c r="B15" s="20" t="s">
        <v>118</v>
      </c>
      <c r="C15" s="20" t="s">
        <v>264</v>
      </c>
      <c r="D15" s="27">
        <f>'Пр.3 Рд,пр, ЦС,ВР 21'!F126</f>
        <v>0</v>
      </c>
      <c r="E15" s="27">
        <f>'Пр.3 Рд,пр, ЦС,ВР 21'!G126</f>
        <v>0</v>
      </c>
      <c r="F15" s="359" t="e">
        <f t="shared" si="1"/>
        <v>#DIV/0!</v>
      </c>
    </row>
    <row r="16" spans="1:6" s="200" customFormat="1" ht="15.75" x14ac:dyDescent="0.25">
      <c r="A16" s="25" t="s">
        <v>1410</v>
      </c>
      <c r="B16" s="20" t="s">
        <v>118</v>
      </c>
      <c r="C16" s="20" t="s">
        <v>491</v>
      </c>
      <c r="D16" s="27">
        <f>'Пр.3 Рд,пр, ЦС,ВР 21'!F134</f>
        <v>50</v>
      </c>
      <c r="E16" s="27">
        <f>'Пр.3 Рд,пр, ЦС,ВР 21'!G134</f>
        <v>0</v>
      </c>
      <c r="F16" s="359">
        <f t="shared" si="1"/>
        <v>0</v>
      </c>
    </row>
    <row r="17" spans="1:6" ht="15.75" x14ac:dyDescent="0.25">
      <c r="A17" s="93" t="s">
        <v>139</v>
      </c>
      <c r="B17" s="20" t="s">
        <v>118</v>
      </c>
      <c r="C17" s="20" t="s">
        <v>140</v>
      </c>
      <c r="D17" s="27">
        <f>'Пр.3 Рд,пр, ЦС,ВР 21'!F140</f>
        <v>68349.59</v>
      </c>
      <c r="E17" s="27">
        <f>'Пр.3 Рд,пр, ЦС,ВР 21'!G140</f>
        <v>47822.731530000012</v>
      </c>
      <c r="F17" s="359">
        <f t="shared" si="1"/>
        <v>69.96783964614859</v>
      </c>
    </row>
    <row r="18" spans="1:6" ht="15.75" hidden="1" x14ac:dyDescent="0.25">
      <c r="A18" s="19" t="s">
        <v>212</v>
      </c>
      <c r="B18" s="24" t="s">
        <v>213</v>
      </c>
      <c r="C18" s="20"/>
      <c r="D18" s="44">
        <f t="shared" ref="D18:E18" si="2">D19</f>
        <v>0</v>
      </c>
      <c r="E18" s="44">
        <f t="shared" si="2"/>
        <v>0</v>
      </c>
      <c r="F18" s="357" t="e">
        <f t="shared" si="1"/>
        <v>#DIV/0!</v>
      </c>
    </row>
    <row r="19" spans="1:6" ht="15.75" hidden="1" x14ac:dyDescent="0.25">
      <c r="A19" s="25" t="s">
        <v>218</v>
      </c>
      <c r="B19" s="20" t="s">
        <v>213</v>
      </c>
      <c r="C19" s="20" t="s">
        <v>219</v>
      </c>
      <c r="D19" s="27"/>
      <c r="E19" s="27"/>
      <c r="F19" s="357" t="e">
        <f t="shared" si="1"/>
        <v>#DIV/0!</v>
      </c>
    </row>
    <row r="20" spans="1:6" ht="18" customHeight="1" x14ac:dyDescent="0.25">
      <c r="A20" s="34" t="s">
        <v>222</v>
      </c>
      <c r="B20" s="24" t="s">
        <v>215</v>
      </c>
      <c r="C20" s="24"/>
      <c r="D20" s="44">
        <f t="shared" ref="D20:E20" si="3">D21</f>
        <v>7257.9250000000002</v>
      </c>
      <c r="E20" s="44">
        <f t="shared" si="3"/>
        <v>4831.482</v>
      </c>
      <c r="F20" s="357">
        <f t="shared" si="1"/>
        <v>66.568364925236892</v>
      </c>
    </row>
    <row r="21" spans="1:6" ht="31.5" x14ac:dyDescent="0.25">
      <c r="A21" s="31" t="s">
        <v>1348</v>
      </c>
      <c r="B21" s="20" t="s">
        <v>215</v>
      </c>
      <c r="C21" s="20" t="s">
        <v>244</v>
      </c>
      <c r="D21" s="27">
        <f>'Пр.3 Рд,пр, ЦС,ВР 21'!F229</f>
        <v>7257.9250000000002</v>
      </c>
      <c r="E21" s="27">
        <f>'Пр.3 Рд,пр, ЦС,ВР 21'!G229</f>
        <v>4831.482</v>
      </c>
      <c r="F21" s="359">
        <f t="shared" si="1"/>
        <v>66.568364925236892</v>
      </c>
    </row>
    <row r="22" spans="1:6" ht="15.75" x14ac:dyDescent="0.25">
      <c r="A22" s="47" t="s">
        <v>232</v>
      </c>
      <c r="B22" s="24" t="s">
        <v>150</v>
      </c>
      <c r="C22" s="24"/>
      <c r="D22" s="44">
        <f t="shared" ref="D22:E22" si="4">D23+D24+D25+D26</f>
        <v>7960</v>
      </c>
      <c r="E22" s="44">
        <f t="shared" si="4"/>
        <v>5423.4207000000006</v>
      </c>
      <c r="F22" s="357">
        <f t="shared" si="1"/>
        <v>68.133425879396995</v>
      </c>
    </row>
    <row r="23" spans="1:6" ht="15.75" x14ac:dyDescent="0.25">
      <c r="A23" s="94" t="s">
        <v>233</v>
      </c>
      <c r="B23" s="20" t="s">
        <v>150</v>
      </c>
      <c r="C23" s="20" t="s">
        <v>234</v>
      </c>
      <c r="D23" s="27">
        <f>'Пр.3 Рд,пр, ЦС,ВР 21'!F256</f>
        <v>19</v>
      </c>
      <c r="E23" s="27">
        <f>'Пр.3 Рд,пр, ЦС,ВР 21'!G256</f>
        <v>0</v>
      </c>
      <c r="F23" s="359">
        <f t="shared" si="1"/>
        <v>0</v>
      </c>
    </row>
    <row r="24" spans="1:6" ht="15.75" x14ac:dyDescent="0.25">
      <c r="A24" s="93" t="s">
        <v>505</v>
      </c>
      <c r="B24" s="20" t="s">
        <v>150</v>
      </c>
      <c r="C24" s="20" t="s">
        <v>299</v>
      </c>
      <c r="D24" s="27">
        <f>'Пр.3 Рд,пр, ЦС,ВР 21'!F266</f>
        <v>3258</v>
      </c>
      <c r="E24" s="27">
        <f>'Пр.3 Рд,пр, ЦС,ВР 21'!G266</f>
        <v>2164.9362500000002</v>
      </c>
      <c r="F24" s="359">
        <f t="shared" si="1"/>
        <v>66.449854205033759</v>
      </c>
    </row>
    <row r="25" spans="1:6" ht="15.75" x14ac:dyDescent="0.25">
      <c r="A25" s="93" t="s">
        <v>508</v>
      </c>
      <c r="B25" s="20" t="s">
        <v>150</v>
      </c>
      <c r="C25" s="20" t="s">
        <v>219</v>
      </c>
      <c r="D25" s="27">
        <f>'Пр.3 Рд,пр, ЦС,ВР 21'!F272</f>
        <v>4268.8</v>
      </c>
      <c r="E25" s="27">
        <f>'Пр.3 Рд,пр, ЦС,ВР 21'!G272</f>
        <v>3109.2544500000004</v>
      </c>
      <c r="F25" s="359">
        <f t="shared" si="1"/>
        <v>72.836732805472266</v>
      </c>
    </row>
    <row r="26" spans="1:6" ht="15.75" x14ac:dyDescent="0.25">
      <c r="A26" s="95" t="s">
        <v>237</v>
      </c>
      <c r="B26" s="20" t="s">
        <v>150</v>
      </c>
      <c r="C26" s="20" t="s">
        <v>238</v>
      </c>
      <c r="D26" s="27">
        <f>'Пр.3 Рд,пр, ЦС,ВР 21'!F286</f>
        <v>414.2</v>
      </c>
      <c r="E26" s="27">
        <f>'Пр.3 Рд,пр, ЦС,ВР 21'!G286</f>
        <v>149.22999999999999</v>
      </c>
      <c r="F26" s="359">
        <f t="shared" si="1"/>
        <v>36.02848865282472</v>
      </c>
    </row>
    <row r="27" spans="1:6" ht="15.75" x14ac:dyDescent="0.25">
      <c r="A27" s="47" t="s">
        <v>390</v>
      </c>
      <c r="B27" s="24" t="s">
        <v>234</v>
      </c>
      <c r="C27" s="24"/>
      <c r="D27" s="44">
        <f t="shared" ref="D27:E27" si="5">SUM(D28:D31)</f>
        <v>192532.82</v>
      </c>
      <c r="E27" s="44">
        <f t="shared" si="5"/>
        <v>96807.142720000003</v>
      </c>
      <c r="F27" s="357">
        <f t="shared" si="1"/>
        <v>50.280852230804072</v>
      </c>
    </row>
    <row r="28" spans="1:6" ht="15.75" x14ac:dyDescent="0.25">
      <c r="A28" s="94" t="s">
        <v>391</v>
      </c>
      <c r="B28" s="20" t="s">
        <v>234</v>
      </c>
      <c r="C28" s="20" t="s">
        <v>118</v>
      </c>
      <c r="D28" s="27">
        <f>'Пр.3 Рд,пр, ЦС,ВР 21'!F318</f>
        <v>23963.3</v>
      </c>
      <c r="E28" s="27">
        <f>'Пр.3 Рд,пр, ЦС,ВР 21'!G318</f>
        <v>10823.93958</v>
      </c>
      <c r="F28" s="359">
        <f t="shared" si="1"/>
        <v>45.168818902238009</v>
      </c>
    </row>
    <row r="29" spans="1:6" ht="15.75" x14ac:dyDescent="0.25">
      <c r="A29" s="94" t="s">
        <v>517</v>
      </c>
      <c r="B29" s="20" t="s">
        <v>234</v>
      </c>
      <c r="C29" s="20" t="s">
        <v>213</v>
      </c>
      <c r="D29" s="27">
        <f>'Пр.3 Рд,пр, ЦС,ВР 21'!F335</f>
        <v>88830.21</v>
      </c>
      <c r="E29" s="27">
        <f>'Пр.3 Рд,пр, ЦС,ВР 21'!G335</f>
        <v>27654.850649999997</v>
      </c>
      <c r="F29" s="359">
        <f t="shared" si="1"/>
        <v>31.13225855258025</v>
      </c>
    </row>
    <row r="30" spans="1:6" ht="15.75" x14ac:dyDescent="0.25">
      <c r="A30" s="93" t="s">
        <v>541</v>
      </c>
      <c r="B30" s="20" t="s">
        <v>234</v>
      </c>
      <c r="C30" s="20" t="s">
        <v>215</v>
      </c>
      <c r="D30" s="27">
        <f>'Пр.3 Рд,пр, ЦС,ВР 21'!F400</f>
        <v>36192.410000000003</v>
      </c>
      <c r="E30" s="27">
        <f>'Пр.3 Рд,пр, ЦС,ВР 21'!G400</f>
        <v>24445.166000000001</v>
      </c>
      <c r="F30" s="359">
        <f t="shared" si="1"/>
        <v>67.542244354548359</v>
      </c>
    </row>
    <row r="31" spans="1:6" ht="15.75" x14ac:dyDescent="0.25">
      <c r="A31" s="25" t="s">
        <v>569</v>
      </c>
      <c r="B31" s="20" t="s">
        <v>234</v>
      </c>
      <c r="C31" s="20" t="s">
        <v>234</v>
      </c>
      <c r="D31" s="27">
        <f>'Пр.3 Рд,пр, ЦС,ВР 21'!F462</f>
        <v>43546.899999999994</v>
      </c>
      <c r="E31" s="27">
        <f>'Пр.3 Рд,пр, ЦС,ВР 21'!G462</f>
        <v>33883.18649</v>
      </c>
      <c r="F31" s="359">
        <f t="shared" si="1"/>
        <v>77.808492659638233</v>
      </c>
    </row>
    <row r="32" spans="1:6" ht="15.75" x14ac:dyDescent="0.25">
      <c r="A32" s="47" t="s">
        <v>263</v>
      </c>
      <c r="B32" s="24" t="s">
        <v>264</v>
      </c>
      <c r="C32" s="24"/>
      <c r="D32" s="44">
        <f t="shared" ref="D32:E32" si="6">SUM(D33:D37)</f>
        <v>411387.5</v>
      </c>
      <c r="E32" s="44">
        <f t="shared" si="6"/>
        <v>292392.85154</v>
      </c>
      <c r="F32" s="357">
        <f t="shared" si="1"/>
        <v>71.074802112363642</v>
      </c>
    </row>
    <row r="33" spans="1:6" ht="15.75" x14ac:dyDescent="0.25">
      <c r="A33" s="93" t="s">
        <v>404</v>
      </c>
      <c r="B33" s="20" t="s">
        <v>264</v>
      </c>
      <c r="C33" s="20" t="s">
        <v>118</v>
      </c>
      <c r="D33" s="27">
        <f>'Пр.3 Рд,пр, ЦС,ВР 21'!F504</f>
        <v>124425.075</v>
      </c>
      <c r="E33" s="27">
        <f>'Пр.3 Рд,пр, ЦС,ВР 21'!G504</f>
        <v>86911.696700000015</v>
      </c>
      <c r="F33" s="359">
        <f t="shared" si="1"/>
        <v>69.850628339986955</v>
      </c>
    </row>
    <row r="34" spans="1:6" ht="15.75" x14ac:dyDescent="0.25">
      <c r="A34" s="93" t="s">
        <v>425</v>
      </c>
      <c r="B34" s="20" t="s">
        <v>264</v>
      </c>
      <c r="C34" s="20" t="s">
        <v>213</v>
      </c>
      <c r="D34" s="27">
        <f>'Пр.3 Рд,пр, ЦС,ВР 21'!F569</f>
        <v>198479.35500000001</v>
      </c>
      <c r="E34" s="27">
        <f>'Пр.3 Рд,пр, ЦС,ВР 21'!G569</f>
        <v>145652.90815</v>
      </c>
      <c r="F34" s="359">
        <f t="shared" si="1"/>
        <v>73.384412273004401</v>
      </c>
    </row>
    <row r="35" spans="1:6" ht="15.75" x14ac:dyDescent="0.25">
      <c r="A35" s="93" t="s">
        <v>265</v>
      </c>
      <c r="B35" s="20" t="s">
        <v>264</v>
      </c>
      <c r="C35" s="20" t="s">
        <v>215</v>
      </c>
      <c r="D35" s="27">
        <f>'Пр.3 Рд,пр, ЦС,ВР 21'!F660</f>
        <v>60943.270000000011</v>
      </c>
      <c r="E35" s="27">
        <f>'Пр.3 Рд,пр, ЦС,ВР 21'!G660</f>
        <v>38155.640579999999</v>
      </c>
      <c r="F35" s="359">
        <f t="shared" si="1"/>
        <v>62.608456323397142</v>
      </c>
    </row>
    <row r="36" spans="1:6" ht="15.75" x14ac:dyDescent="0.25">
      <c r="A36" s="93" t="s">
        <v>466</v>
      </c>
      <c r="B36" s="20" t="s">
        <v>264</v>
      </c>
      <c r="C36" s="20" t="s">
        <v>264</v>
      </c>
      <c r="D36" s="27">
        <f>'Пр.3 Рд,пр, ЦС,ВР 21'!F735</f>
        <v>6820.0000000000009</v>
      </c>
      <c r="E36" s="27">
        <f>'Пр.3 Рд,пр, ЦС,ВР 21'!G735</f>
        <v>5847.482</v>
      </c>
      <c r="F36" s="359">
        <f t="shared" si="1"/>
        <v>85.740205278592356</v>
      </c>
    </row>
    <row r="37" spans="1:6" ht="15.75" x14ac:dyDescent="0.25">
      <c r="A37" s="93" t="s">
        <v>295</v>
      </c>
      <c r="B37" s="20" t="s">
        <v>264</v>
      </c>
      <c r="C37" s="20" t="s">
        <v>219</v>
      </c>
      <c r="D37" s="27">
        <f>'Пр.3 Рд,пр, ЦС,ВР 21'!F760</f>
        <v>20719.8</v>
      </c>
      <c r="E37" s="27">
        <f>'Пр.3 Рд,пр, ЦС,ВР 21'!G760</f>
        <v>15825.124110000001</v>
      </c>
      <c r="F37" s="359">
        <f t="shared" si="1"/>
        <v>76.376818839950204</v>
      </c>
    </row>
    <row r="38" spans="1:6" ht="15.75" x14ac:dyDescent="0.25">
      <c r="A38" s="96" t="s">
        <v>298</v>
      </c>
      <c r="B38" s="24" t="s">
        <v>299</v>
      </c>
      <c r="C38" s="20"/>
      <c r="D38" s="44">
        <f t="shared" ref="D38:E38" si="7">D39+D40</f>
        <v>82056.5</v>
      </c>
      <c r="E38" s="44">
        <f t="shared" si="7"/>
        <v>54484.695320000006</v>
      </c>
      <c r="F38" s="357">
        <f t="shared" si="1"/>
        <v>66.398999859852665</v>
      </c>
    </row>
    <row r="39" spans="1:6" ht="15.75" x14ac:dyDescent="0.25">
      <c r="A39" s="95" t="s">
        <v>300</v>
      </c>
      <c r="B39" s="20" t="s">
        <v>299</v>
      </c>
      <c r="C39" s="20" t="s">
        <v>118</v>
      </c>
      <c r="D39" s="27">
        <f>'Пр.3 Рд,пр, ЦС,ВР 21'!F793</f>
        <v>62267.999999999993</v>
      </c>
      <c r="E39" s="27">
        <f>'Пр.3 Рд,пр, ЦС,ВР 21'!G793</f>
        <v>38421.968300000008</v>
      </c>
      <c r="F39" s="359">
        <f t="shared" si="1"/>
        <v>61.704195252778341</v>
      </c>
    </row>
    <row r="40" spans="1:6" ht="15.75" x14ac:dyDescent="0.25">
      <c r="A40" s="95" t="s">
        <v>333</v>
      </c>
      <c r="B40" s="20" t="s">
        <v>299</v>
      </c>
      <c r="C40" s="20" t="s">
        <v>150</v>
      </c>
      <c r="D40" s="27">
        <f>'Пр.3 Рд,пр, ЦС,ВР 21'!F853</f>
        <v>19788.5</v>
      </c>
      <c r="E40" s="27">
        <f>'Пр.3 Рд,пр, ЦС,ВР 21'!G853</f>
        <v>16062.727019999997</v>
      </c>
      <c r="F40" s="359">
        <f t="shared" si="1"/>
        <v>81.172029309952734</v>
      </c>
    </row>
    <row r="41" spans="1:6" ht="15.75" x14ac:dyDescent="0.25">
      <c r="A41" s="47" t="s">
        <v>243</v>
      </c>
      <c r="B41" s="24" t="s">
        <v>244</v>
      </c>
      <c r="C41" s="24"/>
      <c r="D41" s="44">
        <f>SUM(D42:D45)</f>
        <v>15222.5</v>
      </c>
      <c r="E41" s="44">
        <f t="shared" ref="E41" si="8">SUM(E42:E45)</f>
        <v>11110.588</v>
      </c>
      <c r="F41" s="357">
        <f t="shared" si="1"/>
        <v>72.987932337001155</v>
      </c>
    </row>
    <row r="42" spans="1:6" ht="15.75" x14ac:dyDescent="0.25">
      <c r="A42" s="93" t="s">
        <v>245</v>
      </c>
      <c r="B42" s="20" t="s">
        <v>244</v>
      </c>
      <c r="C42" s="20" t="s">
        <v>118</v>
      </c>
      <c r="D42" s="27">
        <f>'Пр.3 Рд,пр, ЦС,ВР 21'!F892</f>
        <v>9815.2999999999993</v>
      </c>
      <c r="E42" s="27">
        <f>'Пр.3 Рд,пр, ЦС,ВР 21'!G892</f>
        <v>8148.8630000000003</v>
      </c>
      <c r="F42" s="359">
        <f t="shared" si="1"/>
        <v>83.022047212005759</v>
      </c>
    </row>
    <row r="43" spans="1:6" ht="15.75" x14ac:dyDescent="0.25">
      <c r="A43" s="25" t="s">
        <v>252</v>
      </c>
      <c r="B43" s="20" t="s">
        <v>244</v>
      </c>
      <c r="C43" s="20" t="s">
        <v>215</v>
      </c>
      <c r="D43" s="27">
        <f>'Пр.3 Рд,пр, ЦС,ВР 21'!F898</f>
        <v>1717</v>
      </c>
      <c r="E43" s="27">
        <f>'Пр.3 Рд,пр, ЦС,ВР 21'!G898</f>
        <v>1038.0149999999999</v>
      </c>
      <c r="F43" s="359">
        <f t="shared" si="1"/>
        <v>60.455154338963304</v>
      </c>
    </row>
    <row r="44" spans="1:6" s="200" customFormat="1" ht="15.75" hidden="1" x14ac:dyDescent="0.25">
      <c r="A44" s="25" t="s">
        <v>400</v>
      </c>
      <c r="B44" s="20" t="s">
        <v>244</v>
      </c>
      <c r="C44" s="20" t="s">
        <v>150</v>
      </c>
      <c r="D44" s="27">
        <f>'Пр.3 Рд,пр, ЦС,ВР 21'!F927</f>
        <v>0</v>
      </c>
      <c r="E44" s="27">
        <f>'Пр.3 Рд,пр, ЦС,ВР 21'!G927</f>
        <v>0</v>
      </c>
      <c r="F44" s="359" t="e">
        <f t="shared" si="1"/>
        <v>#DIV/0!</v>
      </c>
    </row>
    <row r="45" spans="1:6" ht="15.75" x14ac:dyDescent="0.25">
      <c r="A45" s="25" t="s">
        <v>258</v>
      </c>
      <c r="B45" s="20" t="s">
        <v>244</v>
      </c>
      <c r="C45" s="20" t="s">
        <v>120</v>
      </c>
      <c r="D45" s="27">
        <f>'Пр.3 Рд,пр, ЦС,ВР 21'!F932</f>
        <v>3690.2000000000007</v>
      </c>
      <c r="E45" s="27">
        <f>'Пр.3 Рд,пр, ЦС,ВР 21'!G932</f>
        <v>1923.71</v>
      </c>
      <c r="F45" s="359">
        <f t="shared" si="1"/>
        <v>52.130236843531506</v>
      </c>
    </row>
    <row r="46" spans="1:6" ht="15.75" x14ac:dyDescent="0.25">
      <c r="A46" s="96" t="s">
        <v>490</v>
      </c>
      <c r="B46" s="24" t="s">
        <v>491</v>
      </c>
      <c r="C46" s="20"/>
      <c r="D46" s="44">
        <f t="shared" ref="D46:E46" si="9">D47+D48</f>
        <v>71500.53</v>
      </c>
      <c r="E46" s="44">
        <f t="shared" si="9"/>
        <v>48420.407000000007</v>
      </c>
      <c r="F46" s="357">
        <f t="shared" si="1"/>
        <v>67.720346968057456</v>
      </c>
    </row>
    <row r="47" spans="1:6" ht="15.75" x14ac:dyDescent="0.25">
      <c r="A47" s="95" t="s">
        <v>492</v>
      </c>
      <c r="B47" s="20" t="s">
        <v>491</v>
      </c>
      <c r="C47" s="20" t="s">
        <v>118</v>
      </c>
      <c r="D47" s="27">
        <f>'Пр.3 Рд,пр, ЦС,ВР 21'!F946</f>
        <v>58489.630000000005</v>
      </c>
      <c r="E47" s="27">
        <f>'Пр.3 Рд,пр, ЦС,ВР 21'!G946</f>
        <v>39335.821000000004</v>
      </c>
      <c r="F47" s="359">
        <f t="shared" si="1"/>
        <v>67.252641194686987</v>
      </c>
    </row>
    <row r="48" spans="1:6" ht="15.75" x14ac:dyDescent="0.25">
      <c r="A48" s="95" t="s">
        <v>500</v>
      </c>
      <c r="B48" s="20" t="s">
        <v>491</v>
      </c>
      <c r="C48" s="20" t="s">
        <v>234</v>
      </c>
      <c r="D48" s="27">
        <f>'Пр.3 Рд,пр, ЦС,ВР 21'!F989</f>
        <v>13010.900000000001</v>
      </c>
      <c r="E48" s="27">
        <f>'Пр.3 Рд,пр, ЦС,ВР 21'!G989</f>
        <v>9084.5859999999993</v>
      </c>
      <c r="F48" s="359">
        <f t="shared" si="1"/>
        <v>69.822886964007097</v>
      </c>
    </row>
    <row r="49" spans="1:6" ht="15.75" x14ac:dyDescent="0.25">
      <c r="A49" s="19" t="s">
        <v>582</v>
      </c>
      <c r="B49" s="24" t="s">
        <v>238</v>
      </c>
      <c r="C49" s="20"/>
      <c r="D49" s="44">
        <f t="shared" ref="D49:E49" si="10">D50</f>
        <v>5788.4</v>
      </c>
      <c r="E49" s="44">
        <f t="shared" si="10"/>
        <v>4027.6170900000002</v>
      </c>
      <c r="F49" s="357">
        <f t="shared" si="1"/>
        <v>69.580835636790823</v>
      </c>
    </row>
    <row r="50" spans="1:6" ht="15.75" x14ac:dyDescent="0.25">
      <c r="A50" s="31" t="s">
        <v>583</v>
      </c>
      <c r="B50" s="20" t="s">
        <v>238</v>
      </c>
      <c r="C50" s="20" t="s">
        <v>213</v>
      </c>
      <c r="D50" s="27">
        <f>'Пр.3 Рд,пр, ЦС,ВР 21'!F1018</f>
        <v>5788.4</v>
      </c>
      <c r="E50" s="27">
        <f>'Пр.3 Рд,пр, ЦС,ВР 21'!G1018</f>
        <v>4027.6170900000002</v>
      </c>
      <c r="F50" s="359">
        <f t="shared" si="1"/>
        <v>69.580835636790823</v>
      </c>
    </row>
    <row r="51" spans="1:6" ht="15.75" x14ac:dyDescent="0.25">
      <c r="A51" s="92" t="s">
        <v>678</v>
      </c>
      <c r="B51" s="24"/>
      <c r="C51" s="24"/>
      <c r="D51" s="44">
        <f>D10+D20+D22+D27+D32+D38+D41+D46+D49+D18</f>
        <v>963354.73499999999</v>
      </c>
      <c r="E51" s="44">
        <f t="shared" ref="E51" si="11">E10+E20+E22+E27+E32+E38+E41+E46+E49+E18</f>
        <v>634551.37690000003</v>
      </c>
      <c r="F51" s="357">
        <f t="shared" si="1"/>
        <v>65.868921784040438</v>
      </c>
    </row>
    <row r="52" spans="1:6" hidden="1" x14ac:dyDescent="0.25">
      <c r="D52" s="22">
        <f>'Пр.4 ведом.21'!G1144</f>
        <v>963354.73499999999</v>
      </c>
      <c r="E52" s="22">
        <f>'Пр.4 ведом.21'!H1144</f>
        <v>634551.37690000003</v>
      </c>
      <c r="F52" s="22">
        <f>'Пр.4 ведом.21'!I1144</f>
        <v>65.868921784040438</v>
      </c>
    </row>
    <row r="53" spans="1:6" hidden="1" x14ac:dyDescent="0.25">
      <c r="D53" s="22">
        <f t="shared" ref="D53:F53" si="12">D52-D51</f>
        <v>0</v>
      </c>
      <c r="E53" s="22">
        <f t="shared" si="12"/>
        <v>0</v>
      </c>
      <c r="F53" s="22">
        <f t="shared" si="12"/>
        <v>0</v>
      </c>
    </row>
    <row r="54" spans="1:6" hidden="1" x14ac:dyDescent="0.25">
      <c r="D54" s="22">
        <f>пр.1дох.21!C186</f>
        <v>927515.78099999996</v>
      </c>
      <c r="E54" s="22">
        <f>пр.1дох.21!D186</f>
        <v>656641.70279000001</v>
      </c>
      <c r="F54" s="22">
        <f>пр.1дох.21!E186</f>
        <v>70.795744529763425</v>
      </c>
    </row>
    <row r="55" spans="1:6" hidden="1" x14ac:dyDescent="0.25">
      <c r="D55" s="22">
        <f>D54-D51</f>
        <v>-35838.954000000027</v>
      </c>
      <c r="E55" s="22">
        <f t="shared" ref="E55:F55" si="13">E54-E51</f>
        <v>22090.325889999978</v>
      </c>
      <c r="F55" s="22">
        <f t="shared" si="13"/>
        <v>4.926822745722987</v>
      </c>
    </row>
    <row r="56" spans="1:6" x14ac:dyDescent="0.25">
      <c r="D56" s="22">
        <f>'Пр.4 ведом.21'!G1144</f>
        <v>963354.73499999999</v>
      </c>
      <c r="E56" s="22">
        <f>'Пр.4 ведом.21'!H1144</f>
        <v>634551.37690000003</v>
      </c>
      <c r="F56" s="22">
        <f>'Пр.4 ведом.21'!I1144</f>
        <v>65.868921784040438</v>
      </c>
    </row>
    <row r="57" spans="1:6" x14ac:dyDescent="0.25">
      <c r="D57" s="22">
        <f>D56-D51</f>
        <v>0</v>
      </c>
      <c r="E57" s="22">
        <f t="shared" ref="E57:F57" si="14">E56-E51</f>
        <v>0</v>
      </c>
      <c r="F57" s="22">
        <f t="shared" si="14"/>
        <v>0</v>
      </c>
    </row>
  </sheetData>
  <mergeCells count="6">
    <mergeCell ref="E1:F1"/>
    <mergeCell ref="E3:F3"/>
    <mergeCell ref="A7:F7"/>
    <mergeCell ref="E5:F5"/>
    <mergeCell ref="E4:F4"/>
    <mergeCell ref="E2:F2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E59" sqref="E59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0"/>
      <c r="C1" s="11"/>
      <c r="D1" s="554" t="s">
        <v>1523</v>
      </c>
      <c r="E1" s="554"/>
    </row>
    <row r="2" spans="1:7" ht="15.75" x14ac:dyDescent="0.25">
      <c r="A2" s="11"/>
      <c r="B2" s="200"/>
      <c r="C2" s="11"/>
      <c r="D2" s="554" t="s">
        <v>1522</v>
      </c>
      <c r="E2" s="554"/>
    </row>
    <row r="3" spans="1:7" ht="18.75" x14ac:dyDescent="0.3">
      <c r="A3" s="11"/>
      <c r="B3" s="152"/>
      <c r="C3" s="11"/>
      <c r="D3" s="554" t="s">
        <v>1521</v>
      </c>
      <c r="E3" s="554"/>
    </row>
    <row r="4" spans="1:7" ht="15.75" x14ac:dyDescent="0.25">
      <c r="A4" s="562" t="s">
        <v>1136</v>
      </c>
      <c r="B4" s="562"/>
      <c r="C4" s="562"/>
      <c r="D4" s="562"/>
      <c r="E4" s="562"/>
    </row>
    <row r="5" spans="1:7" ht="15.75" x14ac:dyDescent="0.25">
      <c r="A5" s="562" t="s">
        <v>1137</v>
      </c>
      <c r="B5" s="562"/>
      <c r="C5" s="562"/>
      <c r="D5" s="562"/>
      <c r="E5" s="562"/>
    </row>
    <row r="6" spans="1:7" ht="15.75" x14ac:dyDescent="0.25">
      <c r="A6" s="562" t="s">
        <v>1315</v>
      </c>
      <c r="B6" s="562"/>
      <c r="C6" s="562"/>
      <c r="D6" s="562"/>
      <c r="E6" s="562"/>
    </row>
    <row r="7" spans="1:7" ht="15.75" x14ac:dyDescent="0.25">
      <c r="A7" s="560"/>
      <c r="B7" s="561"/>
      <c r="C7" s="561"/>
    </row>
    <row r="8" spans="1:7" x14ac:dyDescent="0.25">
      <c r="A8" s="200"/>
      <c r="B8" s="90"/>
      <c r="C8" s="90"/>
      <c r="E8" s="355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56" t="s">
        <v>1027</v>
      </c>
      <c r="E9" s="356" t="s">
        <v>1291</v>
      </c>
    </row>
    <row r="10" spans="1:7" s="200" customFormat="1" ht="15.75" x14ac:dyDescent="0.25">
      <c r="A10" s="43" t="s">
        <v>1416</v>
      </c>
      <c r="B10" s="47"/>
      <c r="C10" s="47"/>
      <c r="D10" s="358">
        <f>('Пр.1.1. дох.22-23'!C9+'Пр.1.1. дох.22-23'!C76)*2.5%</f>
        <v>12458.06185</v>
      </c>
      <c r="E10" s="358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57">
        <f>SUM(D12:D17)</f>
        <v>136839.41</v>
      </c>
      <c r="E11" s="357">
        <f>SUM(E12:E17)</f>
        <v>123993.72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359">
        <f>'пр.5.1.рдпрцс 22-23'!F10</f>
        <v>4867.3999999999996</v>
      </c>
      <c r="E12" s="359">
        <f>'пр.5.1.рдпрцс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359">
        <f>'пр.5.1.рдпрцс 22-23'!F29</f>
        <v>5540</v>
      </c>
      <c r="E13" s="359">
        <f>'пр.5.1.рдпрцс 22-23'!G29</f>
        <v>5540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359">
        <f>'пр.5.1.рдпрцс 22-23'!F45</f>
        <v>56977.11</v>
      </c>
      <c r="E14" s="359">
        <f>'пр.5.1.рдпрцс 22-23'!G45</f>
        <v>43788.420000000006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359">
        <f>'пр.5.1.рдпрцс 22-23'!F106</f>
        <v>16636.7</v>
      </c>
      <c r="E15" s="359">
        <f>'пр.5.1.рдпрцс 22-23'!G106</f>
        <v>16636.7</v>
      </c>
    </row>
    <row r="16" spans="1:7" s="200" customFormat="1" ht="15.75" hidden="1" x14ac:dyDescent="0.25">
      <c r="A16" s="25" t="s">
        <v>1148</v>
      </c>
      <c r="B16" s="20" t="s">
        <v>118</v>
      </c>
      <c r="C16" s="20" t="s">
        <v>264</v>
      </c>
      <c r="D16" s="359">
        <f>'пр.5.1.рдпрцс 22-23'!F128</f>
        <v>0</v>
      </c>
      <c r="E16" s="359">
        <f>'пр.5.1.рдпрцс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359">
        <f>'пр.5.1.рдпрцс 22-23'!F136</f>
        <v>52818.200000000004</v>
      </c>
      <c r="E17" s="359">
        <f>'пр.5.1.рдпрцс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57">
        <f>'пр.2 Рд,пр 21'!D18</f>
        <v>0</v>
      </c>
      <c r="E18" s="357">
        <f>'пр.2 Рд,пр 21'!E18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359">
        <f>'пр.2 Рд,пр 21'!D19</f>
        <v>0</v>
      </c>
      <c r="E19" s="359">
        <f>'пр.2 Рд,пр 21'!E19</f>
        <v>0</v>
      </c>
    </row>
    <row r="20" spans="1:7" ht="31.5" x14ac:dyDescent="0.25">
      <c r="A20" s="34" t="s">
        <v>222</v>
      </c>
      <c r="B20" s="24" t="s">
        <v>215</v>
      </c>
      <c r="C20" s="24"/>
      <c r="D20" s="357">
        <f>D21</f>
        <v>8197.1</v>
      </c>
      <c r="E20" s="357">
        <f>E21</f>
        <v>8197.1</v>
      </c>
    </row>
    <row r="21" spans="1:7" ht="31.5" x14ac:dyDescent="0.25">
      <c r="A21" s="31" t="s">
        <v>1348</v>
      </c>
      <c r="B21" s="20" t="s">
        <v>215</v>
      </c>
      <c r="C21" s="20" t="s">
        <v>244</v>
      </c>
      <c r="D21" s="359">
        <f>'пр.5.1.рдпрцс 22-23'!F231</f>
        <v>8197.1</v>
      </c>
      <c r="E21" s="359">
        <f>'пр.5.1.рдпрцс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57">
        <f>SUM(D23:D26)</f>
        <v>6525.2</v>
      </c>
      <c r="E22" s="357">
        <f>SUM(E23:E26)</f>
        <v>6535.8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359">
        <f>'пр.5.1.рдпрцс 22-23'!F250</f>
        <v>274</v>
      </c>
      <c r="E23" s="359">
        <f>'пр.5.1.рдпрцс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359">
        <f>'пр.5.1.рдпрцс 22-23'!F263</f>
        <v>3258</v>
      </c>
      <c r="E24" s="359">
        <f>'пр.5.1.рдпрцс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359">
        <f>'пр.5.1.рдпрцс 22-23'!F269</f>
        <v>2319</v>
      </c>
      <c r="E25" s="359">
        <f>'пр.5.1.рдпрцс 22-23'!G269</f>
        <v>2319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359">
        <f>'пр.5.1.рдпрцс 22-23'!F283</f>
        <v>674.2</v>
      </c>
      <c r="E26" s="359">
        <f>'пр.5.1.рдпрцс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57">
        <f>SUM(D28:D31)</f>
        <v>108619.1</v>
      </c>
      <c r="E27" s="357">
        <f>SUM(E28:E31)</f>
        <v>116731.45000000001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359">
        <f>'пр.5.1.рдпрцс 22-23'!F315</f>
        <v>7057.7999999999993</v>
      </c>
      <c r="E28" s="359">
        <f>'пр.5.1.рдпрцс 22-23'!G315</f>
        <v>7057.7999999999993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359">
        <f>'пр.5.1.рдпрцс 22-23'!F329</f>
        <v>63346.8</v>
      </c>
      <c r="E29" s="359">
        <f>'пр.5.1.рдпрцс 22-23'!G329</f>
        <v>71206.150000000009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359">
        <f>'пр.5.1.рдпрцс 22-23'!F393</f>
        <v>3810</v>
      </c>
      <c r="E30" s="359">
        <f>'пр.5.1.рдпрцс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359">
        <f>'пр.5.1.рдпрцс 22-23'!F443</f>
        <v>34404.5</v>
      </c>
      <c r="E31" s="359">
        <f>'пр.5.1.рдпрцс 22-23'!G443</f>
        <v>34404.5</v>
      </c>
    </row>
    <row r="32" spans="1:7" ht="15.75" x14ac:dyDescent="0.25">
      <c r="A32" s="47" t="s">
        <v>263</v>
      </c>
      <c r="B32" s="24" t="s">
        <v>264</v>
      </c>
      <c r="C32" s="24"/>
      <c r="D32" s="357">
        <f>SUM(D33:D37)</f>
        <v>366725.80999999994</v>
      </c>
      <c r="E32" s="357">
        <f>SUM(E33:E37)</f>
        <v>389859.16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359">
        <f>'пр.5.1.рдпрцс 22-23'!F479</f>
        <v>102250.3</v>
      </c>
      <c r="E33" s="359">
        <f>'пр.5.1.рдпрцс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359">
        <f>'пр.5.1.рдпрцс 22-23'!F542</f>
        <v>177860.49999999997</v>
      </c>
      <c r="E34" s="359">
        <f>'пр.5.1.рдпрцс 22-23'!G542</f>
        <v>197324.15000000002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359">
        <f>'пр.5.1.рдпрцс 22-23'!F620</f>
        <v>60278.110000000008</v>
      </c>
      <c r="E35" s="359">
        <f>'пр.5.1.рдпрцс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359">
        <f>'пр.5.1.рдпрцс 22-23'!F689</f>
        <v>6505.1</v>
      </c>
      <c r="E36" s="359">
        <f>'пр.5.1.рдпрцс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359">
        <f>'пр.5.1.рдпрцс 22-23'!F714</f>
        <v>19831.8</v>
      </c>
      <c r="E37" s="359">
        <f>'пр.5.1.рдпрцс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57">
        <f>SUM(D39:D40)</f>
        <v>76411.28</v>
      </c>
      <c r="E38" s="357">
        <f>SUM(E39:E40)</f>
        <v>77665.48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359">
        <f>'пр.5.1.рдпрцс 22-23'!F742</f>
        <v>57844.87999999999</v>
      </c>
      <c r="E39" s="359">
        <f>'пр.5.1.рдпрцс 22-23'!G742</f>
        <v>59070.079999999994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359">
        <f>'пр.5.1.рдпрцс 22-23'!F795</f>
        <v>18566.400000000001</v>
      </c>
      <c r="E40" s="359">
        <f>'пр.5.1.рдпрцс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57">
        <f>SUM(D42:D45)</f>
        <v>18033.41</v>
      </c>
      <c r="E41" s="357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359">
        <f>'пр.5.1.рдпрцс 22-23'!F830</f>
        <v>9815.2999999999993</v>
      </c>
      <c r="E42" s="359">
        <f>'пр.5.1.рдпрцс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359">
        <f>'пр.5.1.рдпрцс 22-23'!F836</f>
        <v>2011.6100000000001</v>
      </c>
      <c r="E43" s="359">
        <f>'пр.5.1.рдпрцс 22-23'!G836</f>
        <v>2036.1100000000001</v>
      </c>
    </row>
    <row r="44" spans="1:7" s="200" customFormat="1" ht="15.75" x14ac:dyDescent="0.25">
      <c r="A44" s="25" t="s">
        <v>400</v>
      </c>
      <c r="B44" s="20" t="s">
        <v>244</v>
      </c>
      <c r="C44" s="20" t="s">
        <v>150</v>
      </c>
      <c r="D44" s="359">
        <f>'пр.5.1.рдпрцс 22-23'!F867</f>
        <v>2469.1</v>
      </c>
      <c r="E44" s="359">
        <f>'пр.5.1.рдпрцс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359">
        <f>'пр.5.1.рдпрцс 22-23'!F872</f>
        <v>3737.4</v>
      </c>
      <c r="E45" s="359">
        <f>'пр.5.1.рдпрцс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57">
        <f>SUM(D47:D48)</f>
        <v>64288</v>
      </c>
      <c r="E46" s="357">
        <f>SUM(E47:E48)</f>
        <v>64318.224000000002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359">
        <f>'пр.5.1.рдпрцс 22-23'!F886</f>
        <v>50758.799999999996</v>
      </c>
      <c r="E47" s="359">
        <f>'пр.5.1.рдпрцс 22-23'!G886</f>
        <v>50789.024000000005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359">
        <f>'пр.5.1.рдпрцс 22-23'!F923</f>
        <v>13529.2</v>
      </c>
      <c r="E48" s="359">
        <f>'пр.5.1.рдпрцс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57">
        <f>D50</f>
        <v>5873.2</v>
      </c>
      <c r="E49" s="357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359">
        <f>'пр.5.1.рдпрцс 22-23'!F952</f>
        <v>5873.2</v>
      </c>
      <c r="E50" s="359">
        <f>'пр.5.1.рдпрцс 22-23'!G952</f>
        <v>5876.2</v>
      </c>
    </row>
    <row r="51" spans="1:7" ht="15.75" x14ac:dyDescent="0.25">
      <c r="A51" s="92" t="s">
        <v>678</v>
      </c>
      <c r="B51" s="24"/>
      <c r="C51" s="24"/>
      <c r="D51" s="357">
        <f>D11+D20+D22+D27+D32+D38+D41+D46+D49+D10</f>
        <v>803970.57185000007</v>
      </c>
      <c r="E51" s="357">
        <f>E11+E20+E22+E27+E32+E38+E41+E46+E49+E10</f>
        <v>844977.02399999998</v>
      </c>
      <c r="G51" s="22"/>
    </row>
    <row r="52" spans="1:7" x14ac:dyDescent="0.25">
      <c r="D52" s="22">
        <f>'пр.5.1.рдпрцс 22-23'!F970</f>
        <v>803970.57185000007</v>
      </c>
      <c r="E52" s="22">
        <f>'пр.5.1.рдпрцс 22-23'!G970</f>
        <v>844977.02399999998</v>
      </c>
    </row>
    <row r="53" spans="1:7" hidden="1" x14ac:dyDescent="0.25">
      <c r="D53" s="22">
        <f>'Пр.1.1. дох.22-23'!C155</f>
        <v>735455.37399999995</v>
      </c>
      <c r="E53" s="22">
        <f>'Пр.1.1. дох.22-23'!D155</f>
        <v>776263.73399999994</v>
      </c>
    </row>
    <row r="54" spans="1:7" hidden="1" x14ac:dyDescent="0.25"/>
    <row r="55" spans="1:7" hidden="1" x14ac:dyDescent="0.25">
      <c r="D55" s="22">
        <f>D53-D51</f>
        <v>-68515.197850000113</v>
      </c>
      <c r="E55" s="22">
        <f>E53-E51</f>
        <v>-68713.290000000037</v>
      </c>
    </row>
    <row r="56" spans="1:7" ht="15.6" hidden="1" customHeight="1" x14ac:dyDescent="0.25">
      <c r="D56" s="22">
        <f>'пр.6.1.ведом.22-23'!G1094</f>
        <v>804315.29999999981</v>
      </c>
      <c r="E56" s="22">
        <f>'пр.6.1.ведом.22-23'!H1094</f>
        <v>845302.1</v>
      </c>
    </row>
    <row r="57" spans="1:7" hidden="1" x14ac:dyDescent="0.25"/>
    <row r="58" spans="1:7" hidden="1" x14ac:dyDescent="0.25">
      <c r="D58" s="22">
        <f>D56-D51</f>
        <v>344.72814999974798</v>
      </c>
      <c r="E58" s="22">
        <f>E56-E51</f>
        <v>325.07600000000093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65.140625" style="449" customWidth="1"/>
    <col min="2" max="2" width="7" style="449" customWidth="1"/>
    <col min="3" max="3" width="6" style="449" customWidth="1"/>
    <col min="4" max="4" width="13.7109375" style="22" customWidth="1"/>
    <col min="5" max="5" width="15.5703125" style="22" customWidth="1"/>
    <col min="6" max="16384" width="9.140625" style="449"/>
  </cols>
  <sheetData>
    <row r="1" spans="1:7" ht="15.75" x14ac:dyDescent="0.25">
      <c r="A1" s="11"/>
      <c r="C1" s="11"/>
      <c r="D1" s="554" t="s">
        <v>1523</v>
      </c>
      <c r="E1" s="554"/>
    </row>
    <row r="2" spans="1:7" ht="15.75" x14ac:dyDescent="0.25">
      <c r="A2" s="11"/>
      <c r="C2" s="11"/>
      <c r="D2" s="554" t="s">
        <v>1522</v>
      </c>
      <c r="E2" s="554"/>
    </row>
    <row r="3" spans="1:7" ht="18.75" x14ac:dyDescent="0.3">
      <c r="A3" s="11"/>
      <c r="B3" s="152"/>
      <c r="C3" s="11"/>
      <c r="D3" s="554" t="s">
        <v>1521</v>
      </c>
      <c r="E3" s="554"/>
    </row>
    <row r="4" spans="1:7" ht="15.75" x14ac:dyDescent="0.25">
      <c r="A4" s="562" t="s">
        <v>1136</v>
      </c>
      <c r="B4" s="562"/>
      <c r="C4" s="562"/>
      <c r="D4" s="562"/>
      <c r="E4" s="562"/>
    </row>
    <row r="5" spans="1:7" ht="15.75" x14ac:dyDescent="0.25">
      <c r="A5" s="562" t="s">
        <v>1137</v>
      </c>
      <c r="B5" s="562"/>
      <c r="C5" s="562"/>
      <c r="D5" s="562"/>
      <c r="E5" s="562"/>
    </row>
    <row r="6" spans="1:7" ht="15.75" x14ac:dyDescent="0.25">
      <c r="A6" s="562" t="s">
        <v>1315</v>
      </c>
      <c r="B6" s="562"/>
      <c r="C6" s="562"/>
      <c r="D6" s="562"/>
      <c r="E6" s="562"/>
    </row>
    <row r="7" spans="1:7" ht="15.75" x14ac:dyDescent="0.25">
      <c r="A7" s="560"/>
      <c r="B7" s="561"/>
      <c r="C7" s="561"/>
    </row>
    <row r="8" spans="1:7" x14ac:dyDescent="0.25">
      <c r="B8" s="90"/>
      <c r="C8" s="90"/>
      <c r="E8" s="355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56" t="s">
        <v>1027</v>
      </c>
      <c r="E9" s="356" t="s">
        <v>1291</v>
      </c>
    </row>
    <row r="10" spans="1:7" ht="15.75" x14ac:dyDescent="0.25">
      <c r="A10" s="43" t="s">
        <v>1416</v>
      </c>
      <c r="B10" s="47"/>
      <c r="C10" s="47"/>
      <c r="D10" s="358">
        <f>('Пр.1.1. дох.22-23 (2)'!C9+'Пр.1.1. дох.22-23 (2)'!C76)*2.5%</f>
        <v>12478.692500000001</v>
      </c>
      <c r="E10" s="358">
        <v>25451.88</v>
      </c>
    </row>
    <row r="11" spans="1:7" ht="15.75" x14ac:dyDescent="0.25">
      <c r="A11" s="47" t="s">
        <v>117</v>
      </c>
      <c r="B11" s="457" t="s">
        <v>118</v>
      </c>
      <c r="C11" s="92"/>
      <c r="D11" s="357">
        <f>SUM(D12:D17)</f>
        <v>136787.41</v>
      </c>
      <c r="E11" s="357">
        <f>SUM(E12:E17)</f>
        <v>123941.72</v>
      </c>
      <c r="G11" s="22"/>
    </row>
    <row r="12" spans="1:7" ht="31.5" x14ac:dyDescent="0.25">
      <c r="A12" s="31" t="s">
        <v>575</v>
      </c>
      <c r="B12" s="454" t="s">
        <v>118</v>
      </c>
      <c r="C12" s="454" t="s">
        <v>213</v>
      </c>
      <c r="D12" s="359">
        <f>'пр.5.1.рдпрцс 22-23 (2)'!F10</f>
        <v>4867.3999999999996</v>
      </c>
      <c r="E12" s="359">
        <f>'пр.5.1.рдпрцс 22-23 (2)'!G10</f>
        <v>4867.3999999999996</v>
      </c>
    </row>
    <row r="13" spans="1:7" ht="47.25" x14ac:dyDescent="0.25">
      <c r="A13" s="31" t="s">
        <v>578</v>
      </c>
      <c r="B13" s="454" t="s">
        <v>118</v>
      </c>
      <c r="C13" s="454" t="s">
        <v>215</v>
      </c>
      <c r="D13" s="359">
        <f>'пр.5.1.рдпрцс 22-23 (2)'!F29</f>
        <v>5488</v>
      </c>
      <c r="E13" s="359">
        <f>'пр.5.1.рдпрцс 22-23 (2)'!G29</f>
        <v>5488</v>
      </c>
    </row>
    <row r="14" spans="1:7" ht="47.25" x14ac:dyDescent="0.25">
      <c r="A14" s="458" t="s">
        <v>149</v>
      </c>
      <c r="B14" s="454" t="s">
        <v>118</v>
      </c>
      <c r="C14" s="454" t="s">
        <v>150</v>
      </c>
      <c r="D14" s="359">
        <f>'пр.5.1.рдпрцс 22-23 (2)'!F45</f>
        <v>56977.11</v>
      </c>
      <c r="E14" s="359">
        <f>'пр.5.1.рдпрцс 22-23 (2)'!G45</f>
        <v>43788.420000000006</v>
      </c>
    </row>
    <row r="15" spans="1:7" ht="47.25" x14ac:dyDescent="0.25">
      <c r="A15" s="458" t="s">
        <v>119</v>
      </c>
      <c r="B15" s="454" t="s">
        <v>118</v>
      </c>
      <c r="C15" s="454" t="s">
        <v>120</v>
      </c>
      <c r="D15" s="359">
        <f>'пр.5.1.рдпрцс 22-23 (2)'!F106</f>
        <v>16636.7</v>
      </c>
      <c r="E15" s="359">
        <f>'пр.5.1.рдпрцс 22-23 (2)'!G106</f>
        <v>16636.7</v>
      </c>
    </row>
    <row r="16" spans="1:7" ht="15.75" hidden="1" x14ac:dyDescent="0.25">
      <c r="A16" s="458" t="s">
        <v>1148</v>
      </c>
      <c r="B16" s="454" t="s">
        <v>118</v>
      </c>
      <c r="C16" s="454" t="s">
        <v>264</v>
      </c>
      <c r="D16" s="359">
        <f>'пр.5.1.рдпрцс 22-23 (2)'!F128</f>
        <v>0</v>
      </c>
      <c r="E16" s="359">
        <f>'пр.5.1.рдпрцс 22-23 (2)'!G128</f>
        <v>0</v>
      </c>
    </row>
    <row r="17" spans="1:7" ht="15.75" x14ac:dyDescent="0.25">
      <c r="A17" s="93" t="s">
        <v>139</v>
      </c>
      <c r="B17" s="454" t="s">
        <v>118</v>
      </c>
      <c r="C17" s="454" t="s">
        <v>140</v>
      </c>
      <c r="D17" s="359">
        <f>'пр.5.1.рдпрцс 22-23 (2)'!F136</f>
        <v>52818.200000000004</v>
      </c>
      <c r="E17" s="359">
        <f>'пр.5.1.рдпрцс 22-23 (2)'!G136</f>
        <v>53161.200000000004</v>
      </c>
    </row>
    <row r="18" spans="1:7" ht="15.75" hidden="1" x14ac:dyDescent="0.25">
      <c r="A18" s="453" t="s">
        <v>212</v>
      </c>
      <c r="B18" s="457" t="s">
        <v>213</v>
      </c>
      <c r="C18" s="454"/>
      <c r="D18" s="357">
        <f>'[1]пр.3 Рд,пр 21'!D18</f>
        <v>0</v>
      </c>
      <c r="E18" s="357">
        <f>'[1]пр.3 Рд,пр 21'!E18</f>
        <v>0</v>
      </c>
    </row>
    <row r="19" spans="1:7" ht="15.75" hidden="1" x14ac:dyDescent="0.25">
      <c r="A19" s="458" t="s">
        <v>218</v>
      </c>
      <c r="B19" s="454" t="s">
        <v>213</v>
      </c>
      <c r="C19" s="454" t="s">
        <v>219</v>
      </c>
      <c r="D19" s="359">
        <f>'[1]пр.3 Рд,пр 21'!D19</f>
        <v>0</v>
      </c>
      <c r="E19" s="359">
        <f>'[1]пр.3 Рд,пр 21'!E19</f>
        <v>0</v>
      </c>
    </row>
    <row r="20" spans="1:7" ht="31.5" x14ac:dyDescent="0.25">
      <c r="A20" s="34" t="s">
        <v>222</v>
      </c>
      <c r="B20" s="457" t="s">
        <v>215</v>
      </c>
      <c r="C20" s="457"/>
      <c r="D20" s="357">
        <f>D21</f>
        <v>8197.1</v>
      </c>
      <c r="E20" s="357">
        <f>E21</f>
        <v>8197.1</v>
      </c>
    </row>
    <row r="21" spans="1:7" ht="31.5" x14ac:dyDescent="0.25">
      <c r="A21" s="31" t="s">
        <v>1348</v>
      </c>
      <c r="B21" s="454" t="s">
        <v>215</v>
      </c>
      <c r="C21" s="454" t="s">
        <v>244</v>
      </c>
      <c r="D21" s="359">
        <f>'пр.5.1.рдпрцс 22-23 (2)'!F231</f>
        <v>8197.1</v>
      </c>
      <c r="E21" s="359">
        <f>'пр.5.1.рдпрцс 22-23 (2)'!G231</f>
        <v>8197.1</v>
      </c>
    </row>
    <row r="22" spans="1:7" ht="15.75" x14ac:dyDescent="0.25">
      <c r="A22" s="47" t="s">
        <v>232</v>
      </c>
      <c r="B22" s="457" t="s">
        <v>150</v>
      </c>
      <c r="C22" s="457"/>
      <c r="D22" s="357">
        <f>SUM(D23:D26)</f>
        <v>6525.2</v>
      </c>
      <c r="E22" s="357">
        <f>SUM(E23:E26)</f>
        <v>6535.8</v>
      </c>
    </row>
    <row r="23" spans="1:7" ht="15.75" x14ac:dyDescent="0.25">
      <c r="A23" s="94" t="s">
        <v>233</v>
      </c>
      <c r="B23" s="454" t="s">
        <v>150</v>
      </c>
      <c r="C23" s="454" t="s">
        <v>234</v>
      </c>
      <c r="D23" s="359">
        <f>'пр.5.1.рдпрцс 22-23 (2)'!F250</f>
        <v>274</v>
      </c>
      <c r="E23" s="359">
        <f>'пр.5.1.рдпрцс 22-23 (2)'!G250</f>
        <v>274</v>
      </c>
    </row>
    <row r="24" spans="1:7" ht="15.75" x14ac:dyDescent="0.25">
      <c r="A24" s="93" t="s">
        <v>505</v>
      </c>
      <c r="B24" s="454" t="s">
        <v>150</v>
      </c>
      <c r="C24" s="454" t="s">
        <v>299</v>
      </c>
      <c r="D24" s="359">
        <f>'пр.5.1.рдпрцс 22-23 (2)'!F263</f>
        <v>3258</v>
      </c>
      <c r="E24" s="359">
        <f>'пр.5.1.рдпрцс 22-23 (2)'!G263</f>
        <v>3258</v>
      </c>
    </row>
    <row r="25" spans="1:7" ht="15.75" x14ac:dyDescent="0.25">
      <c r="A25" s="93" t="s">
        <v>508</v>
      </c>
      <c r="B25" s="454" t="s">
        <v>150</v>
      </c>
      <c r="C25" s="454" t="s">
        <v>219</v>
      </c>
      <c r="D25" s="359">
        <f>'пр.5.1.рдпрцс 22-23 (2)'!F269</f>
        <v>2319</v>
      </c>
      <c r="E25" s="359">
        <f>'пр.5.1.рдпрцс 22-23 (2)'!G269</f>
        <v>2319</v>
      </c>
    </row>
    <row r="26" spans="1:7" ht="15.75" x14ac:dyDescent="0.25">
      <c r="A26" s="95" t="s">
        <v>237</v>
      </c>
      <c r="B26" s="454" t="s">
        <v>150</v>
      </c>
      <c r="C26" s="454" t="s">
        <v>238</v>
      </c>
      <c r="D26" s="359">
        <f>'пр.5.1.рдпрцс 22-23 (2)'!F283</f>
        <v>674.2</v>
      </c>
      <c r="E26" s="359">
        <f>'пр.5.1.рдпрцс 22-23 (2)'!G283</f>
        <v>684.8</v>
      </c>
    </row>
    <row r="27" spans="1:7" ht="15.75" x14ac:dyDescent="0.25">
      <c r="A27" s="47" t="s">
        <v>390</v>
      </c>
      <c r="B27" s="457" t="s">
        <v>234</v>
      </c>
      <c r="C27" s="457"/>
      <c r="D27" s="357">
        <f>SUM(D28:D31)</f>
        <v>41786.1</v>
      </c>
      <c r="E27" s="357">
        <f>SUM(E28:E31)</f>
        <v>49898.45</v>
      </c>
    </row>
    <row r="28" spans="1:7" ht="15.75" x14ac:dyDescent="0.25">
      <c r="A28" s="94" t="s">
        <v>391</v>
      </c>
      <c r="B28" s="454" t="s">
        <v>234</v>
      </c>
      <c r="C28" s="454" t="s">
        <v>118</v>
      </c>
      <c r="D28" s="359">
        <f>'пр.5.1.рдпрцс 22-23 (2)'!F315</f>
        <v>6060.4</v>
      </c>
      <c r="E28" s="359">
        <f>'пр.5.1.рдпрцс 22-23 (2)'!G315</f>
        <v>6060.4</v>
      </c>
    </row>
    <row r="29" spans="1:7" ht="15.75" x14ac:dyDescent="0.25">
      <c r="A29" s="94" t="s">
        <v>517</v>
      </c>
      <c r="B29" s="454" t="s">
        <v>234</v>
      </c>
      <c r="C29" s="454" t="s">
        <v>213</v>
      </c>
      <c r="D29" s="359">
        <f>'пр.5.1.рдпрцс 22-23 (2)'!F329</f>
        <v>6611.199999999998</v>
      </c>
      <c r="E29" s="359">
        <f>'пр.5.1.рдпрцс 22-23 (2)'!G329</f>
        <v>14470.550000000001</v>
      </c>
    </row>
    <row r="30" spans="1:7" ht="15.75" x14ac:dyDescent="0.25">
      <c r="A30" s="93" t="s">
        <v>541</v>
      </c>
      <c r="B30" s="454" t="s">
        <v>234</v>
      </c>
      <c r="C30" s="454" t="s">
        <v>215</v>
      </c>
      <c r="D30" s="359">
        <f>'пр.5.1.рдпрцс 22-23 (2)'!F393</f>
        <v>3810</v>
      </c>
      <c r="E30" s="359">
        <f>'пр.5.1.рдпрцс 22-23 (2)'!G393</f>
        <v>4063</v>
      </c>
    </row>
    <row r="31" spans="1:7" ht="15.75" x14ac:dyDescent="0.25">
      <c r="A31" s="458" t="s">
        <v>569</v>
      </c>
      <c r="B31" s="454" t="s">
        <v>234</v>
      </c>
      <c r="C31" s="454" t="s">
        <v>234</v>
      </c>
      <c r="D31" s="359">
        <f>'пр.5.1.рдпрцс 22-23 (2)'!F443</f>
        <v>25304.5</v>
      </c>
      <c r="E31" s="359">
        <f>'пр.5.1.рдпрцс 22-23 (2)'!G443</f>
        <v>25304.5</v>
      </c>
    </row>
    <row r="32" spans="1:7" ht="15.75" x14ac:dyDescent="0.25">
      <c r="A32" s="47" t="s">
        <v>263</v>
      </c>
      <c r="B32" s="457" t="s">
        <v>264</v>
      </c>
      <c r="C32" s="457"/>
      <c r="D32" s="357">
        <f>SUM(D33:D37)</f>
        <v>366206.80999999994</v>
      </c>
      <c r="E32" s="357">
        <f>SUM(E33:E37)</f>
        <v>389340.15999999997</v>
      </c>
      <c r="G32" s="22"/>
    </row>
    <row r="33" spans="1:7" ht="15.75" x14ac:dyDescent="0.25">
      <c r="A33" s="93" t="s">
        <v>404</v>
      </c>
      <c r="B33" s="454" t="s">
        <v>264</v>
      </c>
      <c r="C33" s="454" t="s">
        <v>118</v>
      </c>
      <c r="D33" s="359">
        <f>'пр.5.1.рдпрцс 22-23 (2)'!F479</f>
        <v>102250.3</v>
      </c>
      <c r="E33" s="359">
        <f>'пр.5.1.рдпрцс 22-23 (2)'!G479</f>
        <v>105829.20000000001</v>
      </c>
    </row>
    <row r="34" spans="1:7" ht="15.75" x14ac:dyDescent="0.25">
      <c r="A34" s="93" t="s">
        <v>425</v>
      </c>
      <c r="B34" s="454" t="s">
        <v>264</v>
      </c>
      <c r="C34" s="454" t="s">
        <v>213</v>
      </c>
      <c r="D34" s="359">
        <f>'пр.5.1.рдпрцс 22-23 (2)'!F542</f>
        <v>177341.49999999997</v>
      </c>
      <c r="E34" s="359">
        <f>'пр.5.1.рдпрцс 22-23 (2)'!G542</f>
        <v>196805.15000000002</v>
      </c>
    </row>
    <row r="35" spans="1:7" ht="15.75" x14ac:dyDescent="0.25">
      <c r="A35" s="93" t="s">
        <v>265</v>
      </c>
      <c r="B35" s="454" t="s">
        <v>264</v>
      </c>
      <c r="C35" s="454" t="s">
        <v>215</v>
      </c>
      <c r="D35" s="359">
        <f>'пр.5.1.рдпрцс 22-23 (2)'!F620</f>
        <v>60278.110000000008</v>
      </c>
      <c r="E35" s="359">
        <f>'пр.5.1.рдпрцс 22-23 (2)'!G620</f>
        <v>60303.91</v>
      </c>
    </row>
    <row r="36" spans="1:7" ht="15.75" x14ac:dyDescent="0.25">
      <c r="A36" s="93" t="s">
        <v>466</v>
      </c>
      <c r="B36" s="454" t="s">
        <v>264</v>
      </c>
      <c r="C36" s="454" t="s">
        <v>264</v>
      </c>
      <c r="D36" s="359">
        <f>'пр.5.1.рдпрцс 22-23 (2)'!F689</f>
        <v>6505.1</v>
      </c>
      <c r="E36" s="359">
        <f>'пр.5.1.рдпрцс 22-23 (2)'!G689</f>
        <v>6570.1</v>
      </c>
    </row>
    <row r="37" spans="1:7" ht="15.75" x14ac:dyDescent="0.25">
      <c r="A37" s="93" t="s">
        <v>295</v>
      </c>
      <c r="B37" s="454" t="s">
        <v>264</v>
      </c>
      <c r="C37" s="454" t="s">
        <v>219</v>
      </c>
      <c r="D37" s="359">
        <f>'пр.5.1.рдпрцс 22-23 (2)'!F714</f>
        <v>19831.8</v>
      </c>
      <c r="E37" s="359">
        <f>'пр.5.1.рдпрцс 22-23 (2)'!G714</f>
        <v>19831.8</v>
      </c>
    </row>
    <row r="38" spans="1:7" ht="15.75" x14ac:dyDescent="0.25">
      <c r="A38" s="96" t="s">
        <v>298</v>
      </c>
      <c r="B38" s="457" t="s">
        <v>299</v>
      </c>
      <c r="C38" s="454"/>
      <c r="D38" s="357">
        <f>SUM(D39:D40)</f>
        <v>76411.28</v>
      </c>
      <c r="E38" s="357">
        <f>SUM(E39:E40)</f>
        <v>77665.48</v>
      </c>
    </row>
    <row r="39" spans="1:7" ht="15.75" x14ac:dyDescent="0.25">
      <c r="A39" s="95" t="s">
        <v>300</v>
      </c>
      <c r="B39" s="454" t="s">
        <v>299</v>
      </c>
      <c r="C39" s="454" t="s">
        <v>118</v>
      </c>
      <c r="D39" s="359">
        <f>'пр.5.1.рдпрцс 22-23 (2)'!F742</f>
        <v>57844.87999999999</v>
      </c>
      <c r="E39" s="359">
        <f>'пр.5.1.рдпрцс 22-23 (2)'!G742</f>
        <v>59070.079999999994</v>
      </c>
    </row>
    <row r="40" spans="1:7" ht="15.75" x14ac:dyDescent="0.25">
      <c r="A40" s="95" t="s">
        <v>333</v>
      </c>
      <c r="B40" s="454" t="s">
        <v>299</v>
      </c>
      <c r="C40" s="454" t="s">
        <v>150</v>
      </c>
      <c r="D40" s="359">
        <f>'пр.5.1.рдпрцс 22-23 (2)'!F795</f>
        <v>18566.400000000001</v>
      </c>
      <c r="E40" s="359">
        <f>'пр.5.1.рдпрцс 22-23 (2)'!G795</f>
        <v>18595.400000000001</v>
      </c>
    </row>
    <row r="41" spans="1:7" ht="15.75" x14ac:dyDescent="0.25">
      <c r="A41" s="47" t="s">
        <v>243</v>
      </c>
      <c r="B41" s="457" t="s">
        <v>244</v>
      </c>
      <c r="C41" s="457"/>
      <c r="D41" s="357">
        <f>SUM(D42:D45)</f>
        <v>18033.41</v>
      </c>
      <c r="E41" s="357">
        <f>SUM(E42:E45)</f>
        <v>26348.010000000002</v>
      </c>
      <c r="G41" s="22"/>
    </row>
    <row r="42" spans="1:7" ht="15.75" x14ac:dyDescent="0.25">
      <c r="A42" s="93" t="s">
        <v>245</v>
      </c>
      <c r="B42" s="454" t="s">
        <v>244</v>
      </c>
      <c r="C42" s="454" t="s">
        <v>118</v>
      </c>
      <c r="D42" s="359">
        <f>'пр.5.1.рдпрцс 22-23 (2)'!F830</f>
        <v>9815.2999999999993</v>
      </c>
      <c r="E42" s="359">
        <f>'пр.5.1.рдпрцс 22-23 (2)'!G830</f>
        <v>9815.2999999999993</v>
      </c>
    </row>
    <row r="43" spans="1:7" ht="15.75" x14ac:dyDescent="0.25">
      <c r="A43" s="458" t="s">
        <v>252</v>
      </c>
      <c r="B43" s="454" t="s">
        <v>244</v>
      </c>
      <c r="C43" s="454" t="s">
        <v>215</v>
      </c>
      <c r="D43" s="359">
        <f>'пр.5.1.рдпрцс 22-23 (2)'!F836</f>
        <v>2011.6100000000001</v>
      </c>
      <c r="E43" s="359">
        <f>'пр.5.1.рдпрцс 22-23 (2)'!G836</f>
        <v>2036.1100000000001</v>
      </c>
    </row>
    <row r="44" spans="1:7" ht="15.75" x14ac:dyDescent="0.25">
      <c r="A44" s="458" t="s">
        <v>400</v>
      </c>
      <c r="B44" s="454" t="s">
        <v>244</v>
      </c>
      <c r="C44" s="454" t="s">
        <v>150</v>
      </c>
      <c r="D44" s="359">
        <f>'пр.5.1.рдпрцс 22-23 (2)'!F867</f>
        <v>2469.1</v>
      </c>
      <c r="E44" s="359">
        <f>'пр.5.1.рдпрцс 22-23 (2)'!G867</f>
        <v>10803.2</v>
      </c>
    </row>
    <row r="45" spans="1:7" ht="15.75" x14ac:dyDescent="0.25">
      <c r="A45" s="458" t="s">
        <v>258</v>
      </c>
      <c r="B45" s="454" t="s">
        <v>244</v>
      </c>
      <c r="C45" s="454" t="s">
        <v>120</v>
      </c>
      <c r="D45" s="359">
        <f>'пр.5.1.рдпрцс 22-23 (2)'!F872</f>
        <v>3737.4</v>
      </c>
      <c r="E45" s="359">
        <f>'пр.5.1.рдпрцс 22-23 (2)'!G872</f>
        <v>3693.4</v>
      </c>
    </row>
    <row r="46" spans="1:7" ht="15.75" x14ac:dyDescent="0.25">
      <c r="A46" s="96" t="s">
        <v>490</v>
      </c>
      <c r="B46" s="457" t="s">
        <v>491</v>
      </c>
      <c r="C46" s="454"/>
      <c r="D46" s="357">
        <f>SUM(D47:D48)</f>
        <v>63981.399999999994</v>
      </c>
      <c r="E46" s="357">
        <f>SUM(E47:E48)</f>
        <v>64012.600000000006</v>
      </c>
      <c r="G46" s="22"/>
    </row>
    <row r="47" spans="1:7" ht="15.75" x14ac:dyDescent="0.25">
      <c r="A47" s="95" t="s">
        <v>492</v>
      </c>
      <c r="B47" s="454" t="s">
        <v>491</v>
      </c>
      <c r="C47" s="454" t="s">
        <v>118</v>
      </c>
      <c r="D47" s="359">
        <f>'пр.5.1.рдпрцс 22-23 (2)'!F886</f>
        <v>50452.2</v>
      </c>
      <c r="E47" s="359">
        <f>'пр.5.1.рдпрцс 22-23 (2)'!G886</f>
        <v>50483.4</v>
      </c>
    </row>
    <row r="48" spans="1:7" ht="15.75" x14ac:dyDescent="0.25">
      <c r="A48" s="95" t="s">
        <v>500</v>
      </c>
      <c r="B48" s="454" t="s">
        <v>491</v>
      </c>
      <c r="C48" s="454" t="s">
        <v>234</v>
      </c>
      <c r="D48" s="359">
        <f>'пр.5.1.рдпрцс 22-23 (2)'!F923</f>
        <v>13529.2</v>
      </c>
      <c r="E48" s="359">
        <f>'пр.5.1.рдпрцс 22-23 (2)'!G923</f>
        <v>13529.2</v>
      </c>
    </row>
    <row r="49" spans="1:7" ht="15.75" x14ac:dyDescent="0.25">
      <c r="A49" s="453" t="s">
        <v>582</v>
      </c>
      <c r="B49" s="457" t="s">
        <v>238</v>
      </c>
      <c r="C49" s="454"/>
      <c r="D49" s="357">
        <f>D50</f>
        <v>5873.2</v>
      </c>
      <c r="E49" s="357">
        <f>E50</f>
        <v>5876.2</v>
      </c>
    </row>
    <row r="50" spans="1:7" ht="15.75" x14ac:dyDescent="0.25">
      <c r="A50" s="31" t="s">
        <v>583</v>
      </c>
      <c r="B50" s="454" t="s">
        <v>238</v>
      </c>
      <c r="C50" s="454" t="s">
        <v>213</v>
      </c>
      <c r="D50" s="359">
        <f>'пр.5.1.рдпрцс 22-23 (2)'!F952</f>
        <v>5873.2</v>
      </c>
      <c r="E50" s="359">
        <f>'пр.5.1.рдпрцс 22-23 (2)'!G952</f>
        <v>5876.2</v>
      </c>
    </row>
    <row r="51" spans="1:7" ht="15.75" x14ac:dyDescent="0.25">
      <c r="A51" s="92" t="s">
        <v>678</v>
      </c>
      <c r="B51" s="457"/>
      <c r="C51" s="457"/>
      <c r="D51" s="357">
        <f>D11+D20+D22+D27+D32+D38+D41+D46+D49+D10</f>
        <v>736280.60250000004</v>
      </c>
      <c r="E51" s="357">
        <f>E11+E20+E22+E27+E32+E38+E41+E46+E49+E10</f>
        <v>777267.39999999991</v>
      </c>
      <c r="G51" s="22"/>
    </row>
    <row r="52" spans="1:7" x14ac:dyDescent="0.25">
      <c r="D52" s="22">
        <f>'пр.5.1.рдпрцс 22-23 (2)'!F970</f>
        <v>736280.60250000004</v>
      </c>
      <c r="E52" s="22">
        <f>'пр.5.1.рдпрцс 22-23 (2)'!G970</f>
        <v>777267.39999999991</v>
      </c>
    </row>
    <row r="53" spans="1:7" hidden="1" x14ac:dyDescent="0.25">
      <c r="D53" s="22">
        <f>'Пр.1.1. дох.22-23 (2)'!C155</f>
        <v>736280.6</v>
      </c>
      <c r="E53" s="22">
        <f>'Пр.1.1. дох.22-23 (2)'!D155</f>
        <v>777267.39999999991</v>
      </c>
    </row>
    <row r="54" spans="1:7" hidden="1" x14ac:dyDescent="0.25"/>
    <row r="55" spans="1:7" hidden="1" x14ac:dyDescent="0.25">
      <c r="D55" s="22">
        <f>D53-D51</f>
        <v>-2.5000000605359674E-3</v>
      </c>
      <c r="E55" s="22">
        <f>E53-E51</f>
        <v>0</v>
      </c>
    </row>
    <row r="56" spans="1:7" ht="15.6" hidden="1" customHeight="1" x14ac:dyDescent="0.25">
      <c r="D56" s="22">
        <f>'пр.6.1.ведом.22-23 (2)'!G1094</f>
        <v>736280.59999999986</v>
      </c>
      <c r="E56" s="22">
        <f>'пр.6.1.ведом.22-23 (2)'!H1094</f>
        <v>777267.39999999991</v>
      </c>
    </row>
    <row r="57" spans="1:7" hidden="1" x14ac:dyDescent="0.25"/>
    <row r="58" spans="1:7" hidden="1" x14ac:dyDescent="0.25">
      <c r="D58" s="22">
        <f>D56-D51</f>
        <v>-2.5000001769512892E-3</v>
      </c>
      <c r="E58" s="22">
        <f>E56-E51</f>
        <v>0</v>
      </c>
    </row>
  </sheetData>
  <mergeCells count="7">
    <mergeCell ref="A7:C7"/>
    <mergeCell ref="D1:E1"/>
    <mergeCell ref="D2:E2"/>
    <mergeCell ref="D3:E3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8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5.140625" style="201" customWidth="1"/>
    <col min="2" max="2" width="5.85546875" style="201" customWidth="1"/>
    <col min="3" max="3" width="5.42578125" style="201" customWidth="1"/>
    <col min="4" max="4" width="15.85546875" style="201" customWidth="1"/>
    <col min="5" max="5" width="7.140625" style="201" customWidth="1"/>
    <col min="6" max="8" width="14.28515625" style="115" customWidth="1"/>
    <col min="9" max="10" width="8.85546875" customWidth="1"/>
    <col min="11" max="12" width="9.85546875" bestFit="1" customWidth="1"/>
  </cols>
  <sheetData>
    <row r="1" spans="1:12" ht="15.75" x14ac:dyDescent="0.25">
      <c r="A1" s="56"/>
      <c r="B1" s="56"/>
      <c r="C1" s="56"/>
      <c r="E1" s="515"/>
      <c r="F1" s="195"/>
      <c r="G1" s="582" t="s">
        <v>1643</v>
      </c>
      <c r="H1" s="582"/>
    </row>
    <row r="2" spans="1:12" ht="15.75" x14ac:dyDescent="0.25">
      <c r="A2" s="56"/>
      <c r="B2" s="56"/>
      <c r="C2" s="56"/>
      <c r="E2" s="515"/>
      <c r="F2" s="515"/>
      <c r="G2" s="583" t="s">
        <v>1809</v>
      </c>
      <c r="H2" s="583"/>
    </row>
    <row r="3" spans="1:12" ht="18.75" customHeight="1" x14ac:dyDescent="0.25">
      <c r="A3" s="56"/>
      <c r="B3" s="56"/>
      <c r="C3" s="56"/>
      <c r="E3" s="515"/>
      <c r="F3" s="434"/>
      <c r="G3" s="583" t="s">
        <v>1813</v>
      </c>
      <c r="H3" s="583"/>
    </row>
    <row r="4" spans="1:12" s="449" customFormat="1" ht="18.75" customHeight="1" x14ac:dyDescent="0.25">
      <c r="A4" s="56"/>
      <c r="B4" s="56"/>
      <c r="C4" s="56"/>
      <c r="D4" s="201"/>
      <c r="E4" s="515"/>
      <c r="F4" s="434"/>
      <c r="G4" s="583" t="s">
        <v>1807</v>
      </c>
      <c r="H4" s="583"/>
    </row>
    <row r="5" spans="1:12" s="449" customFormat="1" ht="18.75" customHeight="1" x14ac:dyDescent="0.25">
      <c r="A5" s="56"/>
      <c r="B5" s="56"/>
      <c r="C5" s="56"/>
      <c r="D5" s="201"/>
      <c r="E5" s="515"/>
      <c r="F5" s="434"/>
      <c r="G5" s="583" t="s">
        <v>1812</v>
      </c>
      <c r="H5" s="583"/>
    </row>
    <row r="6" spans="1:12" x14ac:dyDescent="0.25">
      <c r="A6" s="56"/>
      <c r="B6" s="56"/>
      <c r="C6" s="56"/>
      <c r="D6" s="56"/>
      <c r="E6" s="56"/>
    </row>
    <row r="7" spans="1:12" ht="63.75" customHeight="1" x14ac:dyDescent="0.25">
      <c r="A7" s="563" t="s">
        <v>1814</v>
      </c>
      <c r="B7" s="563"/>
      <c r="C7" s="563"/>
      <c r="D7" s="563"/>
      <c r="E7" s="563"/>
      <c r="F7" s="563"/>
      <c r="G7" s="563"/>
      <c r="H7" s="563"/>
    </row>
    <row r="8" spans="1:12" x14ac:dyDescent="0.25">
      <c r="A8" s="56"/>
      <c r="B8" s="56"/>
      <c r="C8" s="56"/>
      <c r="D8" s="56"/>
      <c r="E8" s="56"/>
      <c r="F8" s="268"/>
      <c r="G8" s="268"/>
      <c r="H8" s="268"/>
    </row>
    <row r="9" spans="1:12" ht="57" customHeight="1" x14ac:dyDescent="0.25">
      <c r="A9" s="221" t="s">
        <v>592</v>
      </c>
      <c r="B9" s="222" t="s">
        <v>112</v>
      </c>
      <c r="C9" s="222" t="s">
        <v>113</v>
      </c>
      <c r="D9" s="222" t="s">
        <v>114</v>
      </c>
      <c r="E9" s="222" t="s">
        <v>115</v>
      </c>
      <c r="F9" s="366" t="s">
        <v>1771</v>
      </c>
      <c r="G9" s="366" t="s">
        <v>1772</v>
      </c>
      <c r="H9" s="366" t="s">
        <v>1773</v>
      </c>
    </row>
    <row r="10" spans="1:12" ht="15.75" x14ac:dyDescent="0.25">
      <c r="A10" s="462" t="s">
        <v>117</v>
      </c>
      <c r="B10" s="7" t="s">
        <v>118</v>
      </c>
      <c r="C10" s="7"/>
      <c r="D10" s="7"/>
      <c r="E10" s="7"/>
      <c r="F10" s="450">
        <f>F11+F27+F43+F104+F140+F126+F134</f>
        <v>169648.56</v>
      </c>
      <c r="G10" s="450">
        <f t="shared" ref="G10" si="0">G11+G27+G43+G104+G140+G126+G134</f>
        <v>117053.17253000001</v>
      </c>
      <c r="H10" s="450">
        <f>G10/F10*100</f>
        <v>68.997445383562351</v>
      </c>
      <c r="K10" s="227">
        <f>F10-F61-'Пр.4 ведом.21'!L1148-'Пр.4 ведом.21'!Y1158</f>
        <v>165661.16</v>
      </c>
      <c r="L10" s="227">
        <f>F24+F61+F101+F207-'Пр.4 ведом.21'!L1147-'Пр.4 ведом.21'!Y1157</f>
        <v>3987.9</v>
      </c>
    </row>
    <row r="11" spans="1:12" ht="47.25" x14ac:dyDescent="0.25">
      <c r="A11" s="462" t="s">
        <v>575</v>
      </c>
      <c r="B11" s="7" t="s">
        <v>118</v>
      </c>
      <c r="C11" s="7" t="s">
        <v>213</v>
      </c>
      <c r="D11" s="7"/>
      <c r="E11" s="7"/>
      <c r="F11" s="450">
        <f>F12+F22</f>
        <v>4828.54</v>
      </c>
      <c r="G11" s="450">
        <f t="shared" ref="G11" si="1">G12+G22</f>
        <v>3939.4849999999997</v>
      </c>
      <c r="H11" s="450">
        <f t="shared" ref="H11:H74" si="2">G11/F11*100</f>
        <v>81.587498498510939</v>
      </c>
    </row>
    <row r="12" spans="1:12" ht="31.5" x14ac:dyDescent="0.25">
      <c r="A12" s="456" t="s">
        <v>917</v>
      </c>
      <c r="B12" s="7" t="s">
        <v>118</v>
      </c>
      <c r="C12" s="7" t="s">
        <v>213</v>
      </c>
      <c r="D12" s="7" t="s">
        <v>858</v>
      </c>
      <c r="E12" s="7"/>
      <c r="F12" s="450">
        <f>F13</f>
        <v>4786.8999999999996</v>
      </c>
      <c r="G12" s="450">
        <f t="shared" ref="G12" si="3">G13</f>
        <v>3939.4849999999997</v>
      </c>
      <c r="H12" s="450">
        <f t="shared" si="2"/>
        <v>82.297206960663473</v>
      </c>
    </row>
    <row r="13" spans="1:12" ht="15.75" x14ac:dyDescent="0.25">
      <c r="A13" s="456" t="s">
        <v>918</v>
      </c>
      <c r="B13" s="7" t="s">
        <v>118</v>
      </c>
      <c r="C13" s="7" t="s">
        <v>213</v>
      </c>
      <c r="D13" s="7" t="s">
        <v>859</v>
      </c>
      <c r="E13" s="7"/>
      <c r="F13" s="450">
        <f>F14+F19</f>
        <v>4786.8999999999996</v>
      </c>
      <c r="G13" s="450">
        <f t="shared" ref="G13" si="4">G14+G19</f>
        <v>3939.4849999999997</v>
      </c>
      <c r="H13" s="450">
        <f t="shared" si="2"/>
        <v>82.297206960663473</v>
      </c>
    </row>
    <row r="14" spans="1:12" ht="31.5" x14ac:dyDescent="0.25">
      <c r="A14" s="29" t="s">
        <v>576</v>
      </c>
      <c r="B14" s="461" t="s">
        <v>118</v>
      </c>
      <c r="C14" s="461" t="s">
        <v>213</v>
      </c>
      <c r="D14" s="461" t="s">
        <v>1331</v>
      </c>
      <c r="E14" s="461"/>
      <c r="F14" s="451">
        <f t="shared" ref="F14:G14" si="5">F15+F17</f>
        <v>4786.8999999999996</v>
      </c>
      <c r="G14" s="451">
        <f t="shared" si="5"/>
        <v>3939.4849999999997</v>
      </c>
      <c r="H14" s="451">
        <f t="shared" si="2"/>
        <v>82.297206960663473</v>
      </c>
    </row>
    <row r="15" spans="1:12" ht="78.75" x14ac:dyDescent="0.25">
      <c r="A15" s="29" t="s">
        <v>127</v>
      </c>
      <c r="B15" s="461" t="s">
        <v>118</v>
      </c>
      <c r="C15" s="461" t="s">
        <v>213</v>
      </c>
      <c r="D15" s="461" t="s">
        <v>1331</v>
      </c>
      <c r="E15" s="461" t="s">
        <v>128</v>
      </c>
      <c r="F15" s="360">
        <f t="shared" ref="F15:G15" si="6">F16</f>
        <v>4696.8999999999996</v>
      </c>
      <c r="G15" s="360">
        <f t="shared" si="6"/>
        <v>3911.7849999999999</v>
      </c>
      <c r="H15" s="451">
        <f t="shared" si="2"/>
        <v>83.284400349166475</v>
      </c>
    </row>
    <row r="16" spans="1:12" ht="31.5" x14ac:dyDescent="0.25">
      <c r="A16" s="29" t="s">
        <v>129</v>
      </c>
      <c r="B16" s="461" t="s">
        <v>118</v>
      </c>
      <c r="C16" s="461" t="s">
        <v>213</v>
      </c>
      <c r="D16" s="461" t="s">
        <v>1331</v>
      </c>
      <c r="E16" s="461" t="s">
        <v>130</v>
      </c>
      <c r="F16" s="360">
        <f>'Пр.4 ведом.21'!G39</f>
        <v>4696.8999999999996</v>
      </c>
      <c r="G16" s="360">
        <f>'Пр.4 ведом.21'!H39</f>
        <v>3911.7849999999999</v>
      </c>
      <c r="H16" s="451">
        <f t="shared" si="2"/>
        <v>83.284400349166475</v>
      </c>
    </row>
    <row r="17" spans="1:8" ht="31.5" x14ac:dyDescent="0.25">
      <c r="A17" s="29" t="s">
        <v>131</v>
      </c>
      <c r="B17" s="461" t="s">
        <v>118</v>
      </c>
      <c r="C17" s="461" t="s">
        <v>213</v>
      </c>
      <c r="D17" s="461" t="s">
        <v>1331</v>
      </c>
      <c r="E17" s="461" t="s">
        <v>132</v>
      </c>
      <c r="F17" s="28">
        <f t="shared" ref="F17:G17" si="7">F18</f>
        <v>90</v>
      </c>
      <c r="G17" s="28">
        <f t="shared" si="7"/>
        <v>27.7</v>
      </c>
      <c r="H17" s="451">
        <f t="shared" si="2"/>
        <v>30.777777777777775</v>
      </c>
    </row>
    <row r="18" spans="1:8" ht="31.5" x14ac:dyDescent="0.25">
      <c r="A18" s="29" t="s">
        <v>133</v>
      </c>
      <c r="B18" s="461" t="s">
        <v>118</v>
      </c>
      <c r="C18" s="461" t="s">
        <v>213</v>
      </c>
      <c r="D18" s="461" t="s">
        <v>1331</v>
      </c>
      <c r="E18" s="461" t="s">
        <v>134</v>
      </c>
      <c r="F18" s="28">
        <f>'Пр.4 ведом.21'!G41</f>
        <v>90</v>
      </c>
      <c r="G18" s="28">
        <f>'Пр.4 ведом.21'!H41</f>
        <v>27.7</v>
      </c>
      <c r="H18" s="451">
        <f t="shared" si="2"/>
        <v>30.777777777777775</v>
      </c>
    </row>
    <row r="19" spans="1:8" s="200" customFormat="1" ht="47.25" hidden="1" x14ac:dyDescent="0.25">
      <c r="A19" s="458" t="s">
        <v>839</v>
      </c>
      <c r="B19" s="461" t="s">
        <v>118</v>
      </c>
      <c r="C19" s="461" t="s">
        <v>213</v>
      </c>
      <c r="D19" s="461" t="s">
        <v>862</v>
      </c>
      <c r="E19" s="461"/>
      <c r="F19" s="28">
        <f>F20</f>
        <v>0</v>
      </c>
      <c r="G19" s="28">
        <f t="shared" ref="G19:G20" si="8">G20</f>
        <v>0</v>
      </c>
      <c r="H19" s="451" t="e">
        <f t="shared" si="2"/>
        <v>#DIV/0!</v>
      </c>
    </row>
    <row r="20" spans="1:8" s="200" customFormat="1" ht="78.75" hidden="1" x14ac:dyDescent="0.25">
      <c r="A20" s="458" t="s">
        <v>127</v>
      </c>
      <c r="B20" s="461" t="s">
        <v>118</v>
      </c>
      <c r="C20" s="461" t="s">
        <v>213</v>
      </c>
      <c r="D20" s="461" t="s">
        <v>862</v>
      </c>
      <c r="E20" s="461" t="s">
        <v>128</v>
      </c>
      <c r="F20" s="28">
        <f>F21</f>
        <v>0</v>
      </c>
      <c r="G20" s="28">
        <f t="shared" si="8"/>
        <v>0</v>
      </c>
      <c r="H20" s="451" t="e">
        <f t="shared" si="2"/>
        <v>#DIV/0!</v>
      </c>
    </row>
    <row r="21" spans="1:8" s="200" customFormat="1" ht="31.5" hidden="1" x14ac:dyDescent="0.25">
      <c r="A21" s="458" t="s">
        <v>129</v>
      </c>
      <c r="B21" s="461" t="s">
        <v>118</v>
      </c>
      <c r="C21" s="461" t="s">
        <v>213</v>
      </c>
      <c r="D21" s="461" t="s">
        <v>862</v>
      </c>
      <c r="E21" s="461" t="s">
        <v>130</v>
      </c>
      <c r="F21" s="28">
        <f>'Пр.4 ведом.21'!G44</f>
        <v>0</v>
      </c>
      <c r="G21" s="28">
        <f>'Пр.4 ведом.21'!H44</f>
        <v>0</v>
      </c>
      <c r="H21" s="451" t="e">
        <f t="shared" si="2"/>
        <v>#DIV/0!</v>
      </c>
    </row>
    <row r="22" spans="1:8" s="200" customFormat="1" ht="47.25" x14ac:dyDescent="0.25">
      <c r="A22" s="456" t="s">
        <v>1341</v>
      </c>
      <c r="B22" s="457" t="s">
        <v>118</v>
      </c>
      <c r="C22" s="7" t="s">
        <v>213</v>
      </c>
      <c r="D22" s="457" t="s">
        <v>162</v>
      </c>
      <c r="E22" s="7"/>
      <c r="F22" s="361">
        <f>F23</f>
        <v>41.64</v>
      </c>
      <c r="G22" s="361">
        <f t="shared" ref="G22:G25" si="9">G23</f>
        <v>0</v>
      </c>
      <c r="H22" s="450">
        <f t="shared" si="2"/>
        <v>0</v>
      </c>
    </row>
    <row r="23" spans="1:8" s="200" customFormat="1" ht="63" x14ac:dyDescent="0.25">
      <c r="A23" s="215" t="s">
        <v>843</v>
      </c>
      <c r="B23" s="457" t="s">
        <v>118</v>
      </c>
      <c r="C23" s="7" t="s">
        <v>213</v>
      </c>
      <c r="D23" s="7" t="s">
        <v>850</v>
      </c>
      <c r="E23" s="7"/>
      <c r="F23" s="361">
        <f>F24</f>
        <v>41.64</v>
      </c>
      <c r="G23" s="361">
        <f t="shared" si="9"/>
        <v>0</v>
      </c>
      <c r="H23" s="450">
        <f t="shared" si="2"/>
        <v>0</v>
      </c>
    </row>
    <row r="24" spans="1:8" s="200" customFormat="1" ht="47.25" x14ac:dyDescent="0.25">
      <c r="A24" s="31" t="s">
        <v>695</v>
      </c>
      <c r="B24" s="454" t="s">
        <v>118</v>
      </c>
      <c r="C24" s="454" t="s">
        <v>213</v>
      </c>
      <c r="D24" s="461" t="s">
        <v>993</v>
      </c>
      <c r="E24" s="454"/>
      <c r="F24" s="459">
        <f>F25</f>
        <v>41.64</v>
      </c>
      <c r="G24" s="459">
        <f t="shared" si="9"/>
        <v>0</v>
      </c>
      <c r="H24" s="451">
        <f t="shared" si="2"/>
        <v>0</v>
      </c>
    </row>
    <row r="25" spans="1:8" s="200" customFormat="1" ht="31.5" x14ac:dyDescent="0.25">
      <c r="A25" s="458" t="s">
        <v>131</v>
      </c>
      <c r="B25" s="454" t="s">
        <v>118</v>
      </c>
      <c r="C25" s="454" t="s">
        <v>213</v>
      </c>
      <c r="D25" s="461" t="s">
        <v>993</v>
      </c>
      <c r="E25" s="454" t="s">
        <v>132</v>
      </c>
      <c r="F25" s="459">
        <f>F26</f>
        <v>41.64</v>
      </c>
      <c r="G25" s="459">
        <f t="shared" si="9"/>
        <v>0</v>
      </c>
      <c r="H25" s="451">
        <f t="shared" si="2"/>
        <v>0</v>
      </c>
    </row>
    <row r="26" spans="1:8" s="200" customFormat="1" ht="47.25" x14ac:dyDescent="0.25">
      <c r="A26" s="458" t="s">
        <v>133</v>
      </c>
      <c r="B26" s="454" t="s">
        <v>118</v>
      </c>
      <c r="C26" s="454" t="s">
        <v>213</v>
      </c>
      <c r="D26" s="461" t="s">
        <v>993</v>
      </c>
      <c r="E26" s="454" t="s">
        <v>134</v>
      </c>
      <c r="F26" s="459">
        <f>'Пр.4 ведом.21'!G49</f>
        <v>41.64</v>
      </c>
      <c r="G26" s="459">
        <f>'Пр.4 ведом.21'!H49</f>
        <v>0</v>
      </c>
      <c r="H26" s="451">
        <f t="shared" si="2"/>
        <v>0</v>
      </c>
    </row>
    <row r="27" spans="1:8" ht="63" x14ac:dyDescent="0.25">
      <c r="A27" s="462" t="s">
        <v>578</v>
      </c>
      <c r="B27" s="7" t="s">
        <v>118</v>
      </c>
      <c r="C27" s="7" t="s">
        <v>215</v>
      </c>
      <c r="D27" s="7"/>
      <c r="E27" s="7"/>
      <c r="F27" s="450">
        <f t="shared" ref="F27:G28" si="10">F28</f>
        <v>6194</v>
      </c>
      <c r="G27" s="450">
        <f t="shared" si="10"/>
        <v>4449.1880000000001</v>
      </c>
      <c r="H27" s="450">
        <f t="shared" si="2"/>
        <v>71.830610268001294</v>
      </c>
    </row>
    <row r="28" spans="1:8" ht="31.5" x14ac:dyDescent="0.25">
      <c r="A28" s="456" t="s">
        <v>917</v>
      </c>
      <c r="B28" s="7" t="s">
        <v>118</v>
      </c>
      <c r="C28" s="7" t="s">
        <v>215</v>
      </c>
      <c r="D28" s="7" t="s">
        <v>858</v>
      </c>
      <c r="E28" s="7"/>
      <c r="F28" s="450">
        <f t="shared" si="10"/>
        <v>6194</v>
      </c>
      <c r="G28" s="450">
        <f t="shared" si="10"/>
        <v>4449.1880000000001</v>
      </c>
      <c r="H28" s="450">
        <f t="shared" si="2"/>
        <v>71.830610268001294</v>
      </c>
    </row>
    <row r="29" spans="1:8" ht="31.5" x14ac:dyDescent="0.25">
      <c r="A29" s="456" t="s">
        <v>986</v>
      </c>
      <c r="B29" s="7" t="s">
        <v>118</v>
      </c>
      <c r="C29" s="7" t="s">
        <v>215</v>
      </c>
      <c r="D29" s="7" t="s">
        <v>987</v>
      </c>
      <c r="E29" s="7"/>
      <c r="F29" s="450">
        <f>F35+F40+F30</f>
        <v>6194</v>
      </c>
      <c r="G29" s="450">
        <f t="shared" ref="G29" si="11">G35+G40+G30</f>
        <v>4449.1880000000001</v>
      </c>
      <c r="H29" s="450">
        <f t="shared" si="2"/>
        <v>71.830610268001294</v>
      </c>
    </row>
    <row r="30" spans="1:8" s="200" customFormat="1" ht="47.25" x14ac:dyDescent="0.25">
      <c r="A30" s="284" t="s">
        <v>1366</v>
      </c>
      <c r="B30" s="454" t="s">
        <v>118</v>
      </c>
      <c r="C30" s="454" t="s">
        <v>215</v>
      </c>
      <c r="D30" s="454" t="s">
        <v>1404</v>
      </c>
      <c r="E30" s="457"/>
      <c r="F30" s="451">
        <f>F31+F33</f>
        <v>4795.6000000000004</v>
      </c>
      <c r="G30" s="451">
        <f t="shared" ref="G30" si="12">G31+G33</f>
        <v>3406.9190000000003</v>
      </c>
      <c r="H30" s="451">
        <f t="shared" si="2"/>
        <v>71.042601551422138</v>
      </c>
    </row>
    <row r="31" spans="1:8" s="200" customFormat="1" ht="78.75" x14ac:dyDescent="0.25">
      <c r="A31" s="458" t="s">
        <v>127</v>
      </c>
      <c r="B31" s="454" t="s">
        <v>118</v>
      </c>
      <c r="C31" s="454" t="s">
        <v>215</v>
      </c>
      <c r="D31" s="454" t="s">
        <v>1404</v>
      </c>
      <c r="E31" s="454" t="s">
        <v>128</v>
      </c>
      <c r="F31" s="451">
        <f>F32</f>
        <v>4527.6000000000004</v>
      </c>
      <c r="G31" s="451">
        <f t="shared" ref="G31" si="13">G32</f>
        <v>3187.1190000000001</v>
      </c>
      <c r="H31" s="451">
        <f t="shared" si="2"/>
        <v>70.393122183938502</v>
      </c>
    </row>
    <row r="32" spans="1:8" s="200" customFormat="1" ht="31.5" x14ac:dyDescent="0.25">
      <c r="A32" s="458" t="s">
        <v>129</v>
      </c>
      <c r="B32" s="454" t="s">
        <v>118</v>
      </c>
      <c r="C32" s="454" t="s">
        <v>215</v>
      </c>
      <c r="D32" s="454" t="s">
        <v>1404</v>
      </c>
      <c r="E32" s="454" t="s">
        <v>130</v>
      </c>
      <c r="F32" s="451">
        <f>'Пр.4 ведом.21'!G1122</f>
        <v>4527.6000000000004</v>
      </c>
      <c r="G32" s="451">
        <f>'Пр.4 ведом.21'!H1122</f>
        <v>3187.1190000000001</v>
      </c>
      <c r="H32" s="451">
        <f t="shared" si="2"/>
        <v>70.393122183938502</v>
      </c>
    </row>
    <row r="33" spans="1:8" s="200" customFormat="1" ht="31.5" x14ac:dyDescent="0.25">
      <c r="A33" s="458" t="s">
        <v>198</v>
      </c>
      <c r="B33" s="454" t="s">
        <v>118</v>
      </c>
      <c r="C33" s="454" t="s">
        <v>215</v>
      </c>
      <c r="D33" s="454" t="s">
        <v>1404</v>
      </c>
      <c r="E33" s="454" t="s">
        <v>132</v>
      </c>
      <c r="F33" s="451">
        <f>F34</f>
        <v>268</v>
      </c>
      <c r="G33" s="451">
        <f t="shared" ref="G33" si="14">G34</f>
        <v>219.8</v>
      </c>
      <c r="H33" s="451">
        <f t="shared" si="2"/>
        <v>82.014925373134332</v>
      </c>
    </row>
    <row r="34" spans="1:8" s="200" customFormat="1" ht="47.25" x14ac:dyDescent="0.25">
      <c r="A34" s="458" t="s">
        <v>133</v>
      </c>
      <c r="B34" s="454" t="s">
        <v>118</v>
      </c>
      <c r="C34" s="454" t="s">
        <v>215</v>
      </c>
      <c r="D34" s="454" t="s">
        <v>1404</v>
      </c>
      <c r="E34" s="454" t="s">
        <v>134</v>
      </c>
      <c r="F34" s="451">
        <f>'Пр.4 ведом.21'!G1124</f>
        <v>268</v>
      </c>
      <c r="G34" s="451">
        <f>'Пр.4 ведом.21'!H1124</f>
        <v>219.8</v>
      </c>
      <c r="H34" s="451">
        <f t="shared" si="2"/>
        <v>82.014925373134332</v>
      </c>
    </row>
    <row r="35" spans="1:8" ht="31.5" x14ac:dyDescent="0.25">
      <c r="A35" s="458" t="s">
        <v>990</v>
      </c>
      <c r="B35" s="461" t="s">
        <v>118</v>
      </c>
      <c r="C35" s="461" t="s">
        <v>215</v>
      </c>
      <c r="D35" s="461" t="s">
        <v>991</v>
      </c>
      <c r="E35" s="461"/>
      <c r="F35" s="451">
        <f t="shared" ref="F35:G35" si="15">F36+F38</f>
        <v>1346.4</v>
      </c>
      <c r="G35" s="451">
        <f t="shared" si="15"/>
        <v>990.279</v>
      </c>
      <c r="H35" s="451">
        <f t="shared" si="2"/>
        <v>73.550133689839569</v>
      </c>
    </row>
    <row r="36" spans="1:8" ht="78.75" x14ac:dyDescent="0.25">
      <c r="A36" s="29" t="s">
        <v>127</v>
      </c>
      <c r="B36" s="461" t="s">
        <v>118</v>
      </c>
      <c r="C36" s="461" t="s">
        <v>215</v>
      </c>
      <c r="D36" s="461" t="s">
        <v>991</v>
      </c>
      <c r="E36" s="461" t="s">
        <v>128</v>
      </c>
      <c r="F36" s="360">
        <f t="shared" ref="F36:G36" si="16">F37</f>
        <v>1346.4</v>
      </c>
      <c r="G36" s="360">
        <f t="shared" si="16"/>
        <v>990.279</v>
      </c>
      <c r="H36" s="451">
        <f t="shared" si="2"/>
        <v>73.550133689839569</v>
      </c>
    </row>
    <row r="37" spans="1:8" ht="31.5" x14ac:dyDescent="0.25">
      <c r="A37" s="29" t="s">
        <v>129</v>
      </c>
      <c r="B37" s="461" t="s">
        <v>118</v>
      </c>
      <c r="C37" s="461" t="s">
        <v>215</v>
      </c>
      <c r="D37" s="461" t="s">
        <v>991</v>
      </c>
      <c r="E37" s="461" t="s">
        <v>130</v>
      </c>
      <c r="F37" s="360">
        <f>'Пр.4 ведом.21'!G1127</f>
        <v>1346.4</v>
      </c>
      <c r="G37" s="360">
        <f>'Пр.4 ведом.21'!H1127</f>
        <v>990.279</v>
      </c>
      <c r="H37" s="451">
        <f t="shared" si="2"/>
        <v>73.550133689839569</v>
      </c>
    </row>
    <row r="38" spans="1:8" ht="31.5" hidden="1" x14ac:dyDescent="0.25">
      <c r="A38" s="29" t="s">
        <v>131</v>
      </c>
      <c r="B38" s="461" t="s">
        <v>118</v>
      </c>
      <c r="C38" s="461" t="s">
        <v>215</v>
      </c>
      <c r="D38" s="461" t="s">
        <v>991</v>
      </c>
      <c r="E38" s="461" t="s">
        <v>132</v>
      </c>
      <c r="F38" s="451">
        <f t="shared" ref="F38:G38" si="17">F39</f>
        <v>0</v>
      </c>
      <c r="G38" s="451">
        <f t="shared" si="17"/>
        <v>0</v>
      </c>
      <c r="H38" s="451" t="e">
        <f t="shared" si="2"/>
        <v>#DIV/0!</v>
      </c>
    </row>
    <row r="39" spans="1:8" ht="47.25" hidden="1" x14ac:dyDescent="0.25">
      <c r="A39" s="29" t="s">
        <v>133</v>
      </c>
      <c r="B39" s="461" t="s">
        <v>118</v>
      </c>
      <c r="C39" s="461" t="s">
        <v>215</v>
      </c>
      <c r="D39" s="461" t="s">
        <v>991</v>
      </c>
      <c r="E39" s="461" t="s">
        <v>134</v>
      </c>
      <c r="F39" s="451">
        <f>'Пр.4 ведом.21'!G1129</f>
        <v>0</v>
      </c>
      <c r="G39" s="451">
        <f>'Пр.4 ведом.21'!H1129</f>
        <v>0</v>
      </c>
      <c r="H39" s="451" t="e">
        <f t="shared" si="2"/>
        <v>#DIV/0!</v>
      </c>
    </row>
    <row r="40" spans="1:8" s="200" customFormat="1" ht="30.2" hidden="1" customHeight="1" x14ac:dyDescent="0.25">
      <c r="A40" s="458" t="s">
        <v>839</v>
      </c>
      <c r="B40" s="461" t="s">
        <v>118</v>
      </c>
      <c r="C40" s="461" t="s">
        <v>215</v>
      </c>
      <c r="D40" s="461" t="s">
        <v>989</v>
      </c>
      <c r="E40" s="461"/>
      <c r="F40" s="28">
        <f>F41</f>
        <v>52</v>
      </c>
      <c r="G40" s="28">
        <f t="shared" ref="G40:G41" si="18">G41</f>
        <v>51.99</v>
      </c>
      <c r="H40" s="451">
        <f t="shared" si="2"/>
        <v>99.980769230769241</v>
      </c>
    </row>
    <row r="41" spans="1:8" s="200" customFormat="1" ht="85.7" hidden="1" customHeight="1" x14ac:dyDescent="0.25">
      <c r="A41" s="458" t="s">
        <v>127</v>
      </c>
      <c r="B41" s="461" t="s">
        <v>118</v>
      </c>
      <c r="C41" s="461" t="s">
        <v>215</v>
      </c>
      <c r="D41" s="461" t="s">
        <v>989</v>
      </c>
      <c r="E41" s="461" t="s">
        <v>128</v>
      </c>
      <c r="F41" s="28">
        <f>F42</f>
        <v>52</v>
      </c>
      <c r="G41" s="28">
        <f t="shared" si="18"/>
        <v>51.99</v>
      </c>
      <c r="H41" s="451">
        <f t="shared" si="2"/>
        <v>99.980769230769241</v>
      </c>
    </row>
    <row r="42" spans="1:8" s="200" customFormat="1" ht="38.25" hidden="1" customHeight="1" x14ac:dyDescent="0.25">
      <c r="A42" s="458" t="s">
        <v>129</v>
      </c>
      <c r="B42" s="461" t="s">
        <v>118</v>
      </c>
      <c r="C42" s="461" t="s">
        <v>215</v>
      </c>
      <c r="D42" s="461" t="s">
        <v>989</v>
      </c>
      <c r="E42" s="461" t="s">
        <v>130</v>
      </c>
      <c r="F42" s="28">
        <f>'Пр.4 ведом.21'!G1132</f>
        <v>52</v>
      </c>
      <c r="G42" s="28">
        <f>'Пр.4 ведом.21'!H1132</f>
        <v>51.99</v>
      </c>
      <c r="H42" s="451">
        <f t="shared" si="2"/>
        <v>99.980769230769241</v>
      </c>
    </row>
    <row r="43" spans="1:8" ht="70.5" customHeight="1" x14ac:dyDescent="0.25">
      <c r="A43" s="462" t="s">
        <v>149</v>
      </c>
      <c r="B43" s="7" t="s">
        <v>118</v>
      </c>
      <c r="C43" s="7" t="s">
        <v>150</v>
      </c>
      <c r="D43" s="7"/>
      <c r="E43" s="7"/>
      <c r="F43" s="450">
        <f>F44+F86</f>
        <v>73371.73</v>
      </c>
      <c r="G43" s="450">
        <f t="shared" ref="G43" si="19">G44+G86</f>
        <v>48035.891999999993</v>
      </c>
      <c r="H43" s="450">
        <f t="shared" si="2"/>
        <v>65.469210007723674</v>
      </c>
    </row>
    <row r="44" spans="1:8" ht="31.5" x14ac:dyDescent="0.25">
      <c r="A44" s="456" t="s">
        <v>917</v>
      </c>
      <c r="B44" s="7" t="s">
        <v>118</v>
      </c>
      <c r="C44" s="7" t="s">
        <v>150</v>
      </c>
      <c r="D44" s="7" t="s">
        <v>858</v>
      </c>
      <c r="E44" s="7"/>
      <c r="F44" s="450">
        <f>F45+F61</f>
        <v>72790.929999999993</v>
      </c>
      <c r="G44" s="450">
        <f t="shared" ref="G44" si="20">G45+G61</f>
        <v>47597.780999999995</v>
      </c>
      <c r="H44" s="450">
        <f t="shared" si="2"/>
        <v>65.38971407564101</v>
      </c>
    </row>
    <row r="45" spans="1:8" ht="15.75" x14ac:dyDescent="0.25">
      <c r="A45" s="456" t="s">
        <v>918</v>
      </c>
      <c r="B45" s="7" t="s">
        <v>118</v>
      </c>
      <c r="C45" s="7" t="s">
        <v>150</v>
      </c>
      <c r="D45" s="7" t="s">
        <v>859</v>
      </c>
      <c r="E45" s="7"/>
      <c r="F45" s="450">
        <f>F46+F55+F58</f>
        <v>69412.03</v>
      </c>
      <c r="G45" s="450">
        <f t="shared" ref="G45" si="21">G46+G55+G58</f>
        <v>45643.504999999997</v>
      </c>
      <c r="H45" s="450">
        <f t="shared" si="2"/>
        <v>65.757340622367622</v>
      </c>
    </row>
    <row r="46" spans="1:8" ht="31.5" x14ac:dyDescent="0.25">
      <c r="A46" s="29" t="s">
        <v>897</v>
      </c>
      <c r="B46" s="461" t="s">
        <v>118</v>
      </c>
      <c r="C46" s="461" t="s">
        <v>150</v>
      </c>
      <c r="D46" s="461" t="s">
        <v>860</v>
      </c>
      <c r="E46" s="461"/>
      <c r="F46" s="451">
        <f>F47+F49+F53+F51</f>
        <v>65477.654999999999</v>
      </c>
      <c r="G46" s="451">
        <f t="shared" ref="G46" si="22">G47+G49+G53+G51</f>
        <v>42298.746999999996</v>
      </c>
      <c r="H46" s="451">
        <f t="shared" si="2"/>
        <v>64.600277758878207</v>
      </c>
    </row>
    <row r="47" spans="1:8" ht="78.75" x14ac:dyDescent="0.25">
      <c r="A47" s="29" t="s">
        <v>127</v>
      </c>
      <c r="B47" s="461" t="s">
        <v>118</v>
      </c>
      <c r="C47" s="461" t="s">
        <v>150</v>
      </c>
      <c r="D47" s="461" t="s">
        <v>860</v>
      </c>
      <c r="E47" s="461" t="s">
        <v>128</v>
      </c>
      <c r="F47" s="360">
        <f t="shared" ref="F47:G47" si="23">F48</f>
        <v>54039.09</v>
      </c>
      <c r="G47" s="360">
        <f t="shared" si="23"/>
        <v>36630.375999999997</v>
      </c>
      <c r="H47" s="451">
        <f t="shared" si="2"/>
        <v>67.784960849636803</v>
      </c>
    </row>
    <row r="48" spans="1:8" ht="31.5" x14ac:dyDescent="0.25">
      <c r="A48" s="29" t="s">
        <v>129</v>
      </c>
      <c r="B48" s="461" t="s">
        <v>118</v>
      </c>
      <c r="C48" s="461" t="s">
        <v>150</v>
      </c>
      <c r="D48" s="461" t="s">
        <v>860</v>
      </c>
      <c r="E48" s="461" t="s">
        <v>130</v>
      </c>
      <c r="F48" s="360">
        <f>'Пр.4 ведом.21'!G517+'Пр.4 ведом.21'!G55</f>
        <v>54039.09</v>
      </c>
      <c r="G48" s="360">
        <f>'Пр.4 ведом.21'!H517+'Пр.4 ведом.21'!H55</f>
        <v>36630.375999999997</v>
      </c>
      <c r="H48" s="451">
        <f t="shared" si="2"/>
        <v>67.784960849636803</v>
      </c>
    </row>
    <row r="49" spans="1:8" ht="31.5" x14ac:dyDescent="0.25">
      <c r="A49" s="29" t="s">
        <v>131</v>
      </c>
      <c r="B49" s="461" t="s">
        <v>118</v>
      </c>
      <c r="C49" s="461" t="s">
        <v>150</v>
      </c>
      <c r="D49" s="461" t="s">
        <v>860</v>
      </c>
      <c r="E49" s="461" t="s">
        <v>132</v>
      </c>
      <c r="F49" s="451">
        <f t="shared" ref="F49:G49" si="24">F50</f>
        <v>11214.564999999999</v>
      </c>
      <c r="G49" s="451">
        <f t="shared" si="24"/>
        <v>5492.5910000000003</v>
      </c>
      <c r="H49" s="451">
        <f t="shared" si="2"/>
        <v>48.977298718229385</v>
      </c>
    </row>
    <row r="50" spans="1:8" ht="47.25" x14ac:dyDescent="0.25">
      <c r="A50" s="29" t="s">
        <v>133</v>
      </c>
      <c r="B50" s="461" t="s">
        <v>118</v>
      </c>
      <c r="C50" s="461" t="s">
        <v>150</v>
      </c>
      <c r="D50" s="461" t="s">
        <v>860</v>
      </c>
      <c r="E50" s="461" t="s">
        <v>134</v>
      </c>
      <c r="F50" s="451">
        <f>'Пр.4 ведом.21'!G57+'Пр.4 ведом.21'!G519</f>
        <v>11214.564999999999</v>
      </c>
      <c r="G50" s="451">
        <f>'Пр.4 ведом.21'!H57+'Пр.4 ведом.21'!H519</f>
        <v>5492.5910000000003</v>
      </c>
      <c r="H50" s="451">
        <f t="shared" si="2"/>
        <v>48.977298718229385</v>
      </c>
    </row>
    <row r="51" spans="1:8" s="200" customFormat="1" ht="21.2" hidden="1" customHeight="1" x14ac:dyDescent="0.25">
      <c r="A51" s="458" t="s">
        <v>248</v>
      </c>
      <c r="B51" s="461" t="s">
        <v>118</v>
      </c>
      <c r="C51" s="461" t="s">
        <v>150</v>
      </c>
      <c r="D51" s="461" t="s">
        <v>860</v>
      </c>
      <c r="E51" s="461" t="s">
        <v>249</v>
      </c>
      <c r="F51" s="451">
        <f>F52</f>
        <v>0</v>
      </c>
      <c r="G51" s="451">
        <f t="shared" ref="G51" si="25">G52</f>
        <v>0</v>
      </c>
      <c r="H51" s="451" t="e">
        <f t="shared" si="2"/>
        <v>#DIV/0!</v>
      </c>
    </row>
    <row r="52" spans="1:8" s="200" customFormat="1" ht="31.5" hidden="1" x14ac:dyDescent="0.25">
      <c r="A52" s="458" t="s">
        <v>250</v>
      </c>
      <c r="B52" s="461" t="s">
        <v>118</v>
      </c>
      <c r="C52" s="461" t="s">
        <v>150</v>
      </c>
      <c r="D52" s="461" t="s">
        <v>860</v>
      </c>
      <c r="E52" s="461" t="s">
        <v>251</v>
      </c>
      <c r="F52" s="451">
        <f>'Пр.4 ведом.21'!G59</f>
        <v>0</v>
      </c>
      <c r="G52" s="451">
        <f>'Пр.4 ведом.21'!H59</f>
        <v>0</v>
      </c>
      <c r="H52" s="451" t="e">
        <f t="shared" si="2"/>
        <v>#DIV/0!</v>
      </c>
    </row>
    <row r="53" spans="1:8" ht="15.75" x14ac:dyDescent="0.25">
      <c r="A53" s="29" t="s">
        <v>135</v>
      </c>
      <c r="B53" s="461" t="s">
        <v>118</v>
      </c>
      <c r="C53" s="461" t="s">
        <v>150</v>
      </c>
      <c r="D53" s="461" t="s">
        <v>860</v>
      </c>
      <c r="E53" s="461" t="s">
        <v>145</v>
      </c>
      <c r="F53" s="451">
        <f t="shared" ref="F53:G53" si="26">F54</f>
        <v>224</v>
      </c>
      <c r="G53" s="451">
        <f t="shared" si="26"/>
        <v>175.77999999999997</v>
      </c>
      <c r="H53" s="451">
        <f t="shared" si="2"/>
        <v>78.473214285714278</v>
      </c>
    </row>
    <row r="54" spans="1:8" ht="15.75" x14ac:dyDescent="0.25">
      <c r="A54" s="29" t="s">
        <v>568</v>
      </c>
      <c r="B54" s="461" t="s">
        <v>118</v>
      </c>
      <c r="C54" s="461" t="s">
        <v>150</v>
      </c>
      <c r="D54" s="461" t="s">
        <v>860</v>
      </c>
      <c r="E54" s="461" t="s">
        <v>138</v>
      </c>
      <c r="F54" s="451">
        <f>'Пр.4 ведом.21'!G521+'Пр.4 ведом.21'!G61</f>
        <v>224</v>
      </c>
      <c r="G54" s="451">
        <f>'Пр.4 ведом.21'!H521+'Пр.4 ведом.21'!H61</f>
        <v>175.77999999999997</v>
      </c>
      <c r="H54" s="451">
        <f t="shared" si="2"/>
        <v>78.473214285714278</v>
      </c>
    </row>
    <row r="55" spans="1:8" ht="31.5" x14ac:dyDescent="0.25">
      <c r="A55" s="458" t="s">
        <v>153</v>
      </c>
      <c r="B55" s="454" t="s">
        <v>118</v>
      </c>
      <c r="C55" s="454" t="s">
        <v>150</v>
      </c>
      <c r="D55" s="461" t="s">
        <v>861</v>
      </c>
      <c r="E55" s="454"/>
      <c r="F55" s="360">
        <f>F56</f>
        <v>2071.4</v>
      </c>
      <c r="G55" s="360">
        <f t="shared" ref="G55:G56" si="27">G56</f>
        <v>1975.9939999999999</v>
      </c>
      <c r="H55" s="451">
        <f t="shared" si="2"/>
        <v>95.394129574201017</v>
      </c>
    </row>
    <row r="56" spans="1:8" ht="78.75" x14ac:dyDescent="0.25">
      <c r="A56" s="458" t="s">
        <v>127</v>
      </c>
      <c r="B56" s="454" t="s">
        <v>118</v>
      </c>
      <c r="C56" s="454" t="s">
        <v>150</v>
      </c>
      <c r="D56" s="461" t="s">
        <v>861</v>
      </c>
      <c r="E56" s="454" t="s">
        <v>128</v>
      </c>
      <c r="F56" s="360">
        <f>F57</f>
        <v>2071.4</v>
      </c>
      <c r="G56" s="360">
        <f t="shared" si="27"/>
        <v>1975.9939999999999</v>
      </c>
      <c r="H56" s="451">
        <f t="shared" si="2"/>
        <v>95.394129574201017</v>
      </c>
    </row>
    <row r="57" spans="1:8" ht="31.5" x14ac:dyDescent="0.25">
      <c r="A57" s="458" t="s">
        <v>129</v>
      </c>
      <c r="B57" s="454" t="s">
        <v>118</v>
      </c>
      <c r="C57" s="454" t="s">
        <v>150</v>
      </c>
      <c r="D57" s="461" t="s">
        <v>861</v>
      </c>
      <c r="E57" s="454" t="s">
        <v>130</v>
      </c>
      <c r="F57" s="360">
        <f>'Пр.4 ведом.21'!G64</f>
        <v>2071.4</v>
      </c>
      <c r="G57" s="360">
        <f>'Пр.4 ведом.21'!H64</f>
        <v>1975.9939999999999</v>
      </c>
      <c r="H57" s="451">
        <f t="shared" si="2"/>
        <v>95.394129574201017</v>
      </c>
    </row>
    <row r="58" spans="1:8" s="200" customFormat="1" ht="47.25" x14ac:dyDescent="0.25">
      <c r="A58" s="458" t="s">
        <v>839</v>
      </c>
      <c r="B58" s="461" t="s">
        <v>118</v>
      </c>
      <c r="C58" s="454" t="s">
        <v>150</v>
      </c>
      <c r="D58" s="461" t="s">
        <v>862</v>
      </c>
      <c r="E58" s="461"/>
      <c r="F58" s="28">
        <f>F59</f>
        <v>1862.9749999999999</v>
      </c>
      <c r="G58" s="28">
        <f t="shared" ref="G58:G59" si="28">G59</f>
        <v>1368.7640000000001</v>
      </c>
      <c r="H58" s="451">
        <f t="shared" si="2"/>
        <v>73.471946751835119</v>
      </c>
    </row>
    <row r="59" spans="1:8" s="200" customFormat="1" ht="78.75" x14ac:dyDescent="0.25">
      <c r="A59" s="458" t="s">
        <v>127</v>
      </c>
      <c r="B59" s="461" t="s">
        <v>118</v>
      </c>
      <c r="C59" s="454" t="s">
        <v>150</v>
      </c>
      <c r="D59" s="461" t="s">
        <v>862</v>
      </c>
      <c r="E59" s="461" t="s">
        <v>128</v>
      </c>
      <c r="F59" s="28">
        <f>F60</f>
        <v>1862.9749999999999</v>
      </c>
      <c r="G59" s="28">
        <f t="shared" si="28"/>
        <v>1368.7640000000001</v>
      </c>
      <c r="H59" s="451">
        <f t="shared" si="2"/>
        <v>73.471946751835119</v>
      </c>
    </row>
    <row r="60" spans="1:8" s="200" customFormat="1" ht="31.5" x14ac:dyDescent="0.25">
      <c r="A60" s="458" t="s">
        <v>129</v>
      </c>
      <c r="B60" s="461" t="s">
        <v>118</v>
      </c>
      <c r="C60" s="454" t="s">
        <v>150</v>
      </c>
      <c r="D60" s="461" t="s">
        <v>862</v>
      </c>
      <c r="E60" s="461" t="s">
        <v>130</v>
      </c>
      <c r="F60" s="28">
        <f>'Пр.4 ведом.21'!G524+'Пр.4 ведом.21'!G67</f>
        <v>1862.9749999999999</v>
      </c>
      <c r="G60" s="28">
        <f>'Пр.4 ведом.21'!H524+'Пр.4 ведом.21'!H67</f>
        <v>1368.7640000000001</v>
      </c>
      <c r="H60" s="451">
        <f t="shared" si="2"/>
        <v>73.471946751835119</v>
      </c>
    </row>
    <row r="61" spans="1:8" s="200" customFormat="1" ht="31.5" x14ac:dyDescent="0.25">
      <c r="A61" s="456" t="s">
        <v>885</v>
      </c>
      <c r="B61" s="7" t="s">
        <v>118</v>
      </c>
      <c r="C61" s="457" t="s">
        <v>150</v>
      </c>
      <c r="D61" s="7" t="s">
        <v>863</v>
      </c>
      <c r="E61" s="7"/>
      <c r="F61" s="450">
        <f>F62+F68+F73+F78+F65+F83</f>
        <v>3378.9</v>
      </c>
      <c r="G61" s="450">
        <f t="shared" ref="G61" si="29">G62+G68+G73+G78+G65+G83</f>
        <v>1954.2760000000001</v>
      </c>
      <c r="H61" s="450">
        <f t="shared" si="2"/>
        <v>57.837639468466072</v>
      </c>
    </row>
    <row r="62" spans="1:8" s="200" customFormat="1" ht="47.25" hidden="1" x14ac:dyDescent="0.25">
      <c r="A62" s="458" t="s">
        <v>187</v>
      </c>
      <c r="B62" s="461" t="s">
        <v>118</v>
      </c>
      <c r="C62" s="454" t="s">
        <v>150</v>
      </c>
      <c r="D62" s="461" t="s">
        <v>1073</v>
      </c>
      <c r="E62" s="7"/>
      <c r="F62" s="10">
        <f>F63</f>
        <v>0</v>
      </c>
      <c r="G62" s="10">
        <f t="shared" ref="G62" si="30">G63</f>
        <v>0</v>
      </c>
      <c r="H62" s="451" t="e">
        <f t="shared" si="2"/>
        <v>#DIV/0!</v>
      </c>
    </row>
    <row r="63" spans="1:8" s="200" customFormat="1" ht="31.5" hidden="1" x14ac:dyDescent="0.25">
      <c r="A63" s="458" t="s">
        <v>131</v>
      </c>
      <c r="B63" s="461" t="s">
        <v>118</v>
      </c>
      <c r="C63" s="454" t="s">
        <v>150</v>
      </c>
      <c r="D63" s="461" t="s">
        <v>1073</v>
      </c>
      <c r="E63" s="461" t="s">
        <v>132</v>
      </c>
      <c r="F63" s="10">
        <f t="shared" ref="F63:G63" si="31">F64</f>
        <v>0</v>
      </c>
      <c r="G63" s="10">
        <f t="shared" si="31"/>
        <v>0</v>
      </c>
      <c r="H63" s="451" t="e">
        <f t="shared" si="2"/>
        <v>#DIV/0!</v>
      </c>
    </row>
    <row r="64" spans="1:8" s="200" customFormat="1" ht="47.25" hidden="1" x14ac:dyDescent="0.25">
      <c r="A64" s="458" t="s">
        <v>133</v>
      </c>
      <c r="B64" s="461" t="s">
        <v>118</v>
      </c>
      <c r="C64" s="454" t="s">
        <v>150</v>
      </c>
      <c r="D64" s="461" t="s">
        <v>1073</v>
      </c>
      <c r="E64" s="461" t="s">
        <v>134</v>
      </c>
      <c r="F64" s="10">
        <f>'Пр.4 ведом.21'!G71</f>
        <v>0</v>
      </c>
      <c r="G64" s="10">
        <f>'Пр.4 ведом.21'!H71</f>
        <v>0</v>
      </c>
      <c r="H64" s="451" t="e">
        <f t="shared" si="2"/>
        <v>#DIV/0!</v>
      </c>
    </row>
    <row r="65" spans="1:8" s="200" customFormat="1" ht="47.25" x14ac:dyDescent="0.25">
      <c r="A65" s="31" t="s">
        <v>1175</v>
      </c>
      <c r="B65" s="454" t="s">
        <v>118</v>
      </c>
      <c r="C65" s="454" t="s">
        <v>150</v>
      </c>
      <c r="D65" s="454" t="s">
        <v>1174</v>
      </c>
      <c r="E65" s="454"/>
      <c r="F65" s="459">
        <f>F66</f>
        <v>105.9</v>
      </c>
      <c r="G65" s="459">
        <f t="shared" ref="G65:G66" si="32">G66</f>
        <v>0</v>
      </c>
      <c r="H65" s="451">
        <f t="shared" si="2"/>
        <v>0</v>
      </c>
    </row>
    <row r="66" spans="1:8" s="200" customFormat="1" ht="31.5" x14ac:dyDescent="0.25">
      <c r="A66" s="29" t="s">
        <v>131</v>
      </c>
      <c r="B66" s="454" t="s">
        <v>118</v>
      </c>
      <c r="C66" s="454" t="s">
        <v>150</v>
      </c>
      <c r="D66" s="454" t="s">
        <v>1174</v>
      </c>
      <c r="E66" s="454" t="s">
        <v>132</v>
      </c>
      <c r="F66" s="459">
        <f>F67</f>
        <v>105.9</v>
      </c>
      <c r="G66" s="459">
        <f t="shared" si="32"/>
        <v>0</v>
      </c>
      <c r="H66" s="451">
        <f t="shared" si="2"/>
        <v>0</v>
      </c>
    </row>
    <row r="67" spans="1:8" s="200" customFormat="1" ht="47.25" x14ac:dyDescent="0.25">
      <c r="A67" s="29" t="s">
        <v>133</v>
      </c>
      <c r="B67" s="454" t="s">
        <v>118</v>
      </c>
      <c r="C67" s="454" t="s">
        <v>150</v>
      </c>
      <c r="D67" s="454" t="s">
        <v>1174</v>
      </c>
      <c r="E67" s="454" t="s">
        <v>134</v>
      </c>
      <c r="F67" s="459">
        <f>'Пр.4 ведом.21'!G74</f>
        <v>105.9</v>
      </c>
      <c r="G67" s="459">
        <f>'Пр.4 ведом.21'!H74</f>
        <v>0</v>
      </c>
      <c r="H67" s="451">
        <f t="shared" si="2"/>
        <v>0</v>
      </c>
    </row>
    <row r="68" spans="1:8" s="200" customFormat="1" ht="47.25" x14ac:dyDescent="0.25">
      <c r="A68" s="45" t="s">
        <v>189</v>
      </c>
      <c r="B68" s="461" t="s">
        <v>118</v>
      </c>
      <c r="C68" s="454" t="s">
        <v>150</v>
      </c>
      <c r="D68" s="461" t="s">
        <v>920</v>
      </c>
      <c r="E68" s="461"/>
      <c r="F68" s="451">
        <f>F69+F71</f>
        <v>499.29999999999995</v>
      </c>
      <c r="G68" s="451">
        <f t="shared" ref="G68" si="33">G69+G71</f>
        <v>309</v>
      </c>
      <c r="H68" s="451">
        <f t="shared" si="2"/>
        <v>61.886641297816944</v>
      </c>
    </row>
    <row r="69" spans="1:8" s="200" customFormat="1" ht="78.75" x14ac:dyDescent="0.25">
      <c r="A69" s="29" t="s">
        <v>127</v>
      </c>
      <c r="B69" s="461" t="s">
        <v>118</v>
      </c>
      <c r="C69" s="454" t="s">
        <v>150</v>
      </c>
      <c r="D69" s="461" t="s">
        <v>920</v>
      </c>
      <c r="E69" s="461" t="s">
        <v>128</v>
      </c>
      <c r="F69" s="451">
        <f t="shared" ref="F69:G69" si="34">F70</f>
        <v>499.29999999999995</v>
      </c>
      <c r="G69" s="451">
        <f t="shared" si="34"/>
        <v>309</v>
      </c>
      <c r="H69" s="451">
        <f t="shared" si="2"/>
        <v>61.886641297816944</v>
      </c>
    </row>
    <row r="70" spans="1:8" s="200" customFormat="1" ht="31.5" x14ac:dyDescent="0.25">
      <c r="A70" s="29" t="s">
        <v>129</v>
      </c>
      <c r="B70" s="461" t="s">
        <v>118</v>
      </c>
      <c r="C70" s="454" t="s">
        <v>150</v>
      </c>
      <c r="D70" s="461" t="s">
        <v>920</v>
      </c>
      <c r="E70" s="461" t="s">
        <v>130</v>
      </c>
      <c r="F70" s="451">
        <f>'Пр.4 ведом.21'!G77</f>
        <v>499.29999999999995</v>
      </c>
      <c r="G70" s="451">
        <f>'Пр.4 ведом.21'!H77</f>
        <v>309</v>
      </c>
      <c r="H70" s="451">
        <f t="shared" si="2"/>
        <v>61.886641297816944</v>
      </c>
    </row>
    <row r="71" spans="1:8" s="200" customFormat="1" ht="31.5" hidden="1" x14ac:dyDescent="0.25">
      <c r="A71" s="458" t="s">
        <v>131</v>
      </c>
      <c r="B71" s="461" t="s">
        <v>118</v>
      </c>
      <c r="C71" s="454" t="s">
        <v>150</v>
      </c>
      <c r="D71" s="461" t="s">
        <v>920</v>
      </c>
      <c r="E71" s="461" t="s">
        <v>132</v>
      </c>
      <c r="F71" s="451">
        <f>F72</f>
        <v>0</v>
      </c>
      <c r="G71" s="451">
        <f t="shared" ref="G71" si="35">G72</f>
        <v>0</v>
      </c>
      <c r="H71" s="451" t="e">
        <f t="shared" si="2"/>
        <v>#DIV/0!</v>
      </c>
    </row>
    <row r="72" spans="1:8" s="200" customFormat="1" ht="47.25" hidden="1" x14ac:dyDescent="0.25">
      <c r="A72" s="458" t="s">
        <v>133</v>
      </c>
      <c r="B72" s="461" t="s">
        <v>118</v>
      </c>
      <c r="C72" s="454" t="s">
        <v>150</v>
      </c>
      <c r="D72" s="461" t="s">
        <v>920</v>
      </c>
      <c r="E72" s="461" t="s">
        <v>134</v>
      </c>
      <c r="F72" s="451">
        <f>'Пр.4 ведом.21'!G79</f>
        <v>0</v>
      </c>
      <c r="G72" s="451">
        <f>'Пр.4 ведом.21'!H79</f>
        <v>0</v>
      </c>
      <c r="H72" s="451" t="e">
        <f t="shared" si="2"/>
        <v>#DIV/0!</v>
      </c>
    </row>
    <row r="73" spans="1:8" s="200" customFormat="1" ht="47.25" x14ac:dyDescent="0.25">
      <c r="A73" s="31" t="s">
        <v>194</v>
      </c>
      <c r="B73" s="461" t="s">
        <v>118</v>
      </c>
      <c r="C73" s="454" t="s">
        <v>150</v>
      </c>
      <c r="D73" s="461" t="s">
        <v>1028</v>
      </c>
      <c r="E73" s="461"/>
      <c r="F73" s="451">
        <f>F74+F76</f>
        <v>1439.3999999999999</v>
      </c>
      <c r="G73" s="451">
        <f t="shared" ref="G73" si="36">G74+G76</f>
        <v>790.75800000000004</v>
      </c>
      <c r="H73" s="451">
        <f t="shared" si="2"/>
        <v>54.936640266777836</v>
      </c>
    </row>
    <row r="74" spans="1:8" s="200" customFormat="1" ht="78.75" x14ac:dyDescent="0.25">
      <c r="A74" s="29" t="s">
        <v>127</v>
      </c>
      <c r="B74" s="461" t="s">
        <v>118</v>
      </c>
      <c r="C74" s="454" t="s">
        <v>150</v>
      </c>
      <c r="D74" s="461" t="s">
        <v>1028</v>
      </c>
      <c r="E74" s="461" t="s">
        <v>128</v>
      </c>
      <c r="F74" s="451">
        <f t="shared" ref="F74:G74" si="37">F75</f>
        <v>1359.1</v>
      </c>
      <c r="G74" s="451">
        <f t="shared" si="37"/>
        <v>766.15800000000002</v>
      </c>
      <c r="H74" s="451">
        <f t="shared" si="2"/>
        <v>56.372452358178215</v>
      </c>
    </row>
    <row r="75" spans="1:8" s="200" customFormat="1" ht="31.5" x14ac:dyDescent="0.25">
      <c r="A75" s="29" t="s">
        <v>129</v>
      </c>
      <c r="B75" s="461" t="s">
        <v>118</v>
      </c>
      <c r="C75" s="454" t="s">
        <v>150</v>
      </c>
      <c r="D75" s="461" t="s">
        <v>1028</v>
      </c>
      <c r="E75" s="461" t="s">
        <v>130</v>
      </c>
      <c r="F75" s="451">
        <f>'Пр.4 ведом.21'!G82</f>
        <v>1359.1</v>
      </c>
      <c r="G75" s="451">
        <f>'Пр.4 ведом.21'!H82</f>
        <v>766.15800000000002</v>
      </c>
      <c r="H75" s="451">
        <f t="shared" ref="H75:H138" si="38">G75/F75*100</f>
        <v>56.372452358178215</v>
      </c>
    </row>
    <row r="76" spans="1:8" s="200" customFormat="1" ht="31.5" x14ac:dyDescent="0.25">
      <c r="A76" s="458" t="s">
        <v>131</v>
      </c>
      <c r="B76" s="461" t="s">
        <v>118</v>
      </c>
      <c r="C76" s="454" t="s">
        <v>150</v>
      </c>
      <c r="D76" s="461" t="s">
        <v>1028</v>
      </c>
      <c r="E76" s="461" t="s">
        <v>132</v>
      </c>
      <c r="F76" s="451">
        <f>F77</f>
        <v>80.3</v>
      </c>
      <c r="G76" s="451">
        <f t="shared" ref="G76" si="39">G77</f>
        <v>24.6</v>
      </c>
      <c r="H76" s="451">
        <f t="shared" si="38"/>
        <v>30.635118306351185</v>
      </c>
    </row>
    <row r="77" spans="1:8" s="200" customFormat="1" ht="47.25" x14ac:dyDescent="0.25">
      <c r="A77" s="458" t="s">
        <v>133</v>
      </c>
      <c r="B77" s="461" t="s">
        <v>118</v>
      </c>
      <c r="C77" s="454" t="s">
        <v>150</v>
      </c>
      <c r="D77" s="461" t="s">
        <v>1028</v>
      </c>
      <c r="E77" s="461" t="s">
        <v>134</v>
      </c>
      <c r="F77" s="451">
        <f>'Пр.4 ведом.21'!G84</f>
        <v>80.3</v>
      </c>
      <c r="G77" s="451">
        <f>'Пр.4 ведом.21'!H84</f>
        <v>24.6</v>
      </c>
      <c r="H77" s="451">
        <f t="shared" si="38"/>
        <v>30.635118306351185</v>
      </c>
    </row>
    <row r="78" spans="1:8" ht="47.25" x14ac:dyDescent="0.25">
      <c r="A78" s="45" t="s">
        <v>196</v>
      </c>
      <c r="B78" s="461" t="s">
        <v>118</v>
      </c>
      <c r="C78" s="454" t="s">
        <v>150</v>
      </c>
      <c r="D78" s="461" t="s">
        <v>921</v>
      </c>
      <c r="E78" s="461"/>
      <c r="F78" s="451">
        <f t="shared" ref="F78:G78" si="40">F79+F81</f>
        <v>1334.3000000000002</v>
      </c>
      <c r="G78" s="451">
        <f t="shared" si="40"/>
        <v>854.51800000000003</v>
      </c>
      <c r="H78" s="451">
        <f t="shared" si="38"/>
        <v>64.042419246046606</v>
      </c>
    </row>
    <row r="79" spans="1:8" ht="81.75" customHeight="1" x14ac:dyDescent="0.25">
      <c r="A79" s="29" t="s">
        <v>127</v>
      </c>
      <c r="B79" s="461" t="s">
        <v>118</v>
      </c>
      <c r="C79" s="454" t="s">
        <v>150</v>
      </c>
      <c r="D79" s="461" t="s">
        <v>921</v>
      </c>
      <c r="E79" s="461" t="s">
        <v>128</v>
      </c>
      <c r="F79" s="451">
        <f t="shared" ref="F79:G79" si="41">F80</f>
        <v>1293.0000000000002</v>
      </c>
      <c r="G79" s="451">
        <f t="shared" si="41"/>
        <v>845.51800000000003</v>
      </c>
      <c r="H79" s="451">
        <f t="shared" si="38"/>
        <v>65.391956689868508</v>
      </c>
    </row>
    <row r="80" spans="1:8" ht="36" customHeight="1" x14ac:dyDescent="0.25">
      <c r="A80" s="29" t="s">
        <v>129</v>
      </c>
      <c r="B80" s="461" t="s">
        <v>118</v>
      </c>
      <c r="C80" s="454" t="s">
        <v>150</v>
      </c>
      <c r="D80" s="461" t="s">
        <v>921</v>
      </c>
      <c r="E80" s="461" t="s">
        <v>130</v>
      </c>
      <c r="F80" s="451">
        <f>'Пр.4 ведом.21'!G87</f>
        <v>1293.0000000000002</v>
      </c>
      <c r="G80" s="451">
        <f>'Пр.4 ведом.21'!H87</f>
        <v>845.51800000000003</v>
      </c>
      <c r="H80" s="451">
        <f t="shared" si="38"/>
        <v>65.391956689868508</v>
      </c>
    </row>
    <row r="81" spans="1:8" ht="31.5" x14ac:dyDescent="0.25">
      <c r="A81" s="29" t="s">
        <v>131</v>
      </c>
      <c r="B81" s="461" t="s">
        <v>118</v>
      </c>
      <c r="C81" s="454" t="s">
        <v>150</v>
      </c>
      <c r="D81" s="461" t="s">
        <v>921</v>
      </c>
      <c r="E81" s="461" t="s">
        <v>132</v>
      </c>
      <c r="F81" s="451">
        <f t="shared" ref="F81:G81" si="42">F82</f>
        <v>41.300000000000004</v>
      </c>
      <c r="G81" s="451">
        <f t="shared" si="42"/>
        <v>9</v>
      </c>
      <c r="H81" s="451">
        <f t="shared" si="38"/>
        <v>21.791767554479417</v>
      </c>
    </row>
    <row r="82" spans="1:8" ht="47.25" x14ac:dyDescent="0.25">
      <c r="A82" s="29" t="s">
        <v>133</v>
      </c>
      <c r="B82" s="461" t="s">
        <v>118</v>
      </c>
      <c r="C82" s="454" t="s">
        <v>150</v>
      </c>
      <c r="D82" s="461" t="s">
        <v>921</v>
      </c>
      <c r="E82" s="461" t="s">
        <v>134</v>
      </c>
      <c r="F82" s="451">
        <f>'Пр.4 ведом.21'!G89</f>
        <v>41.300000000000004</v>
      </c>
      <c r="G82" s="451">
        <f>'Пр.4 ведом.21'!H89</f>
        <v>9</v>
      </c>
      <c r="H82" s="451">
        <f t="shared" si="38"/>
        <v>21.791767554479417</v>
      </c>
    </row>
    <row r="83" spans="1:8" s="200" customFormat="1" ht="94.5" hidden="1" x14ac:dyDescent="0.25">
      <c r="A83" s="31" t="s">
        <v>1170</v>
      </c>
      <c r="B83" s="454" t="s">
        <v>118</v>
      </c>
      <c r="C83" s="454" t="s">
        <v>150</v>
      </c>
      <c r="D83" s="454" t="s">
        <v>1169</v>
      </c>
      <c r="E83" s="454"/>
      <c r="F83" s="459">
        <f>F84</f>
        <v>0</v>
      </c>
      <c r="G83" s="459">
        <f t="shared" ref="G83:G84" si="43">G84</f>
        <v>0</v>
      </c>
      <c r="H83" s="451" t="e">
        <f t="shared" si="38"/>
        <v>#DIV/0!</v>
      </c>
    </row>
    <row r="84" spans="1:8" s="200" customFormat="1" ht="78.75" hidden="1" x14ac:dyDescent="0.25">
      <c r="A84" s="458" t="s">
        <v>127</v>
      </c>
      <c r="B84" s="454" t="s">
        <v>118</v>
      </c>
      <c r="C84" s="454" t="s">
        <v>150</v>
      </c>
      <c r="D84" s="454" t="s">
        <v>1169</v>
      </c>
      <c r="E84" s="454" t="s">
        <v>128</v>
      </c>
      <c r="F84" s="459">
        <f>F85</f>
        <v>0</v>
      </c>
      <c r="G84" s="459">
        <f t="shared" si="43"/>
        <v>0</v>
      </c>
      <c r="H84" s="451" t="e">
        <f t="shared" si="38"/>
        <v>#DIV/0!</v>
      </c>
    </row>
    <row r="85" spans="1:8" s="200" customFormat="1" ht="31.5" hidden="1" x14ac:dyDescent="0.25">
      <c r="A85" s="458" t="s">
        <v>129</v>
      </c>
      <c r="B85" s="454" t="s">
        <v>118</v>
      </c>
      <c r="C85" s="454" t="s">
        <v>150</v>
      </c>
      <c r="D85" s="454" t="s">
        <v>1169</v>
      </c>
      <c r="E85" s="454" t="s">
        <v>130</v>
      </c>
      <c r="F85" s="459">
        <f>'Пр.4 ведом.21'!G528</f>
        <v>0</v>
      </c>
      <c r="G85" s="459">
        <f>'Пр.4 ведом.21'!H528</f>
        <v>0</v>
      </c>
      <c r="H85" s="451" t="e">
        <f t="shared" si="38"/>
        <v>#DIV/0!</v>
      </c>
    </row>
    <row r="86" spans="1:8" s="200" customFormat="1" ht="47.25" x14ac:dyDescent="0.25">
      <c r="A86" s="456" t="s">
        <v>1341</v>
      </c>
      <c r="B86" s="457" t="s">
        <v>118</v>
      </c>
      <c r="C86" s="457" t="s">
        <v>150</v>
      </c>
      <c r="D86" s="457" t="s">
        <v>162</v>
      </c>
      <c r="E86" s="457"/>
      <c r="F86" s="450">
        <f>F87+F91+F100</f>
        <v>580.79999999999995</v>
      </c>
      <c r="G86" s="450">
        <f t="shared" ref="G86" si="44">G87+G91+G100</f>
        <v>438.11099999999999</v>
      </c>
      <c r="H86" s="450">
        <f t="shared" si="38"/>
        <v>75.432334710743802</v>
      </c>
    </row>
    <row r="87" spans="1:8" s="200" customFormat="1" ht="63" x14ac:dyDescent="0.25">
      <c r="A87" s="289" t="s">
        <v>1342</v>
      </c>
      <c r="B87" s="457" t="s">
        <v>118</v>
      </c>
      <c r="C87" s="457" t="s">
        <v>150</v>
      </c>
      <c r="D87" s="7" t="s">
        <v>849</v>
      </c>
      <c r="E87" s="457"/>
      <c r="F87" s="450">
        <f>F88</f>
        <v>426</v>
      </c>
      <c r="G87" s="450">
        <f t="shared" ref="G87:G89" si="45">G88</f>
        <v>283.86200000000002</v>
      </c>
      <c r="H87" s="450">
        <f t="shared" si="38"/>
        <v>66.63427230046949</v>
      </c>
    </row>
    <row r="88" spans="1:8" s="200" customFormat="1" ht="47.25" x14ac:dyDescent="0.25">
      <c r="A88" s="29" t="s">
        <v>1309</v>
      </c>
      <c r="B88" s="454" t="s">
        <v>118</v>
      </c>
      <c r="C88" s="454" t="s">
        <v>150</v>
      </c>
      <c r="D88" s="461" t="s">
        <v>841</v>
      </c>
      <c r="E88" s="454"/>
      <c r="F88" s="451">
        <f>F89</f>
        <v>426</v>
      </c>
      <c r="G88" s="451">
        <f t="shared" si="45"/>
        <v>283.86200000000002</v>
      </c>
      <c r="H88" s="451">
        <f t="shared" si="38"/>
        <v>66.63427230046949</v>
      </c>
    </row>
    <row r="89" spans="1:8" s="200" customFormat="1" ht="31.5" x14ac:dyDescent="0.25">
      <c r="A89" s="458" t="s">
        <v>131</v>
      </c>
      <c r="B89" s="454" t="s">
        <v>118</v>
      </c>
      <c r="C89" s="454" t="s">
        <v>150</v>
      </c>
      <c r="D89" s="461" t="s">
        <v>841</v>
      </c>
      <c r="E89" s="454" t="s">
        <v>132</v>
      </c>
      <c r="F89" s="451">
        <f>F90</f>
        <v>426</v>
      </c>
      <c r="G89" s="451">
        <f t="shared" si="45"/>
        <v>283.86200000000002</v>
      </c>
      <c r="H89" s="451">
        <f t="shared" si="38"/>
        <v>66.63427230046949</v>
      </c>
    </row>
    <row r="90" spans="1:8" s="200" customFormat="1" ht="47.25" x14ac:dyDescent="0.25">
      <c r="A90" s="458" t="s">
        <v>133</v>
      </c>
      <c r="B90" s="454" t="s">
        <v>118</v>
      </c>
      <c r="C90" s="454" t="s">
        <v>150</v>
      </c>
      <c r="D90" s="461" t="s">
        <v>841</v>
      </c>
      <c r="E90" s="454" t="s">
        <v>134</v>
      </c>
      <c r="F90" s="451">
        <f>'Пр.4 ведом.21'!G94</f>
        <v>426</v>
      </c>
      <c r="G90" s="451">
        <f>'Пр.4 ведом.21'!H94</f>
        <v>283.86200000000002</v>
      </c>
      <c r="H90" s="451">
        <f t="shared" si="38"/>
        <v>66.63427230046949</v>
      </c>
    </row>
    <row r="91" spans="1:8" s="200" customFormat="1" ht="63" x14ac:dyDescent="0.25">
      <c r="A91" s="215" t="s">
        <v>843</v>
      </c>
      <c r="B91" s="457" t="s">
        <v>118</v>
      </c>
      <c r="C91" s="457" t="s">
        <v>150</v>
      </c>
      <c r="D91" s="7" t="s">
        <v>850</v>
      </c>
      <c r="E91" s="457"/>
      <c r="F91" s="450">
        <f>F92+F97</f>
        <v>154.30000000000001</v>
      </c>
      <c r="G91" s="450">
        <f t="shared" ref="G91" si="46">G92+G97</f>
        <v>154.249</v>
      </c>
      <c r="H91" s="450">
        <f t="shared" si="38"/>
        <v>99.966947504860642</v>
      </c>
    </row>
    <row r="92" spans="1:8" s="200" customFormat="1" ht="47.25" x14ac:dyDescent="0.25">
      <c r="A92" s="174" t="s">
        <v>165</v>
      </c>
      <c r="B92" s="454" t="s">
        <v>118</v>
      </c>
      <c r="C92" s="454" t="s">
        <v>150</v>
      </c>
      <c r="D92" s="461" t="s">
        <v>842</v>
      </c>
      <c r="E92" s="454"/>
      <c r="F92" s="451">
        <f>F93+F95</f>
        <v>154.30000000000001</v>
      </c>
      <c r="G92" s="451">
        <f t="shared" ref="G92" si="47">G93+G95</f>
        <v>154.249</v>
      </c>
      <c r="H92" s="451">
        <f t="shared" si="38"/>
        <v>99.966947504860642</v>
      </c>
    </row>
    <row r="93" spans="1:8" s="200" customFormat="1" ht="78.75" x14ac:dyDescent="0.25">
      <c r="A93" s="458" t="s">
        <v>127</v>
      </c>
      <c r="B93" s="454" t="s">
        <v>118</v>
      </c>
      <c r="C93" s="454" t="s">
        <v>150</v>
      </c>
      <c r="D93" s="461" t="s">
        <v>842</v>
      </c>
      <c r="E93" s="454" t="s">
        <v>128</v>
      </c>
      <c r="F93" s="451">
        <f>F94</f>
        <v>109.3</v>
      </c>
      <c r="G93" s="451">
        <f t="shared" ref="G93" si="48">G94</f>
        <v>109.249</v>
      </c>
      <c r="H93" s="451">
        <f t="shared" si="38"/>
        <v>99.953339432753879</v>
      </c>
    </row>
    <row r="94" spans="1:8" s="200" customFormat="1" ht="31.5" x14ac:dyDescent="0.25">
      <c r="A94" s="458" t="s">
        <v>129</v>
      </c>
      <c r="B94" s="454" t="s">
        <v>118</v>
      </c>
      <c r="C94" s="454" t="s">
        <v>150</v>
      </c>
      <c r="D94" s="461" t="s">
        <v>842</v>
      </c>
      <c r="E94" s="454" t="s">
        <v>130</v>
      </c>
      <c r="F94" s="451">
        <f>'Пр.4 ведом.21'!G98</f>
        <v>109.3</v>
      </c>
      <c r="G94" s="451">
        <f>'Пр.4 ведом.21'!H98</f>
        <v>109.249</v>
      </c>
      <c r="H94" s="451">
        <f t="shared" si="38"/>
        <v>99.953339432753879</v>
      </c>
    </row>
    <row r="95" spans="1:8" s="200" customFormat="1" ht="31.5" x14ac:dyDescent="0.25">
      <c r="A95" s="458" t="s">
        <v>131</v>
      </c>
      <c r="B95" s="454" t="s">
        <v>118</v>
      </c>
      <c r="C95" s="454" t="s">
        <v>150</v>
      </c>
      <c r="D95" s="461" t="s">
        <v>842</v>
      </c>
      <c r="E95" s="454" t="s">
        <v>132</v>
      </c>
      <c r="F95" s="451">
        <f>F96</f>
        <v>45</v>
      </c>
      <c r="G95" s="451">
        <f t="shared" ref="G95" si="49">G96</f>
        <v>45</v>
      </c>
      <c r="H95" s="451">
        <f t="shared" si="38"/>
        <v>100</v>
      </c>
    </row>
    <row r="96" spans="1:8" s="200" customFormat="1" ht="47.25" x14ac:dyDescent="0.25">
      <c r="A96" s="458" t="s">
        <v>133</v>
      </c>
      <c r="B96" s="454" t="s">
        <v>118</v>
      </c>
      <c r="C96" s="454" t="s">
        <v>150</v>
      </c>
      <c r="D96" s="461" t="s">
        <v>842</v>
      </c>
      <c r="E96" s="454" t="s">
        <v>134</v>
      </c>
      <c r="F96" s="451">
        <f>'Пр.4 ведом.21'!G100</f>
        <v>45</v>
      </c>
      <c r="G96" s="451">
        <f>'Пр.4 ведом.21'!H100</f>
        <v>45</v>
      </c>
      <c r="H96" s="451">
        <f t="shared" si="38"/>
        <v>100</v>
      </c>
    </row>
    <row r="97" spans="1:8" s="200" customFormat="1" ht="47.25" hidden="1" x14ac:dyDescent="0.25">
      <c r="A97" s="31" t="s">
        <v>1095</v>
      </c>
      <c r="B97" s="454" t="s">
        <v>118</v>
      </c>
      <c r="C97" s="454" t="s">
        <v>150</v>
      </c>
      <c r="D97" s="461" t="s">
        <v>993</v>
      </c>
      <c r="E97" s="454"/>
      <c r="F97" s="459">
        <f>F98</f>
        <v>0</v>
      </c>
      <c r="G97" s="459">
        <f t="shared" ref="G97:G98" si="50">G98</f>
        <v>0</v>
      </c>
      <c r="H97" s="451" t="e">
        <f t="shared" si="38"/>
        <v>#DIV/0!</v>
      </c>
    </row>
    <row r="98" spans="1:8" s="200" customFormat="1" ht="31.5" hidden="1" x14ac:dyDescent="0.25">
      <c r="A98" s="458" t="s">
        <v>131</v>
      </c>
      <c r="B98" s="454" t="s">
        <v>118</v>
      </c>
      <c r="C98" s="454" t="s">
        <v>150</v>
      </c>
      <c r="D98" s="461" t="s">
        <v>993</v>
      </c>
      <c r="E98" s="454" t="s">
        <v>132</v>
      </c>
      <c r="F98" s="459">
        <f>F99</f>
        <v>0</v>
      </c>
      <c r="G98" s="459">
        <f t="shared" si="50"/>
        <v>0</v>
      </c>
      <c r="H98" s="451" t="e">
        <f t="shared" si="38"/>
        <v>#DIV/0!</v>
      </c>
    </row>
    <row r="99" spans="1:8" s="200" customFormat="1" ht="47.25" hidden="1" x14ac:dyDescent="0.25">
      <c r="A99" s="458" t="s">
        <v>133</v>
      </c>
      <c r="B99" s="454" t="s">
        <v>118</v>
      </c>
      <c r="C99" s="454" t="s">
        <v>150</v>
      </c>
      <c r="D99" s="461" t="s">
        <v>993</v>
      </c>
      <c r="E99" s="454" t="s">
        <v>134</v>
      </c>
      <c r="F99" s="459"/>
      <c r="G99" s="459"/>
      <c r="H99" s="451" t="e">
        <f t="shared" si="38"/>
        <v>#DIV/0!</v>
      </c>
    </row>
    <row r="100" spans="1:8" s="200" customFormat="1" ht="63" x14ac:dyDescent="0.25">
      <c r="A100" s="216" t="s">
        <v>1003</v>
      </c>
      <c r="B100" s="457" t="s">
        <v>118</v>
      </c>
      <c r="C100" s="457" t="s">
        <v>150</v>
      </c>
      <c r="D100" s="7" t="s">
        <v>851</v>
      </c>
      <c r="E100" s="457"/>
      <c r="F100" s="450">
        <f>F101</f>
        <v>0.5</v>
      </c>
      <c r="G100" s="450">
        <f t="shared" ref="G100:G102" si="51">G101</f>
        <v>0</v>
      </c>
      <c r="H100" s="450">
        <f t="shared" si="38"/>
        <v>0</v>
      </c>
    </row>
    <row r="101" spans="1:8" s="200" customFormat="1" ht="47.25" x14ac:dyDescent="0.25">
      <c r="A101" s="33" t="s">
        <v>191</v>
      </c>
      <c r="B101" s="454" t="s">
        <v>118</v>
      </c>
      <c r="C101" s="454" t="s">
        <v>150</v>
      </c>
      <c r="D101" s="461" t="s">
        <v>844</v>
      </c>
      <c r="E101" s="454"/>
      <c r="F101" s="451">
        <f>F102</f>
        <v>0.5</v>
      </c>
      <c r="G101" s="451">
        <f t="shared" si="51"/>
        <v>0</v>
      </c>
      <c r="H101" s="451">
        <f t="shared" si="38"/>
        <v>0</v>
      </c>
    </row>
    <row r="102" spans="1:8" s="200" customFormat="1" ht="31.5" x14ac:dyDescent="0.25">
      <c r="A102" s="458" t="s">
        <v>131</v>
      </c>
      <c r="B102" s="454" t="s">
        <v>118</v>
      </c>
      <c r="C102" s="454" t="s">
        <v>150</v>
      </c>
      <c r="D102" s="461" t="s">
        <v>844</v>
      </c>
      <c r="E102" s="454" t="s">
        <v>132</v>
      </c>
      <c r="F102" s="451">
        <f>F103</f>
        <v>0.5</v>
      </c>
      <c r="G102" s="451">
        <f t="shared" si="51"/>
        <v>0</v>
      </c>
      <c r="H102" s="451">
        <f t="shared" si="38"/>
        <v>0</v>
      </c>
    </row>
    <row r="103" spans="1:8" s="200" customFormat="1" ht="47.25" x14ac:dyDescent="0.25">
      <c r="A103" s="458" t="s">
        <v>133</v>
      </c>
      <c r="B103" s="454" t="s">
        <v>118</v>
      </c>
      <c r="C103" s="454" t="s">
        <v>150</v>
      </c>
      <c r="D103" s="461" t="s">
        <v>844</v>
      </c>
      <c r="E103" s="454" t="s">
        <v>134</v>
      </c>
      <c r="F103" s="451">
        <f>'Пр.4 ведом.21'!G107</f>
        <v>0.5</v>
      </c>
      <c r="G103" s="451">
        <f>'Пр.4 ведом.21'!H107</f>
        <v>0</v>
      </c>
      <c r="H103" s="451">
        <f t="shared" si="38"/>
        <v>0</v>
      </c>
    </row>
    <row r="104" spans="1:8" ht="47.25" x14ac:dyDescent="0.25">
      <c r="A104" s="462" t="s">
        <v>119</v>
      </c>
      <c r="B104" s="7" t="s">
        <v>118</v>
      </c>
      <c r="C104" s="7" t="s">
        <v>120</v>
      </c>
      <c r="D104" s="7"/>
      <c r="E104" s="7"/>
      <c r="F104" s="450">
        <f t="shared" ref="F104:G104" si="52">F105</f>
        <v>16854.7</v>
      </c>
      <c r="G104" s="450">
        <f t="shared" si="52"/>
        <v>12805.876</v>
      </c>
      <c r="H104" s="450">
        <f t="shared" si="38"/>
        <v>75.978071398482314</v>
      </c>
    </row>
    <row r="105" spans="1:8" ht="31.5" x14ac:dyDescent="0.25">
      <c r="A105" s="456" t="s">
        <v>917</v>
      </c>
      <c r="B105" s="7" t="s">
        <v>118</v>
      </c>
      <c r="C105" s="7" t="s">
        <v>120</v>
      </c>
      <c r="D105" s="7" t="s">
        <v>858</v>
      </c>
      <c r="E105" s="7"/>
      <c r="F105" s="450">
        <f>F115+F106</f>
        <v>16854.7</v>
      </c>
      <c r="G105" s="450">
        <f t="shared" ref="G105" si="53">G115+G106</f>
        <v>12805.876</v>
      </c>
      <c r="H105" s="450">
        <f t="shared" si="38"/>
        <v>75.978071398482314</v>
      </c>
    </row>
    <row r="106" spans="1:8" s="200" customFormat="1" ht="31.5" x14ac:dyDescent="0.25">
      <c r="A106" s="456" t="s">
        <v>986</v>
      </c>
      <c r="B106" s="7" t="s">
        <v>118</v>
      </c>
      <c r="C106" s="7" t="s">
        <v>120</v>
      </c>
      <c r="D106" s="7" t="s">
        <v>987</v>
      </c>
      <c r="E106" s="7"/>
      <c r="F106" s="450">
        <f>F107+F112</f>
        <v>1926.5</v>
      </c>
      <c r="G106" s="450">
        <f t="shared" ref="G106" si="54">G107+G112</f>
        <v>1470.604</v>
      </c>
      <c r="H106" s="450">
        <f t="shared" si="38"/>
        <v>76.335530755255647</v>
      </c>
    </row>
    <row r="107" spans="1:8" s="200" customFormat="1" ht="31.5" x14ac:dyDescent="0.25">
      <c r="A107" s="458" t="s">
        <v>897</v>
      </c>
      <c r="B107" s="454" t="s">
        <v>118</v>
      </c>
      <c r="C107" s="454" t="s">
        <v>120</v>
      </c>
      <c r="D107" s="454" t="s">
        <v>991</v>
      </c>
      <c r="E107" s="454"/>
      <c r="F107" s="451">
        <f>F108+F110</f>
        <v>1830.5</v>
      </c>
      <c r="G107" s="451">
        <f t="shared" ref="G107" si="55">G108+G110</f>
        <v>1376.104</v>
      </c>
      <c r="H107" s="451">
        <f t="shared" si="38"/>
        <v>75.176399890740242</v>
      </c>
    </row>
    <row r="108" spans="1:8" s="200" customFormat="1" ht="78.75" x14ac:dyDescent="0.25">
      <c r="A108" s="458" t="s">
        <v>127</v>
      </c>
      <c r="B108" s="454" t="s">
        <v>118</v>
      </c>
      <c r="C108" s="454" t="s">
        <v>120</v>
      </c>
      <c r="D108" s="454" t="s">
        <v>991</v>
      </c>
      <c r="E108" s="454" t="s">
        <v>128</v>
      </c>
      <c r="F108" s="451">
        <f>F109</f>
        <v>1812.5</v>
      </c>
      <c r="G108" s="451">
        <f t="shared" ref="G108" si="56">G109</f>
        <v>1376.104</v>
      </c>
      <c r="H108" s="451">
        <f t="shared" si="38"/>
        <v>75.922979310344829</v>
      </c>
    </row>
    <row r="109" spans="1:8" s="200" customFormat="1" ht="31.5" x14ac:dyDescent="0.25">
      <c r="A109" s="458" t="s">
        <v>129</v>
      </c>
      <c r="B109" s="454" t="s">
        <v>118</v>
      </c>
      <c r="C109" s="454" t="s">
        <v>120</v>
      </c>
      <c r="D109" s="454" t="s">
        <v>991</v>
      </c>
      <c r="E109" s="454" t="s">
        <v>130</v>
      </c>
      <c r="F109" s="451">
        <f>'Пр.4 ведом.21'!G1138</f>
        <v>1812.5</v>
      </c>
      <c r="G109" s="451">
        <f>'Пр.4 ведом.21'!H1138</f>
        <v>1376.104</v>
      </c>
      <c r="H109" s="451">
        <f t="shared" si="38"/>
        <v>75.922979310344829</v>
      </c>
    </row>
    <row r="110" spans="1:8" s="200" customFormat="1" ht="31.5" x14ac:dyDescent="0.25">
      <c r="A110" s="458" t="s">
        <v>198</v>
      </c>
      <c r="B110" s="454" t="s">
        <v>118</v>
      </c>
      <c r="C110" s="454" t="s">
        <v>120</v>
      </c>
      <c r="D110" s="454" t="s">
        <v>991</v>
      </c>
      <c r="E110" s="454" t="s">
        <v>132</v>
      </c>
      <c r="F110" s="451">
        <f>F111</f>
        <v>18</v>
      </c>
      <c r="G110" s="451">
        <f t="shared" ref="G110" si="57">G111</f>
        <v>0</v>
      </c>
      <c r="H110" s="451">
        <f t="shared" si="38"/>
        <v>0</v>
      </c>
    </row>
    <row r="111" spans="1:8" s="200" customFormat="1" ht="47.25" x14ac:dyDescent="0.25">
      <c r="A111" s="458" t="s">
        <v>133</v>
      </c>
      <c r="B111" s="454" t="s">
        <v>118</v>
      </c>
      <c r="C111" s="454" t="s">
        <v>120</v>
      </c>
      <c r="D111" s="454" t="s">
        <v>991</v>
      </c>
      <c r="E111" s="454" t="s">
        <v>134</v>
      </c>
      <c r="F111" s="451">
        <f>'Пр.4 ведом.21'!G1140</f>
        <v>18</v>
      </c>
      <c r="G111" s="451">
        <f>'Пр.4 ведом.21'!H1140</f>
        <v>0</v>
      </c>
      <c r="H111" s="451">
        <f t="shared" si="38"/>
        <v>0</v>
      </c>
    </row>
    <row r="112" spans="1:8" s="200" customFormat="1" ht="47.25" x14ac:dyDescent="0.25">
      <c r="A112" s="458" t="s">
        <v>839</v>
      </c>
      <c r="B112" s="454" t="s">
        <v>118</v>
      </c>
      <c r="C112" s="454" t="s">
        <v>120</v>
      </c>
      <c r="D112" s="454" t="s">
        <v>989</v>
      </c>
      <c r="E112" s="454"/>
      <c r="F112" s="451">
        <f>F113</f>
        <v>96</v>
      </c>
      <c r="G112" s="451">
        <f t="shared" ref="G112:G113" si="58">G113</f>
        <v>94.5</v>
      </c>
      <c r="H112" s="451">
        <f t="shared" si="38"/>
        <v>98.4375</v>
      </c>
    </row>
    <row r="113" spans="1:8" s="200" customFormat="1" ht="78.75" x14ac:dyDescent="0.25">
      <c r="A113" s="458" t="s">
        <v>127</v>
      </c>
      <c r="B113" s="454" t="s">
        <v>118</v>
      </c>
      <c r="C113" s="454" t="s">
        <v>120</v>
      </c>
      <c r="D113" s="454" t="s">
        <v>989</v>
      </c>
      <c r="E113" s="454" t="s">
        <v>128</v>
      </c>
      <c r="F113" s="451">
        <f>F114</f>
        <v>96</v>
      </c>
      <c r="G113" s="451">
        <f t="shared" si="58"/>
        <v>94.5</v>
      </c>
      <c r="H113" s="451">
        <f t="shared" si="38"/>
        <v>98.4375</v>
      </c>
    </row>
    <row r="114" spans="1:8" s="200" customFormat="1" ht="31.5" x14ac:dyDescent="0.25">
      <c r="A114" s="458" t="s">
        <v>129</v>
      </c>
      <c r="B114" s="454" t="s">
        <v>118</v>
      </c>
      <c r="C114" s="454" t="s">
        <v>120</v>
      </c>
      <c r="D114" s="454" t="s">
        <v>989</v>
      </c>
      <c r="E114" s="454" t="s">
        <v>130</v>
      </c>
      <c r="F114" s="451">
        <f>'Пр.4 ведом.21'!G1143</f>
        <v>96</v>
      </c>
      <c r="G114" s="451">
        <f>'Пр.4 ведом.21'!H1143</f>
        <v>94.5</v>
      </c>
      <c r="H114" s="451">
        <f t="shared" si="38"/>
        <v>98.4375</v>
      </c>
    </row>
    <row r="115" spans="1:8" ht="15.75" x14ac:dyDescent="0.25">
      <c r="A115" s="456" t="s">
        <v>918</v>
      </c>
      <c r="B115" s="7" t="s">
        <v>118</v>
      </c>
      <c r="C115" s="7" t="s">
        <v>120</v>
      </c>
      <c r="D115" s="7" t="s">
        <v>859</v>
      </c>
      <c r="E115" s="7"/>
      <c r="F115" s="450">
        <f>F116+F123</f>
        <v>14928.2</v>
      </c>
      <c r="G115" s="450">
        <f t="shared" ref="G115" si="59">G116+G123</f>
        <v>11335.272000000001</v>
      </c>
      <c r="H115" s="450">
        <f t="shared" si="38"/>
        <v>75.931940890395367</v>
      </c>
    </row>
    <row r="116" spans="1:8" ht="37.5" customHeight="1" x14ac:dyDescent="0.25">
      <c r="A116" s="29" t="s">
        <v>897</v>
      </c>
      <c r="B116" s="461" t="s">
        <v>118</v>
      </c>
      <c r="C116" s="461" t="s">
        <v>120</v>
      </c>
      <c r="D116" s="461" t="s">
        <v>860</v>
      </c>
      <c r="E116" s="461"/>
      <c r="F116" s="451">
        <f t="shared" ref="F116:G116" si="60">F117+F119+F121</f>
        <v>14452.2</v>
      </c>
      <c r="G116" s="451">
        <f t="shared" si="60"/>
        <v>11016.11</v>
      </c>
      <c r="H116" s="451">
        <f t="shared" si="38"/>
        <v>76.224450256708323</v>
      </c>
    </row>
    <row r="117" spans="1:8" ht="78.75" x14ac:dyDescent="0.25">
      <c r="A117" s="29" t="s">
        <v>127</v>
      </c>
      <c r="B117" s="461" t="s">
        <v>118</v>
      </c>
      <c r="C117" s="461" t="s">
        <v>120</v>
      </c>
      <c r="D117" s="461" t="s">
        <v>860</v>
      </c>
      <c r="E117" s="461" t="s">
        <v>128</v>
      </c>
      <c r="F117" s="451">
        <f t="shared" ref="F117:G117" si="61">F118</f>
        <v>13367.2</v>
      </c>
      <c r="G117" s="451">
        <f t="shared" si="61"/>
        <v>10505.358</v>
      </c>
      <c r="H117" s="451">
        <f t="shared" si="38"/>
        <v>78.590564964988928</v>
      </c>
    </row>
    <row r="118" spans="1:8" ht="31.5" x14ac:dyDescent="0.25">
      <c r="A118" s="29" t="s">
        <v>129</v>
      </c>
      <c r="B118" s="461" t="s">
        <v>118</v>
      </c>
      <c r="C118" s="461" t="s">
        <v>120</v>
      </c>
      <c r="D118" s="461" t="s">
        <v>860</v>
      </c>
      <c r="E118" s="461" t="s">
        <v>130</v>
      </c>
      <c r="F118" s="360">
        <f>'Пр.4 ведом.21'!G18+'Пр.4 ведом.21'!G116</f>
        <v>13367.2</v>
      </c>
      <c r="G118" s="360">
        <f>'Пр.4 ведом.21'!H18+'Пр.4 ведом.21'!H116</f>
        <v>10505.358</v>
      </c>
      <c r="H118" s="451">
        <f t="shared" si="38"/>
        <v>78.590564964988928</v>
      </c>
    </row>
    <row r="119" spans="1:8" ht="31.5" x14ac:dyDescent="0.25">
      <c r="A119" s="29" t="s">
        <v>131</v>
      </c>
      <c r="B119" s="461" t="s">
        <v>118</v>
      </c>
      <c r="C119" s="461" t="s">
        <v>120</v>
      </c>
      <c r="D119" s="461" t="s">
        <v>860</v>
      </c>
      <c r="E119" s="461" t="s">
        <v>132</v>
      </c>
      <c r="F119" s="451">
        <f t="shared" ref="F119:G119" si="62">F120</f>
        <v>1060</v>
      </c>
      <c r="G119" s="451">
        <f t="shared" si="62"/>
        <v>509.33699999999999</v>
      </c>
      <c r="H119" s="451">
        <f t="shared" si="38"/>
        <v>48.05066037735849</v>
      </c>
    </row>
    <row r="120" spans="1:8" ht="47.25" x14ac:dyDescent="0.25">
      <c r="A120" s="29" t="s">
        <v>133</v>
      </c>
      <c r="B120" s="461" t="s">
        <v>118</v>
      </c>
      <c r="C120" s="461" t="s">
        <v>120</v>
      </c>
      <c r="D120" s="461" t="s">
        <v>860</v>
      </c>
      <c r="E120" s="461" t="s">
        <v>134</v>
      </c>
      <c r="F120" s="451">
        <f>'Пр.4 ведом.21'!G20</f>
        <v>1060</v>
      </c>
      <c r="G120" s="451">
        <f>'Пр.4 ведом.21'!H20</f>
        <v>509.33699999999999</v>
      </c>
      <c r="H120" s="451">
        <f t="shared" si="38"/>
        <v>48.05066037735849</v>
      </c>
    </row>
    <row r="121" spans="1:8" ht="15.75" x14ac:dyDescent="0.25">
      <c r="A121" s="29" t="s">
        <v>135</v>
      </c>
      <c r="B121" s="461" t="s">
        <v>118</v>
      </c>
      <c r="C121" s="461" t="s">
        <v>120</v>
      </c>
      <c r="D121" s="461" t="s">
        <v>860</v>
      </c>
      <c r="E121" s="461" t="s">
        <v>145</v>
      </c>
      <c r="F121" s="451">
        <f t="shared" ref="F121:G121" si="63">F122</f>
        <v>25</v>
      </c>
      <c r="G121" s="451">
        <f t="shared" si="63"/>
        <v>1.415</v>
      </c>
      <c r="H121" s="451">
        <f t="shared" si="38"/>
        <v>5.66</v>
      </c>
    </row>
    <row r="122" spans="1:8" ht="15.75" x14ac:dyDescent="0.25">
      <c r="A122" s="29" t="s">
        <v>568</v>
      </c>
      <c r="B122" s="461" t="s">
        <v>118</v>
      </c>
      <c r="C122" s="461" t="s">
        <v>120</v>
      </c>
      <c r="D122" s="461" t="s">
        <v>860</v>
      </c>
      <c r="E122" s="461" t="s">
        <v>138</v>
      </c>
      <c r="F122" s="451">
        <f>'Пр.4 ведом.21'!G22</f>
        <v>25</v>
      </c>
      <c r="G122" s="451">
        <f>'Пр.4 ведом.21'!H22</f>
        <v>1.415</v>
      </c>
      <c r="H122" s="451">
        <f t="shared" si="38"/>
        <v>5.66</v>
      </c>
    </row>
    <row r="123" spans="1:8" s="200" customFormat="1" ht="54" customHeight="1" x14ac:dyDescent="0.25">
      <c r="A123" s="458" t="s">
        <v>839</v>
      </c>
      <c r="B123" s="454" t="s">
        <v>118</v>
      </c>
      <c r="C123" s="454" t="s">
        <v>120</v>
      </c>
      <c r="D123" s="454" t="s">
        <v>862</v>
      </c>
      <c r="E123" s="454"/>
      <c r="F123" s="451">
        <f>F124</f>
        <v>476</v>
      </c>
      <c r="G123" s="451">
        <f t="shared" ref="G123:G124" si="64">G124</f>
        <v>319.16199999999998</v>
      </c>
      <c r="H123" s="451">
        <f t="shared" si="38"/>
        <v>67.050840336134456</v>
      </c>
    </row>
    <row r="124" spans="1:8" s="200" customFormat="1" ht="80.45" customHeight="1" x14ac:dyDescent="0.25">
      <c r="A124" s="458" t="s">
        <v>127</v>
      </c>
      <c r="B124" s="454" t="s">
        <v>118</v>
      </c>
      <c r="C124" s="454" t="s">
        <v>120</v>
      </c>
      <c r="D124" s="454" t="s">
        <v>862</v>
      </c>
      <c r="E124" s="454" t="s">
        <v>128</v>
      </c>
      <c r="F124" s="451">
        <f>F125</f>
        <v>476</v>
      </c>
      <c r="G124" s="451">
        <f t="shared" si="64"/>
        <v>319.16199999999998</v>
      </c>
      <c r="H124" s="451">
        <f t="shared" si="38"/>
        <v>67.050840336134456</v>
      </c>
    </row>
    <row r="125" spans="1:8" s="200" customFormat="1" ht="36" customHeight="1" x14ac:dyDescent="0.25">
      <c r="A125" s="458" t="s">
        <v>129</v>
      </c>
      <c r="B125" s="454" t="s">
        <v>118</v>
      </c>
      <c r="C125" s="454" t="s">
        <v>120</v>
      </c>
      <c r="D125" s="454" t="s">
        <v>862</v>
      </c>
      <c r="E125" s="454" t="s">
        <v>130</v>
      </c>
      <c r="F125" s="451">
        <f>'Пр.4 ведом.21'!G25+'Пр.4 ведом.21'!G119</f>
        <v>476</v>
      </c>
      <c r="G125" s="451">
        <f>'Пр.4 ведом.21'!H25+'Пр.4 ведом.21'!H119</f>
        <v>319.16199999999998</v>
      </c>
      <c r="H125" s="451">
        <f t="shared" si="38"/>
        <v>67.050840336134456</v>
      </c>
    </row>
    <row r="126" spans="1:8" s="200" customFormat="1" ht="20.25" hidden="1" customHeight="1" x14ac:dyDescent="0.25">
      <c r="A126" s="456" t="s">
        <v>1148</v>
      </c>
      <c r="B126" s="457" t="s">
        <v>118</v>
      </c>
      <c r="C126" s="457" t="s">
        <v>264</v>
      </c>
      <c r="D126" s="457"/>
      <c r="E126" s="454"/>
      <c r="F126" s="455">
        <f>F127</f>
        <v>0</v>
      </c>
      <c r="G126" s="455">
        <f t="shared" ref="G126:G128" si="65">G127</f>
        <v>0</v>
      </c>
      <c r="H126" s="451" t="e">
        <f t="shared" si="38"/>
        <v>#DIV/0!</v>
      </c>
    </row>
    <row r="127" spans="1:8" s="200" customFormat="1" ht="23.25" hidden="1" customHeight="1" x14ac:dyDescent="0.25">
      <c r="A127" s="456" t="s">
        <v>141</v>
      </c>
      <c r="B127" s="457" t="s">
        <v>118</v>
      </c>
      <c r="C127" s="457" t="s">
        <v>264</v>
      </c>
      <c r="D127" s="457" t="s">
        <v>866</v>
      </c>
      <c r="E127" s="454"/>
      <c r="F127" s="455">
        <f>F128</f>
        <v>0</v>
      </c>
      <c r="G127" s="455">
        <f t="shared" si="65"/>
        <v>0</v>
      </c>
      <c r="H127" s="451" t="e">
        <f t="shared" si="38"/>
        <v>#DIV/0!</v>
      </c>
    </row>
    <row r="128" spans="1:8" s="200" customFormat="1" ht="36" hidden="1" customHeight="1" x14ac:dyDescent="0.25">
      <c r="A128" s="456" t="s">
        <v>870</v>
      </c>
      <c r="B128" s="457" t="s">
        <v>118</v>
      </c>
      <c r="C128" s="457" t="s">
        <v>264</v>
      </c>
      <c r="D128" s="457" t="s">
        <v>865</v>
      </c>
      <c r="E128" s="454"/>
      <c r="F128" s="455">
        <f>F129</f>
        <v>0</v>
      </c>
      <c r="G128" s="455">
        <f t="shared" si="65"/>
        <v>0</v>
      </c>
      <c r="H128" s="451" t="e">
        <f t="shared" si="38"/>
        <v>#DIV/0!</v>
      </c>
    </row>
    <row r="129" spans="1:10" s="200" customFormat="1" ht="24" hidden="1" customHeight="1" x14ac:dyDescent="0.25">
      <c r="A129" s="45" t="s">
        <v>199</v>
      </c>
      <c r="B129" s="454" t="s">
        <v>118</v>
      </c>
      <c r="C129" s="454" t="s">
        <v>264</v>
      </c>
      <c r="D129" s="454" t="s">
        <v>1147</v>
      </c>
      <c r="E129" s="454"/>
      <c r="F129" s="459">
        <f>F130+F132</f>
        <v>0</v>
      </c>
      <c r="G129" s="459">
        <f t="shared" ref="G129" si="66">G130+G132</f>
        <v>0</v>
      </c>
      <c r="H129" s="451" t="e">
        <f t="shared" si="38"/>
        <v>#DIV/0!</v>
      </c>
    </row>
    <row r="130" spans="1:10" s="200" customFormat="1" ht="78.75" hidden="1" customHeight="1" x14ac:dyDescent="0.25">
      <c r="A130" s="458" t="s">
        <v>127</v>
      </c>
      <c r="B130" s="454" t="s">
        <v>118</v>
      </c>
      <c r="C130" s="454" t="s">
        <v>264</v>
      </c>
      <c r="D130" s="454" t="s">
        <v>1147</v>
      </c>
      <c r="E130" s="454" t="s">
        <v>128</v>
      </c>
      <c r="F130" s="459">
        <f>F131</f>
        <v>0</v>
      </c>
      <c r="G130" s="459">
        <f t="shared" ref="G130" si="67">G131</f>
        <v>0</v>
      </c>
      <c r="H130" s="451" t="e">
        <f t="shared" si="38"/>
        <v>#DIV/0!</v>
      </c>
    </row>
    <row r="131" spans="1:10" s="200" customFormat="1" ht="36" hidden="1" customHeight="1" x14ac:dyDescent="0.25">
      <c r="A131" s="458" t="s">
        <v>129</v>
      </c>
      <c r="B131" s="454" t="s">
        <v>118</v>
      </c>
      <c r="C131" s="454" t="s">
        <v>264</v>
      </c>
      <c r="D131" s="454" t="s">
        <v>1147</v>
      </c>
      <c r="E131" s="454" t="s">
        <v>130</v>
      </c>
      <c r="F131" s="459">
        <f>'Пр.4 ведом.21'!G125</f>
        <v>0</v>
      </c>
      <c r="G131" s="459">
        <f>'Пр.4 ведом.21'!H125</f>
        <v>0</v>
      </c>
      <c r="H131" s="451" t="e">
        <f t="shared" si="38"/>
        <v>#DIV/0!</v>
      </c>
    </row>
    <row r="132" spans="1:10" s="200" customFormat="1" ht="36" hidden="1" customHeight="1" x14ac:dyDescent="0.25">
      <c r="A132" s="458" t="s">
        <v>198</v>
      </c>
      <c r="B132" s="454" t="s">
        <v>118</v>
      </c>
      <c r="C132" s="454" t="s">
        <v>264</v>
      </c>
      <c r="D132" s="454" t="s">
        <v>1147</v>
      </c>
      <c r="E132" s="454" t="s">
        <v>132</v>
      </c>
      <c r="F132" s="459">
        <f>F133</f>
        <v>0</v>
      </c>
      <c r="G132" s="459">
        <f t="shared" ref="G132" si="68">G133</f>
        <v>0</v>
      </c>
      <c r="H132" s="451" t="e">
        <f t="shared" si="38"/>
        <v>#DIV/0!</v>
      </c>
    </row>
    <row r="133" spans="1:10" s="200" customFormat="1" ht="36" hidden="1" customHeight="1" x14ac:dyDescent="0.25">
      <c r="A133" s="458" t="s">
        <v>133</v>
      </c>
      <c r="B133" s="454" t="s">
        <v>118</v>
      </c>
      <c r="C133" s="454" t="s">
        <v>264</v>
      </c>
      <c r="D133" s="454" t="s">
        <v>1147</v>
      </c>
      <c r="E133" s="454" t="s">
        <v>134</v>
      </c>
      <c r="F133" s="459">
        <f>'Пр.4 ведом.21'!G127</f>
        <v>0</v>
      </c>
      <c r="G133" s="459">
        <f>'Пр.4 ведом.21'!H127</f>
        <v>0</v>
      </c>
      <c r="H133" s="451" t="e">
        <f t="shared" si="38"/>
        <v>#DIV/0!</v>
      </c>
    </row>
    <row r="134" spans="1:10" s="200" customFormat="1" ht="22.7" customHeight="1" x14ac:dyDescent="0.25">
      <c r="A134" s="456" t="s">
        <v>1403</v>
      </c>
      <c r="B134" s="457" t="s">
        <v>118</v>
      </c>
      <c r="C134" s="457" t="s">
        <v>491</v>
      </c>
      <c r="D134" s="457"/>
      <c r="E134" s="457"/>
      <c r="F134" s="455">
        <f>F135</f>
        <v>50</v>
      </c>
      <c r="G134" s="455">
        <f t="shared" ref="G134" si="69">G135</f>
        <v>0</v>
      </c>
      <c r="H134" s="450">
        <f t="shared" si="38"/>
        <v>0</v>
      </c>
    </row>
    <row r="135" spans="1:10" s="200" customFormat="1" ht="18.399999999999999" customHeight="1" x14ac:dyDescent="0.25">
      <c r="A135" s="456" t="s">
        <v>141</v>
      </c>
      <c r="B135" s="457" t="s">
        <v>118</v>
      </c>
      <c r="C135" s="457" t="s">
        <v>491</v>
      </c>
      <c r="D135" s="457" t="s">
        <v>866</v>
      </c>
      <c r="E135" s="457"/>
      <c r="F135" s="455">
        <f t="shared" ref="F135:G138" si="70">F136</f>
        <v>50</v>
      </c>
      <c r="G135" s="455">
        <f t="shared" si="70"/>
        <v>0</v>
      </c>
      <c r="H135" s="450">
        <f t="shared" si="38"/>
        <v>0</v>
      </c>
    </row>
    <row r="136" spans="1:10" s="200" customFormat="1" ht="36" customHeight="1" x14ac:dyDescent="0.25">
      <c r="A136" s="456" t="s">
        <v>870</v>
      </c>
      <c r="B136" s="457" t="s">
        <v>118</v>
      </c>
      <c r="C136" s="457" t="s">
        <v>491</v>
      </c>
      <c r="D136" s="457" t="s">
        <v>865</v>
      </c>
      <c r="E136" s="457"/>
      <c r="F136" s="455">
        <f t="shared" si="70"/>
        <v>50</v>
      </c>
      <c r="G136" s="455">
        <f t="shared" si="70"/>
        <v>0</v>
      </c>
      <c r="H136" s="450">
        <f t="shared" si="38"/>
        <v>0</v>
      </c>
    </row>
    <row r="137" spans="1:10" s="200" customFormat="1" ht="16.350000000000001" customHeight="1" x14ac:dyDescent="0.25">
      <c r="A137" s="458" t="s">
        <v>1138</v>
      </c>
      <c r="B137" s="454" t="s">
        <v>118</v>
      </c>
      <c r="C137" s="454" t="s">
        <v>491</v>
      </c>
      <c r="D137" s="454" t="s">
        <v>1139</v>
      </c>
      <c r="E137" s="454"/>
      <c r="F137" s="459">
        <f t="shared" si="70"/>
        <v>50</v>
      </c>
      <c r="G137" s="459">
        <f t="shared" si="70"/>
        <v>0</v>
      </c>
      <c r="H137" s="451">
        <f t="shared" si="38"/>
        <v>0</v>
      </c>
    </row>
    <row r="138" spans="1:10" s="200" customFormat="1" ht="23.85" customHeight="1" x14ac:dyDescent="0.25">
      <c r="A138" s="458" t="s">
        <v>135</v>
      </c>
      <c r="B138" s="454" t="s">
        <v>118</v>
      </c>
      <c r="C138" s="454" t="s">
        <v>491</v>
      </c>
      <c r="D138" s="454" t="s">
        <v>1139</v>
      </c>
      <c r="E138" s="454" t="s">
        <v>145</v>
      </c>
      <c r="F138" s="459">
        <f>F139</f>
        <v>50</v>
      </c>
      <c r="G138" s="459">
        <f t="shared" si="70"/>
        <v>0</v>
      </c>
      <c r="H138" s="451">
        <f t="shared" si="38"/>
        <v>0</v>
      </c>
    </row>
    <row r="139" spans="1:10" s="200" customFormat="1" ht="19.7" customHeight="1" x14ac:dyDescent="0.25">
      <c r="A139" s="458" t="s">
        <v>1138</v>
      </c>
      <c r="B139" s="454" t="s">
        <v>118</v>
      </c>
      <c r="C139" s="454" t="s">
        <v>491</v>
      </c>
      <c r="D139" s="454" t="s">
        <v>1139</v>
      </c>
      <c r="E139" s="454" t="s">
        <v>1140</v>
      </c>
      <c r="F139" s="459">
        <f>'Пр.4 ведом.21'!G31</f>
        <v>50</v>
      </c>
      <c r="G139" s="459">
        <f>'Пр.4 ведом.21'!H31</f>
        <v>0</v>
      </c>
      <c r="H139" s="451">
        <f t="shared" ref="H139:H202" si="71">G139/F139*100</f>
        <v>0</v>
      </c>
    </row>
    <row r="140" spans="1:10" ht="15.75" x14ac:dyDescent="0.25">
      <c r="A140" s="462" t="s">
        <v>139</v>
      </c>
      <c r="B140" s="7" t="s">
        <v>118</v>
      </c>
      <c r="C140" s="7" t="s">
        <v>140</v>
      </c>
      <c r="D140" s="7"/>
      <c r="E140" s="7"/>
      <c r="F140" s="450">
        <f>F141+F171+F180+F197+F206+F211+F216</f>
        <v>68349.59</v>
      </c>
      <c r="G140" s="450">
        <f t="shared" ref="G140" si="72">G141+G171+G180+G197+G206+G211+G216</f>
        <v>47822.731530000012</v>
      </c>
      <c r="H140" s="450">
        <f t="shared" si="71"/>
        <v>69.96783964614859</v>
      </c>
      <c r="J140" s="22"/>
    </row>
    <row r="141" spans="1:10" s="200" customFormat="1" ht="15.75" x14ac:dyDescent="0.25">
      <c r="A141" s="456" t="s">
        <v>141</v>
      </c>
      <c r="B141" s="457" t="s">
        <v>118</v>
      </c>
      <c r="C141" s="457" t="s">
        <v>140</v>
      </c>
      <c r="D141" s="457" t="s">
        <v>866</v>
      </c>
      <c r="E141" s="457"/>
      <c r="F141" s="450">
        <f>F142+F153+F162</f>
        <v>66786.63</v>
      </c>
      <c r="G141" s="450">
        <f t="shared" ref="G141" si="73">G142+G153+G162</f>
        <v>47172.399530000002</v>
      </c>
      <c r="H141" s="450">
        <f t="shared" si="71"/>
        <v>70.631501439734265</v>
      </c>
      <c r="J141" s="22"/>
    </row>
    <row r="142" spans="1:10" s="200" customFormat="1" ht="15.75" x14ac:dyDescent="0.25">
      <c r="A142" s="456" t="s">
        <v>954</v>
      </c>
      <c r="B142" s="457" t="s">
        <v>118</v>
      </c>
      <c r="C142" s="457" t="s">
        <v>140</v>
      </c>
      <c r="D142" s="457" t="s">
        <v>953</v>
      </c>
      <c r="E142" s="457"/>
      <c r="F142" s="362">
        <f>F146+F143</f>
        <v>48081.530000000006</v>
      </c>
      <c r="G142" s="362">
        <f t="shared" ref="G142" si="74">G146+G143</f>
        <v>32532.399530000002</v>
      </c>
      <c r="H142" s="450">
        <f t="shared" si="71"/>
        <v>67.660907483601278</v>
      </c>
      <c r="J142" s="22"/>
    </row>
    <row r="143" spans="1:10" s="200" customFormat="1" ht="47.25" x14ac:dyDescent="0.25">
      <c r="A143" s="458" t="s">
        <v>839</v>
      </c>
      <c r="B143" s="454" t="s">
        <v>118</v>
      </c>
      <c r="C143" s="454" t="s">
        <v>140</v>
      </c>
      <c r="D143" s="454" t="s">
        <v>956</v>
      </c>
      <c r="E143" s="454"/>
      <c r="F143" s="451">
        <f>F144</f>
        <v>1072</v>
      </c>
      <c r="G143" s="451">
        <f t="shared" ref="G143:G144" si="75">G144</f>
        <v>481.10363999999998</v>
      </c>
      <c r="H143" s="451">
        <f t="shared" si="71"/>
        <v>44.879070895522389</v>
      </c>
      <c r="J143" s="22"/>
    </row>
    <row r="144" spans="1:10" s="200" customFormat="1" ht="78.75" x14ac:dyDescent="0.25">
      <c r="A144" s="458" t="s">
        <v>127</v>
      </c>
      <c r="B144" s="454" t="s">
        <v>118</v>
      </c>
      <c r="C144" s="454" t="s">
        <v>140</v>
      </c>
      <c r="D144" s="454" t="s">
        <v>956</v>
      </c>
      <c r="E144" s="454" t="s">
        <v>128</v>
      </c>
      <c r="F144" s="451">
        <f>F145</f>
        <v>1072</v>
      </c>
      <c r="G144" s="451">
        <f t="shared" si="75"/>
        <v>481.10363999999998</v>
      </c>
      <c r="H144" s="451">
        <f t="shared" si="71"/>
        <v>44.879070895522389</v>
      </c>
      <c r="J144" s="22"/>
    </row>
    <row r="145" spans="1:10" s="200" customFormat="1" ht="31.5" x14ac:dyDescent="0.25">
      <c r="A145" s="458" t="s">
        <v>129</v>
      </c>
      <c r="B145" s="454" t="s">
        <v>118</v>
      </c>
      <c r="C145" s="454" t="s">
        <v>140</v>
      </c>
      <c r="D145" s="454" t="s">
        <v>956</v>
      </c>
      <c r="E145" s="454" t="s">
        <v>209</v>
      </c>
      <c r="F145" s="451">
        <f>'Пр.4 ведом.21'!G883</f>
        <v>1072</v>
      </c>
      <c r="G145" s="451">
        <f>'Пр.4 ведом.21'!H883</f>
        <v>481.10363999999998</v>
      </c>
      <c r="H145" s="451">
        <f t="shared" si="71"/>
        <v>44.879070895522389</v>
      </c>
      <c r="J145" s="22"/>
    </row>
    <row r="146" spans="1:10" s="200" customFormat="1" ht="15.75" x14ac:dyDescent="0.25">
      <c r="A146" s="458" t="s">
        <v>801</v>
      </c>
      <c r="B146" s="454" t="s">
        <v>118</v>
      </c>
      <c r="C146" s="454" t="s">
        <v>140</v>
      </c>
      <c r="D146" s="454" t="s">
        <v>955</v>
      </c>
      <c r="E146" s="454"/>
      <c r="F146" s="360">
        <f t="shared" ref="F146:G146" si="76">F147+F149+F151</f>
        <v>47009.530000000006</v>
      </c>
      <c r="G146" s="360">
        <f t="shared" si="76"/>
        <v>32051.295890000001</v>
      </c>
      <c r="H146" s="451">
        <f t="shared" si="71"/>
        <v>68.180421905941188</v>
      </c>
      <c r="J146" s="22"/>
    </row>
    <row r="147" spans="1:10" s="200" customFormat="1" ht="78.75" x14ac:dyDescent="0.25">
      <c r="A147" s="458" t="s">
        <v>127</v>
      </c>
      <c r="B147" s="454" t="s">
        <v>118</v>
      </c>
      <c r="C147" s="454" t="s">
        <v>140</v>
      </c>
      <c r="D147" s="454" t="s">
        <v>955</v>
      </c>
      <c r="E147" s="454" t="s">
        <v>128</v>
      </c>
      <c r="F147" s="360">
        <f t="shared" ref="F147:G147" si="77">F148</f>
        <v>31358.200000000004</v>
      </c>
      <c r="G147" s="360">
        <f t="shared" si="77"/>
        <v>24180.228090000001</v>
      </c>
      <c r="H147" s="451">
        <f t="shared" si="71"/>
        <v>77.109745106543087</v>
      </c>
      <c r="J147" s="22"/>
    </row>
    <row r="148" spans="1:10" s="200" customFormat="1" ht="20.25" customHeight="1" x14ac:dyDescent="0.25">
      <c r="A148" s="46" t="s">
        <v>342</v>
      </c>
      <c r="B148" s="454" t="s">
        <v>118</v>
      </c>
      <c r="C148" s="454" t="s">
        <v>140</v>
      </c>
      <c r="D148" s="454" t="s">
        <v>955</v>
      </c>
      <c r="E148" s="454" t="s">
        <v>209</v>
      </c>
      <c r="F148" s="360">
        <f>'Пр.4 ведом.21'!G886</f>
        <v>31358.200000000004</v>
      </c>
      <c r="G148" s="360">
        <f>'Пр.4 ведом.21'!H886</f>
        <v>24180.228090000001</v>
      </c>
      <c r="H148" s="451">
        <f t="shared" si="71"/>
        <v>77.109745106543087</v>
      </c>
      <c r="J148" s="22"/>
    </row>
    <row r="149" spans="1:10" s="200" customFormat="1" ht="31.5" x14ac:dyDescent="0.25">
      <c r="A149" s="458" t="s">
        <v>131</v>
      </c>
      <c r="B149" s="454" t="s">
        <v>118</v>
      </c>
      <c r="C149" s="454" t="s">
        <v>140</v>
      </c>
      <c r="D149" s="454" t="s">
        <v>955</v>
      </c>
      <c r="E149" s="454" t="s">
        <v>132</v>
      </c>
      <c r="F149" s="360">
        <f t="shared" ref="F149:G149" si="78">F150</f>
        <v>15230.33</v>
      </c>
      <c r="G149" s="360">
        <f t="shared" si="78"/>
        <v>7519.3073599999998</v>
      </c>
      <c r="H149" s="451">
        <f t="shared" si="71"/>
        <v>49.37061350607636</v>
      </c>
      <c r="J149" s="22"/>
    </row>
    <row r="150" spans="1:10" s="200" customFormat="1" ht="47.25" x14ac:dyDescent="0.25">
      <c r="A150" s="458" t="s">
        <v>133</v>
      </c>
      <c r="B150" s="454" t="s">
        <v>118</v>
      </c>
      <c r="C150" s="454" t="s">
        <v>140</v>
      </c>
      <c r="D150" s="454" t="s">
        <v>955</v>
      </c>
      <c r="E150" s="454" t="s">
        <v>134</v>
      </c>
      <c r="F150" s="360">
        <f>'Пр.4 ведом.21'!G888</f>
        <v>15230.33</v>
      </c>
      <c r="G150" s="360">
        <f>'Пр.4 ведом.21'!H888</f>
        <v>7519.3073599999998</v>
      </c>
      <c r="H150" s="451">
        <f t="shared" si="71"/>
        <v>49.37061350607636</v>
      </c>
      <c r="J150" s="22"/>
    </row>
    <row r="151" spans="1:10" s="200" customFormat="1" ht="15.75" x14ac:dyDescent="0.25">
      <c r="A151" s="458" t="s">
        <v>135</v>
      </c>
      <c r="B151" s="454" t="s">
        <v>118</v>
      </c>
      <c r="C151" s="454" t="s">
        <v>140</v>
      </c>
      <c r="D151" s="454" t="s">
        <v>955</v>
      </c>
      <c r="E151" s="454" t="s">
        <v>145</v>
      </c>
      <c r="F151" s="360">
        <f t="shared" ref="F151:G151" si="79">F152</f>
        <v>421</v>
      </c>
      <c r="G151" s="360">
        <f t="shared" si="79"/>
        <v>351.76044000000002</v>
      </c>
      <c r="H151" s="451">
        <f t="shared" si="71"/>
        <v>83.553548693586706</v>
      </c>
      <c r="J151" s="22"/>
    </row>
    <row r="152" spans="1:10" s="200" customFormat="1" ht="15.75" x14ac:dyDescent="0.25">
      <c r="A152" s="458" t="s">
        <v>704</v>
      </c>
      <c r="B152" s="454" t="s">
        <v>118</v>
      </c>
      <c r="C152" s="454" t="s">
        <v>140</v>
      </c>
      <c r="D152" s="454" t="s">
        <v>955</v>
      </c>
      <c r="E152" s="454" t="s">
        <v>138</v>
      </c>
      <c r="F152" s="360">
        <f>'Пр.4 ведом.21'!G890</f>
        <v>421</v>
      </c>
      <c r="G152" s="360">
        <f>'Пр.4 ведом.21'!H890</f>
        <v>351.76044000000002</v>
      </c>
      <c r="H152" s="451">
        <f t="shared" si="71"/>
        <v>83.553548693586706</v>
      </c>
      <c r="J152" s="22"/>
    </row>
    <row r="153" spans="1:10" s="200" customFormat="1" ht="31.5" x14ac:dyDescent="0.25">
      <c r="A153" s="456" t="s">
        <v>870</v>
      </c>
      <c r="B153" s="457" t="s">
        <v>118</v>
      </c>
      <c r="C153" s="457" t="s">
        <v>140</v>
      </c>
      <c r="D153" s="457" t="s">
        <v>865</v>
      </c>
      <c r="E153" s="457"/>
      <c r="F153" s="450">
        <f>F154+F159</f>
        <v>12250.1</v>
      </c>
      <c r="G153" s="450">
        <f t="shared" ref="G153" si="80">G154+G159</f>
        <v>10162.413</v>
      </c>
      <c r="H153" s="450">
        <f t="shared" si="71"/>
        <v>82.957796262887655</v>
      </c>
      <c r="J153" s="22"/>
    </row>
    <row r="154" spans="1:10" s="200" customFormat="1" ht="47.25" x14ac:dyDescent="0.25">
      <c r="A154" s="458" t="s">
        <v>388</v>
      </c>
      <c r="B154" s="454" t="s">
        <v>118</v>
      </c>
      <c r="C154" s="454" t="s">
        <v>140</v>
      </c>
      <c r="D154" s="454" t="s">
        <v>1011</v>
      </c>
      <c r="E154" s="454"/>
      <c r="F154" s="451">
        <f>F155+F157</f>
        <v>12250.1</v>
      </c>
      <c r="G154" s="451">
        <f t="shared" ref="G154" si="81">G155+G157</f>
        <v>10162.413</v>
      </c>
      <c r="H154" s="451">
        <f t="shared" si="71"/>
        <v>82.957796262887655</v>
      </c>
      <c r="J154" s="22"/>
    </row>
    <row r="155" spans="1:10" s="200" customFormat="1" ht="31.5" x14ac:dyDescent="0.25">
      <c r="A155" s="458" t="s">
        <v>131</v>
      </c>
      <c r="B155" s="454" t="s">
        <v>118</v>
      </c>
      <c r="C155" s="454" t="s">
        <v>140</v>
      </c>
      <c r="D155" s="454" t="s">
        <v>1011</v>
      </c>
      <c r="E155" s="454" t="s">
        <v>132</v>
      </c>
      <c r="F155" s="451">
        <f>F156</f>
        <v>5895.7000000000007</v>
      </c>
      <c r="G155" s="451">
        <f t="shared" ref="G155" si="82">G156</f>
        <v>3808.0129999999999</v>
      </c>
      <c r="H155" s="451">
        <f t="shared" si="71"/>
        <v>64.589667045473803</v>
      </c>
      <c r="J155" s="22"/>
    </row>
    <row r="156" spans="1:10" s="200" customFormat="1" ht="47.25" x14ac:dyDescent="0.25">
      <c r="A156" s="458" t="s">
        <v>133</v>
      </c>
      <c r="B156" s="454" t="s">
        <v>118</v>
      </c>
      <c r="C156" s="454" t="s">
        <v>140</v>
      </c>
      <c r="D156" s="454" t="s">
        <v>1011</v>
      </c>
      <c r="E156" s="454" t="s">
        <v>134</v>
      </c>
      <c r="F156" s="451">
        <f>'Пр.4 ведом.21'!G534</f>
        <v>5895.7000000000007</v>
      </c>
      <c r="G156" s="451">
        <f>'Пр.4 ведом.21'!H534</f>
        <v>3808.0129999999999</v>
      </c>
      <c r="H156" s="451">
        <f t="shared" si="71"/>
        <v>64.589667045473803</v>
      </c>
      <c r="J156" s="22"/>
    </row>
    <row r="157" spans="1:10" s="449" customFormat="1" ht="15.75" x14ac:dyDescent="0.25">
      <c r="A157" s="458" t="s">
        <v>135</v>
      </c>
      <c r="B157" s="454" t="s">
        <v>118</v>
      </c>
      <c r="C157" s="454" t="s">
        <v>140</v>
      </c>
      <c r="D157" s="454" t="s">
        <v>1011</v>
      </c>
      <c r="E157" s="454" t="s">
        <v>145</v>
      </c>
      <c r="F157" s="451">
        <f>F158</f>
        <v>6354.4</v>
      </c>
      <c r="G157" s="451">
        <f t="shared" ref="G157" si="83">G158</f>
        <v>6354.4</v>
      </c>
      <c r="H157" s="451">
        <f t="shared" si="71"/>
        <v>100</v>
      </c>
      <c r="J157" s="22"/>
    </row>
    <row r="158" spans="1:10" s="449" customFormat="1" ht="47.25" x14ac:dyDescent="0.25">
      <c r="A158" s="458" t="s">
        <v>836</v>
      </c>
      <c r="B158" s="454" t="s">
        <v>118</v>
      </c>
      <c r="C158" s="454" t="s">
        <v>140</v>
      </c>
      <c r="D158" s="454" t="s">
        <v>1011</v>
      </c>
      <c r="E158" s="454" t="s">
        <v>147</v>
      </c>
      <c r="F158" s="451">
        <f>'Пр.4 ведом.21'!G536</f>
        <v>6354.4</v>
      </c>
      <c r="G158" s="451">
        <f>'Пр.4 ведом.21'!H536</f>
        <v>6354.4</v>
      </c>
      <c r="H158" s="451">
        <f t="shared" si="71"/>
        <v>100</v>
      </c>
      <c r="J158" s="22"/>
    </row>
    <row r="159" spans="1:10" s="200" customFormat="1" ht="31.5" hidden="1" x14ac:dyDescent="0.25">
      <c r="A159" s="458" t="s">
        <v>931</v>
      </c>
      <c r="B159" s="454" t="s">
        <v>118</v>
      </c>
      <c r="C159" s="454" t="s">
        <v>140</v>
      </c>
      <c r="D159" s="454" t="s">
        <v>1012</v>
      </c>
      <c r="E159" s="454"/>
      <c r="F159" s="451">
        <f>F160</f>
        <v>0</v>
      </c>
      <c r="G159" s="451">
        <f t="shared" ref="G159:G160" si="84">G160</f>
        <v>0</v>
      </c>
      <c r="H159" s="451" t="e">
        <f t="shared" si="71"/>
        <v>#DIV/0!</v>
      </c>
      <c r="J159" s="22"/>
    </row>
    <row r="160" spans="1:10" s="200" customFormat="1" ht="31.5" hidden="1" x14ac:dyDescent="0.25">
      <c r="A160" s="458" t="s">
        <v>131</v>
      </c>
      <c r="B160" s="454" t="s">
        <v>118</v>
      </c>
      <c r="C160" s="454" t="s">
        <v>140</v>
      </c>
      <c r="D160" s="454" t="s">
        <v>1012</v>
      </c>
      <c r="E160" s="454" t="s">
        <v>132</v>
      </c>
      <c r="F160" s="451">
        <f>F161</f>
        <v>0</v>
      </c>
      <c r="G160" s="451">
        <f t="shared" si="84"/>
        <v>0</v>
      </c>
      <c r="H160" s="451" t="e">
        <f t="shared" si="71"/>
        <v>#DIV/0!</v>
      </c>
      <c r="J160" s="22"/>
    </row>
    <row r="161" spans="1:10" s="200" customFormat="1" ht="47.25" hidden="1" x14ac:dyDescent="0.25">
      <c r="A161" s="458" t="s">
        <v>133</v>
      </c>
      <c r="B161" s="454" t="s">
        <v>118</v>
      </c>
      <c r="C161" s="454" t="s">
        <v>140</v>
      </c>
      <c r="D161" s="454" t="s">
        <v>1012</v>
      </c>
      <c r="E161" s="454" t="s">
        <v>134</v>
      </c>
      <c r="F161" s="451">
        <f>'Пр.4 ведом.21'!G539</f>
        <v>0</v>
      </c>
      <c r="G161" s="451">
        <f>'Пр.4 ведом.21'!H539</f>
        <v>0</v>
      </c>
      <c r="H161" s="451" t="e">
        <f t="shared" si="71"/>
        <v>#DIV/0!</v>
      </c>
      <c r="J161" s="22"/>
    </row>
    <row r="162" spans="1:10" s="200" customFormat="1" ht="31.5" x14ac:dyDescent="0.25">
      <c r="A162" s="456" t="s">
        <v>922</v>
      </c>
      <c r="B162" s="457" t="s">
        <v>118</v>
      </c>
      <c r="C162" s="457" t="s">
        <v>140</v>
      </c>
      <c r="D162" s="457" t="s">
        <v>867</v>
      </c>
      <c r="E162" s="457"/>
      <c r="F162" s="450">
        <f>F163+F168</f>
        <v>6455</v>
      </c>
      <c r="G162" s="450">
        <f t="shared" ref="G162" si="85">G163+G168</f>
        <v>4477.5869999999995</v>
      </c>
      <c r="H162" s="450">
        <f t="shared" si="71"/>
        <v>69.366181254841194</v>
      </c>
      <c r="J162" s="22"/>
    </row>
    <row r="163" spans="1:10" s="200" customFormat="1" ht="31.5" x14ac:dyDescent="0.25">
      <c r="A163" s="458" t="s">
        <v>928</v>
      </c>
      <c r="B163" s="454" t="s">
        <v>118</v>
      </c>
      <c r="C163" s="454" t="s">
        <v>140</v>
      </c>
      <c r="D163" s="454" t="s">
        <v>868</v>
      </c>
      <c r="E163" s="454"/>
      <c r="F163" s="451">
        <f>F164+F166</f>
        <v>6205</v>
      </c>
      <c r="G163" s="451">
        <f t="shared" ref="G163" si="86">G164+G166</f>
        <v>4227.6819999999998</v>
      </c>
      <c r="H163" s="451">
        <f t="shared" si="71"/>
        <v>68.13347300564061</v>
      </c>
      <c r="J163" s="22"/>
    </row>
    <row r="164" spans="1:10" s="200" customFormat="1" ht="78.75" x14ac:dyDescent="0.25">
      <c r="A164" s="458" t="s">
        <v>127</v>
      </c>
      <c r="B164" s="454" t="s">
        <v>118</v>
      </c>
      <c r="C164" s="454" t="s">
        <v>140</v>
      </c>
      <c r="D164" s="454" t="s">
        <v>868</v>
      </c>
      <c r="E164" s="454" t="s">
        <v>128</v>
      </c>
      <c r="F164" s="451">
        <f>F165</f>
        <v>4501</v>
      </c>
      <c r="G164" s="451">
        <f t="shared" ref="G164" si="87">G165</f>
        <v>3289.4740000000002</v>
      </c>
      <c r="H164" s="451">
        <f t="shared" si="71"/>
        <v>73.08318151521884</v>
      </c>
      <c r="J164" s="22"/>
    </row>
    <row r="165" spans="1:10" s="200" customFormat="1" ht="31.5" x14ac:dyDescent="0.25">
      <c r="A165" s="458" t="s">
        <v>208</v>
      </c>
      <c r="B165" s="454" t="s">
        <v>118</v>
      </c>
      <c r="C165" s="454" t="s">
        <v>140</v>
      </c>
      <c r="D165" s="454" t="s">
        <v>868</v>
      </c>
      <c r="E165" s="454" t="s">
        <v>209</v>
      </c>
      <c r="F165" s="451">
        <f>'Пр.4 ведом.21'!G133</f>
        <v>4501</v>
      </c>
      <c r="G165" s="451">
        <f>'Пр.4 ведом.21'!H133</f>
        <v>3289.4740000000002</v>
      </c>
      <c r="H165" s="451">
        <f t="shared" si="71"/>
        <v>73.08318151521884</v>
      </c>
      <c r="J165" s="22"/>
    </row>
    <row r="166" spans="1:10" s="200" customFormat="1" ht="31.5" x14ac:dyDescent="0.25">
      <c r="A166" s="458" t="s">
        <v>198</v>
      </c>
      <c r="B166" s="454" t="s">
        <v>118</v>
      </c>
      <c r="C166" s="454" t="s">
        <v>140</v>
      </c>
      <c r="D166" s="454" t="s">
        <v>868</v>
      </c>
      <c r="E166" s="454" t="s">
        <v>132</v>
      </c>
      <c r="F166" s="451">
        <f>F167</f>
        <v>1703.9999999999998</v>
      </c>
      <c r="G166" s="451">
        <f t="shared" ref="G166" si="88">G167</f>
        <v>938.20799999999997</v>
      </c>
      <c r="H166" s="451">
        <f t="shared" si="71"/>
        <v>55.059154929577467</v>
      </c>
      <c r="J166" s="22"/>
    </row>
    <row r="167" spans="1:10" s="200" customFormat="1" ht="47.25" x14ac:dyDescent="0.25">
      <c r="A167" s="458" t="s">
        <v>133</v>
      </c>
      <c r="B167" s="454" t="s">
        <v>118</v>
      </c>
      <c r="C167" s="454" t="s">
        <v>140</v>
      </c>
      <c r="D167" s="454" t="s">
        <v>868</v>
      </c>
      <c r="E167" s="454" t="s">
        <v>134</v>
      </c>
      <c r="F167" s="451">
        <f>'Пр.4 ведом.21'!G135</f>
        <v>1703.9999999999998</v>
      </c>
      <c r="G167" s="451">
        <f>'Пр.4 ведом.21'!H135</f>
        <v>938.20799999999997</v>
      </c>
      <c r="H167" s="451">
        <f t="shared" si="71"/>
        <v>55.059154929577467</v>
      </c>
      <c r="J167" s="22"/>
    </row>
    <row r="168" spans="1:10" s="200" customFormat="1" ht="47.25" x14ac:dyDescent="0.25">
      <c r="A168" s="458" t="s">
        <v>839</v>
      </c>
      <c r="B168" s="454" t="s">
        <v>118</v>
      </c>
      <c r="C168" s="454" t="s">
        <v>140</v>
      </c>
      <c r="D168" s="454" t="s">
        <v>869</v>
      </c>
      <c r="E168" s="454"/>
      <c r="F168" s="451">
        <f>F169</f>
        <v>250</v>
      </c>
      <c r="G168" s="451">
        <f t="shared" ref="G168:G169" si="89">G169</f>
        <v>249.905</v>
      </c>
      <c r="H168" s="451">
        <f t="shared" si="71"/>
        <v>99.961999999999989</v>
      </c>
      <c r="J168" s="22"/>
    </row>
    <row r="169" spans="1:10" s="200" customFormat="1" ht="78.75" x14ac:dyDescent="0.25">
      <c r="A169" s="458" t="s">
        <v>127</v>
      </c>
      <c r="B169" s="454" t="s">
        <v>118</v>
      </c>
      <c r="C169" s="454" t="s">
        <v>140</v>
      </c>
      <c r="D169" s="454" t="s">
        <v>869</v>
      </c>
      <c r="E169" s="454" t="s">
        <v>128</v>
      </c>
      <c r="F169" s="451">
        <f>F170</f>
        <v>250</v>
      </c>
      <c r="G169" s="451">
        <f t="shared" si="89"/>
        <v>249.905</v>
      </c>
      <c r="H169" s="451">
        <f t="shared" si="71"/>
        <v>99.961999999999989</v>
      </c>
      <c r="J169" s="22"/>
    </row>
    <row r="170" spans="1:10" s="200" customFormat="1" ht="31.5" x14ac:dyDescent="0.25">
      <c r="A170" s="458" t="s">
        <v>129</v>
      </c>
      <c r="B170" s="454" t="s">
        <v>118</v>
      </c>
      <c r="C170" s="454" t="s">
        <v>140</v>
      </c>
      <c r="D170" s="454" t="s">
        <v>869</v>
      </c>
      <c r="E170" s="454" t="s">
        <v>130</v>
      </c>
      <c r="F170" s="451">
        <f>'Пр.4 ведом.21'!G138</f>
        <v>250</v>
      </c>
      <c r="G170" s="451">
        <f>'Пр.4 ведом.21'!H138</f>
        <v>249.905</v>
      </c>
      <c r="H170" s="451">
        <f t="shared" si="71"/>
        <v>99.961999999999989</v>
      </c>
      <c r="J170" s="22"/>
    </row>
    <row r="171" spans="1:10" ht="47.25" x14ac:dyDescent="0.25">
      <c r="A171" s="456" t="s">
        <v>1375</v>
      </c>
      <c r="B171" s="7" t="s">
        <v>118</v>
      </c>
      <c r="C171" s="7" t="s">
        <v>140</v>
      </c>
      <c r="D171" s="7" t="s">
        <v>344</v>
      </c>
      <c r="E171" s="7"/>
      <c r="F171" s="450">
        <f>F172</f>
        <v>637.9</v>
      </c>
      <c r="G171" s="450">
        <f t="shared" ref="G171:G172" si="90">G172</f>
        <v>616.995</v>
      </c>
      <c r="H171" s="450">
        <f t="shared" si="71"/>
        <v>96.722840570622353</v>
      </c>
    </row>
    <row r="172" spans="1:10" ht="78.75" x14ac:dyDescent="0.25">
      <c r="A172" s="462" t="s">
        <v>1351</v>
      </c>
      <c r="B172" s="7" t="s">
        <v>118</v>
      </c>
      <c r="C172" s="7" t="s">
        <v>140</v>
      </c>
      <c r="D172" s="7" t="s">
        <v>359</v>
      </c>
      <c r="E172" s="7"/>
      <c r="F172" s="450">
        <f>F173</f>
        <v>637.9</v>
      </c>
      <c r="G172" s="450">
        <f t="shared" si="90"/>
        <v>616.995</v>
      </c>
      <c r="H172" s="450">
        <f t="shared" si="71"/>
        <v>96.722840570622353</v>
      </c>
    </row>
    <row r="173" spans="1:10" s="200" customFormat="1" ht="63" x14ac:dyDescent="0.25">
      <c r="A173" s="245" t="s">
        <v>1045</v>
      </c>
      <c r="B173" s="7" t="s">
        <v>118</v>
      </c>
      <c r="C173" s="7" t="s">
        <v>140</v>
      </c>
      <c r="D173" s="7" t="s">
        <v>909</v>
      </c>
      <c r="E173" s="7"/>
      <c r="F173" s="450">
        <f>F174+F177</f>
        <v>637.9</v>
      </c>
      <c r="G173" s="450">
        <f t="shared" ref="G173" si="91">G174+G177</f>
        <v>616.995</v>
      </c>
      <c r="H173" s="450">
        <f t="shared" si="71"/>
        <v>96.722840570622353</v>
      </c>
    </row>
    <row r="174" spans="1:10" ht="31.5" x14ac:dyDescent="0.25">
      <c r="A174" s="98" t="s">
        <v>1046</v>
      </c>
      <c r="B174" s="461" t="s">
        <v>118</v>
      </c>
      <c r="C174" s="461" t="s">
        <v>140</v>
      </c>
      <c r="D174" s="461" t="s">
        <v>1199</v>
      </c>
      <c r="E174" s="461"/>
      <c r="F174" s="451">
        <f t="shared" ref="F174:G175" si="92">F175</f>
        <v>447.29999999999995</v>
      </c>
      <c r="G174" s="451">
        <f t="shared" si="92"/>
        <v>426.39499999999998</v>
      </c>
      <c r="H174" s="451">
        <f t="shared" si="71"/>
        <v>95.326402861614127</v>
      </c>
    </row>
    <row r="175" spans="1:10" ht="31.5" x14ac:dyDescent="0.25">
      <c r="A175" s="29" t="s">
        <v>131</v>
      </c>
      <c r="B175" s="461" t="s">
        <v>118</v>
      </c>
      <c r="C175" s="461" t="s">
        <v>140</v>
      </c>
      <c r="D175" s="461" t="s">
        <v>1199</v>
      </c>
      <c r="E175" s="461" t="s">
        <v>132</v>
      </c>
      <c r="F175" s="451">
        <f t="shared" si="92"/>
        <v>447.29999999999995</v>
      </c>
      <c r="G175" s="451">
        <f t="shared" si="92"/>
        <v>426.39499999999998</v>
      </c>
      <c r="H175" s="451">
        <f t="shared" si="71"/>
        <v>95.326402861614127</v>
      </c>
    </row>
    <row r="176" spans="1:10" ht="47.25" x14ac:dyDescent="0.25">
      <c r="A176" s="29" t="s">
        <v>133</v>
      </c>
      <c r="B176" s="461" t="s">
        <v>118</v>
      </c>
      <c r="C176" s="461" t="s">
        <v>140</v>
      </c>
      <c r="D176" s="461" t="s">
        <v>1199</v>
      </c>
      <c r="E176" s="461" t="s">
        <v>134</v>
      </c>
      <c r="F176" s="451">
        <f>'Пр.4 ведом.21'!G248</f>
        <v>447.29999999999995</v>
      </c>
      <c r="G176" s="451">
        <f>'Пр.4 ведом.21'!H248</f>
        <v>426.39499999999998</v>
      </c>
      <c r="H176" s="451">
        <f t="shared" si="71"/>
        <v>95.326402861614127</v>
      </c>
    </row>
    <row r="177" spans="1:8" s="436" customFormat="1" ht="31.5" x14ac:dyDescent="0.25">
      <c r="A177" s="45" t="s">
        <v>1649</v>
      </c>
      <c r="B177" s="461" t="s">
        <v>118</v>
      </c>
      <c r="C177" s="461" t="s">
        <v>140</v>
      </c>
      <c r="D177" s="461" t="s">
        <v>1693</v>
      </c>
      <c r="E177" s="461"/>
      <c r="F177" s="451">
        <f>F178</f>
        <v>190.6</v>
      </c>
      <c r="G177" s="451">
        <f t="shared" ref="G177:G178" si="93">G178</f>
        <v>190.6</v>
      </c>
      <c r="H177" s="451">
        <f t="shared" si="71"/>
        <v>100</v>
      </c>
    </row>
    <row r="178" spans="1:8" s="436" customFormat="1" ht="31.5" x14ac:dyDescent="0.25">
      <c r="A178" s="29" t="s">
        <v>131</v>
      </c>
      <c r="B178" s="461" t="s">
        <v>118</v>
      </c>
      <c r="C178" s="461" t="s">
        <v>140</v>
      </c>
      <c r="D178" s="461" t="s">
        <v>1693</v>
      </c>
      <c r="E178" s="461" t="s">
        <v>132</v>
      </c>
      <c r="F178" s="451">
        <f>F179</f>
        <v>190.6</v>
      </c>
      <c r="G178" s="451">
        <f t="shared" si="93"/>
        <v>190.6</v>
      </c>
      <c r="H178" s="451">
        <f t="shared" si="71"/>
        <v>100</v>
      </c>
    </row>
    <row r="179" spans="1:8" s="436" customFormat="1" ht="47.25" x14ac:dyDescent="0.25">
      <c r="A179" s="29" t="s">
        <v>133</v>
      </c>
      <c r="B179" s="461" t="s">
        <v>118</v>
      </c>
      <c r="C179" s="461" t="s">
        <v>140</v>
      </c>
      <c r="D179" s="461" t="s">
        <v>1693</v>
      </c>
      <c r="E179" s="461" t="s">
        <v>134</v>
      </c>
      <c r="F179" s="451">
        <f>'Пр.4 ведом.21'!G251</f>
        <v>190.6</v>
      </c>
      <c r="G179" s="451">
        <f>'Пр.4 ведом.21'!H251</f>
        <v>190.6</v>
      </c>
      <c r="H179" s="451">
        <f t="shared" si="71"/>
        <v>100</v>
      </c>
    </row>
    <row r="180" spans="1:8" ht="47.25" x14ac:dyDescent="0.25">
      <c r="A180" s="456" t="s">
        <v>1352</v>
      </c>
      <c r="B180" s="457" t="s">
        <v>118</v>
      </c>
      <c r="C180" s="457" t="s">
        <v>140</v>
      </c>
      <c r="D180" s="457" t="s">
        <v>335</v>
      </c>
      <c r="E180" s="457"/>
      <c r="F180" s="59">
        <f>F181</f>
        <v>120</v>
      </c>
      <c r="G180" s="59">
        <f t="shared" ref="G180" si="94">G181</f>
        <v>0</v>
      </c>
      <c r="H180" s="450">
        <f t="shared" si="71"/>
        <v>0</v>
      </c>
    </row>
    <row r="181" spans="1:8" ht="31.5" x14ac:dyDescent="0.25">
      <c r="A181" s="456" t="s">
        <v>1050</v>
      </c>
      <c r="B181" s="457" t="s">
        <v>118</v>
      </c>
      <c r="C181" s="457" t="s">
        <v>140</v>
      </c>
      <c r="D181" s="457" t="s">
        <v>1051</v>
      </c>
      <c r="E181" s="457"/>
      <c r="F181" s="59">
        <f>F182+F185+F188+F191+F194</f>
        <v>120</v>
      </c>
      <c r="G181" s="59">
        <f t="shared" ref="G181" si="95">G182+G185+G188+G191+G194</f>
        <v>0</v>
      </c>
      <c r="H181" s="450">
        <f t="shared" si="71"/>
        <v>0</v>
      </c>
    </row>
    <row r="182" spans="1:8" ht="31.5" x14ac:dyDescent="0.25">
      <c r="A182" s="97" t="s">
        <v>336</v>
      </c>
      <c r="B182" s="454" t="s">
        <v>118</v>
      </c>
      <c r="C182" s="454" t="s">
        <v>140</v>
      </c>
      <c r="D182" s="454" t="s">
        <v>1052</v>
      </c>
      <c r="E182" s="454"/>
      <c r="F182" s="10">
        <f t="shared" ref="F182:G183" si="96">F183</f>
        <v>100</v>
      </c>
      <c r="G182" s="10">
        <f t="shared" si="96"/>
        <v>0</v>
      </c>
      <c r="H182" s="451">
        <f t="shared" si="71"/>
        <v>0</v>
      </c>
    </row>
    <row r="183" spans="1:8" ht="31.5" x14ac:dyDescent="0.25">
      <c r="A183" s="458" t="s">
        <v>131</v>
      </c>
      <c r="B183" s="454" t="s">
        <v>118</v>
      </c>
      <c r="C183" s="454" t="s">
        <v>140</v>
      </c>
      <c r="D183" s="454" t="s">
        <v>1052</v>
      </c>
      <c r="E183" s="454" t="s">
        <v>132</v>
      </c>
      <c r="F183" s="10">
        <f>F184</f>
        <v>100</v>
      </c>
      <c r="G183" s="10">
        <f t="shared" si="96"/>
        <v>0</v>
      </c>
      <c r="H183" s="451">
        <f t="shared" si="71"/>
        <v>0</v>
      </c>
    </row>
    <row r="184" spans="1:8" ht="47.25" x14ac:dyDescent="0.25">
      <c r="A184" s="458" t="s">
        <v>133</v>
      </c>
      <c r="B184" s="454" t="s">
        <v>118</v>
      </c>
      <c r="C184" s="454" t="s">
        <v>140</v>
      </c>
      <c r="D184" s="454" t="s">
        <v>1052</v>
      </c>
      <c r="E184" s="454" t="s">
        <v>134</v>
      </c>
      <c r="F184" s="10">
        <f>'Пр.4 ведом.21'!G568+'Пр.4 ведом.21'!G256+'Пр.4 ведом.21'!G803</f>
        <v>100</v>
      </c>
      <c r="G184" s="10">
        <f>'Пр.4 ведом.21'!H568+'Пр.4 ведом.21'!H256+'Пр.4 ведом.21'!H803</f>
        <v>0</v>
      </c>
      <c r="H184" s="451">
        <f t="shared" si="71"/>
        <v>0</v>
      </c>
    </row>
    <row r="185" spans="1:8" ht="31.5" x14ac:dyDescent="0.25">
      <c r="A185" s="458" t="s">
        <v>338</v>
      </c>
      <c r="B185" s="454" t="s">
        <v>118</v>
      </c>
      <c r="C185" s="454" t="s">
        <v>140</v>
      </c>
      <c r="D185" s="454" t="s">
        <v>1053</v>
      </c>
      <c r="E185" s="454"/>
      <c r="F185" s="10">
        <f>F186</f>
        <v>20</v>
      </c>
      <c r="G185" s="10">
        <f t="shared" ref="G185:G186" si="97">G186</f>
        <v>0</v>
      </c>
      <c r="H185" s="451">
        <f t="shared" si="71"/>
        <v>0</v>
      </c>
    </row>
    <row r="186" spans="1:8" ht="31.5" x14ac:dyDescent="0.25">
      <c r="A186" s="458" t="s">
        <v>131</v>
      </c>
      <c r="B186" s="454" t="s">
        <v>118</v>
      </c>
      <c r="C186" s="454" t="s">
        <v>140</v>
      </c>
      <c r="D186" s="454" t="s">
        <v>1053</v>
      </c>
      <c r="E186" s="454" t="s">
        <v>132</v>
      </c>
      <c r="F186" s="10">
        <f>F187</f>
        <v>20</v>
      </c>
      <c r="G186" s="10">
        <f t="shared" si="97"/>
        <v>0</v>
      </c>
      <c r="H186" s="451">
        <f t="shared" si="71"/>
        <v>0</v>
      </c>
    </row>
    <row r="187" spans="1:8" ht="39.200000000000003" customHeight="1" x14ac:dyDescent="0.25">
      <c r="A187" s="458" t="s">
        <v>133</v>
      </c>
      <c r="B187" s="454" t="s">
        <v>118</v>
      </c>
      <c r="C187" s="454" t="s">
        <v>140</v>
      </c>
      <c r="D187" s="454" t="s">
        <v>1053</v>
      </c>
      <c r="E187" s="454" t="s">
        <v>134</v>
      </c>
      <c r="F187" s="10">
        <f>'Пр.4 ведом.21'!G259</f>
        <v>20</v>
      </c>
      <c r="G187" s="10">
        <f>'Пр.4 ведом.21'!H259</f>
        <v>0</v>
      </c>
      <c r="H187" s="451">
        <f t="shared" si="71"/>
        <v>0</v>
      </c>
    </row>
    <row r="188" spans="1:8" ht="47.25" hidden="1" x14ac:dyDescent="0.25">
      <c r="A188" s="31" t="s">
        <v>771</v>
      </c>
      <c r="B188" s="454" t="s">
        <v>118</v>
      </c>
      <c r="C188" s="454" t="s">
        <v>140</v>
      </c>
      <c r="D188" s="454" t="s">
        <v>1054</v>
      </c>
      <c r="E188" s="454"/>
      <c r="F188" s="10">
        <f t="shared" ref="F188:G189" si="98">F189</f>
        <v>0</v>
      </c>
      <c r="G188" s="10">
        <f t="shared" si="98"/>
        <v>0</v>
      </c>
      <c r="H188" s="451" t="e">
        <f t="shared" si="71"/>
        <v>#DIV/0!</v>
      </c>
    </row>
    <row r="189" spans="1:8" ht="31.5" hidden="1" x14ac:dyDescent="0.25">
      <c r="A189" s="458" t="s">
        <v>131</v>
      </c>
      <c r="B189" s="454" t="s">
        <v>118</v>
      </c>
      <c r="C189" s="454" t="s">
        <v>140</v>
      </c>
      <c r="D189" s="454" t="s">
        <v>1054</v>
      </c>
      <c r="E189" s="454" t="s">
        <v>132</v>
      </c>
      <c r="F189" s="10">
        <f>F190</f>
        <v>0</v>
      </c>
      <c r="G189" s="10">
        <f t="shared" si="98"/>
        <v>0</v>
      </c>
      <c r="H189" s="451" t="e">
        <f t="shared" si="71"/>
        <v>#DIV/0!</v>
      </c>
    </row>
    <row r="190" spans="1:8" ht="47.25" hidden="1" x14ac:dyDescent="0.25">
      <c r="A190" s="458" t="s">
        <v>133</v>
      </c>
      <c r="B190" s="454" t="s">
        <v>118</v>
      </c>
      <c r="C190" s="454" t="s">
        <v>140</v>
      </c>
      <c r="D190" s="454" t="s">
        <v>1054</v>
      </c>
      <c r="E190" s="454" t="s">
        <v>134</v>
      </c>
      <c r="F190" s="10">
        <f>'Пр.4 ведом.21'!G262</f>
        <v>0</v>
      </c>
      <c r="G190" s="10">
        <f>'Пр.4 ведом.21'!H262</f>
        <v>0</v>
      </c>
      <c r="H190" s="451" t="e">
        <f t="shared" si="71"/>
        <v>#DIV/0!</v>
      </c>
    </row>
    <row r="191" spans="1:8" ht="15.75" hidden="1" x14ac:dyDescent="0.25">
      <c r="A191" s="458" t="s">
        <v>994</v>
      </c>
      <c r="B191" s="454" t="s">
        <v>118</v>
      </c>
      <c r="C191" s="454" t="s">
        <v>140</v>
      </c>
      <c r="D191" s="454" t="s">
        <v>1055</v>
      </c>
      <c r="E191" s="454"/>
      <c r="F191" s="10">
        <f t="shared" ref="F191:G192" si="99">F192</f>
        <v>0</v>
      </c>
      <c r="G191" s="10">
        <f t="shared" si="99"/>
        <v>0</v>
      </c>
      <c r="H191" s="451" t="e">
        <f t="shared" si="71"/>
        <v>#DIV/0!</v>
      </c>
    </row>
    <row r="192" spans="1:8" ht="31.5" hidden="1" x14ac:dyDescent="0.25">
      <c r="A192" s="458" t="s">
        <v>131</v>
      </c>
      <c r="B192" s="454" t="s">
        <v>118</v>
      </c>
      <c r="C192" s="454" t="s">
        <v>140</v>
      </c>
      <c r="D192" s="454" t="s">
        <v>1055</v>
      </c>
      <c r="E192" s="454" t="s">
        <v>132</v>
      </c>
      <c r="F192" s="10">
        <f>F193</f>
        <v>0</v>
      </c>
      <c r="G192" s="10">
        <f t="shared" si="99"/>
        <v>0</v>
      </c>
      <c r="H192" s="451" t="e">
        <f t="shared" si="71"/>
        <v>#DIV/0!</v>
      </c>
    </row>
    <row r="193" spans="1:8" ht="47.25" hidden="1" x14ac:dyDescent="0.25">
      <c r="A193" s="458" t="s">
        <v>133</v>
      </c>
      <c r="B193" s="454" t="s">
        <v>118</v>
      </c>
      <c r="C193" s="454" t="s">
        <v>140</v>
      </c>
      <c r="D193" s="454" t="s">
        <v>1055</v>
      </c>
      <c r="E193" s="454" t="s">
        <v>134</v>
      </c>
      <c r="F193" s="10">
        <f>'Пр.4 ведом.21'!G265</f>
        <v>0</v>
      </c>
      <c r="G193" s="10">
        <f>'Пр.4 ведом.21'!H265</f>
        <v>0</v>
      </c>
      <c r="H193" s="451" t="e">
        <f t="shared" si="71"/>
        <v>#DIV/0!</v>
      </c>
    </row>
    <row r="194" spans="1:8" ht="31.5" hidden="1" x14ac:dyDescent="0.25">
      <c r="A194" s="31" t="s">
        <v>772</v>
      </c>
      <c r="B194" s="454" t="s">
        <v>118</v>
      </c>
      <c r="C194" s="454" t="s">
        <v>140</v>
      </c>
      <c r="D194" s="454" t="s">
        <v>1056</v>
      </c>
      <c r="E194" s="454"/>
      <c r="F194" s="10">
        <f>F195</f>
        <v>0</v>
      </c>
      <c r="G194" s="10">
        <f t="shared" ref="G194:G195" si="100">G195</f>
        <v>0</v>
      </c>
      <c r="H194" s="451" t="e">
        <f t="shared" si="71"/>
        <v>#DIV/0!</v>
      </c>
    </row>
    <row r="195" spans="1:8" ht="31.5" hidden="1" x14ac:dyDescent="0.25">
      <c r="A195" s="458" t="s">
        <v>131</v>
      </c>
      <c r="B195" s="454" t="s">
        <v>118</v>
      </c>
      <c r="C195" s="454" t="s">
        <v>140</v>
      </c>
      <c r="D195" s="454" t="s">
        <v>1056</v>
      </c>
      <c r="E195" s="454" t="s">
        <v>132</v>
      </c>
      <c r="F195" s="10">
        <f>F196</f>
        <v>0</v>
      </c>
      <c r="G195" s="10">
        <f t="shared" si="100"/>
        <v>0</v>
      </c>
      <c r="H195" s="451" t="e">
        <f t="shared" si="71"/>
        <v>#DIV/0!</v>
      </c>
    </row>
    <row r="196" spans="1:8" ht="47.25" hidden="1" x14ac:dyDescent="0.25">
      <c r="A196" s="458" t="s">
        <v>133</v>
      </c>
      <c r="B196" s="454" t="s">
        <v>118</v>
      </c>
      <c r="C196" s="454" t="s">
        <v>140</v>
      </c>
      <c r="D196" s="454" t="s">
        <v>1056</v>
      </c>
      <c r="E196" s="454" t="s">
        <v>134</v>
      </c>
      <c r="F196" s="10">
        <f>'Пр.4 ведом.21'!G268</f>
        <v>0</v>
      </c>
      <c r="G196" s="10">
        <f>'Пр.4 ведом.21'!H268</f>
        <v>0</v>
      </c>
      <c r="H196" s="451" t="e">
        <f t="shared" si="71"/>
        <v>#DIV/0!</v>
      </c>
    </row>
    <row r="197" spans="1:8" ht="47.25" x14ac:dyDescent="0.25">
      <c r="A197" s="462" t="s">
        <v>1355</v>
      </c>
      <c r="B197" s="8" t="s">
        <v>118</v>
      </c>
      <c r="C197" s="8" t="s">
        <v>140</v>
      </c>
      <c r="D197" s="457" t="s">
        <v>705</v>
      </c>
      <c r="E197" s="465"/>
      <c r="F197" s="59">
        <f>F198+F202</f>
        <v>48.2</v>
      </c>
      <c r="G197" s="59">
        <f t="shared" ref="G197" si="101">G198+G202</f>
        <v>20.177</v>
      </c>
      <c r="H197" s="450">
        <f t="shared" si="71"/>
        <v>41.860995850622402</v>
      </c>
    </row>
    <row r="198" spans="1:8" s="200" customFormat="1" ht="47.25" x14ac:dyDescent="0.25">
      <c r="A198" s="206" t="s">
        <v>846</v>
      </c>
      <c r="B198" s="457" t="s">
        <v>118</v>
      </c>
      <c r="C198" s="457" t="s">
        <v>140</v>
      </c>
      <c r="D198" s="457" t="s">
        <v>852</v>
      </c>
      <c r="E198" s="457"/>
      <c r="F198" s="59">
        <f>F199</f>
        <v>33.200000000000003</v>
      </c>
      <c r="G198" s="59">
        <f t="shared" ref="G198" si="102">G199</f>
        <v>5.1769999999999996</v>
      </c>
      <c r="H198" s="450">
        <f t="shared" si="71"/>
        <v>15.593373493975902</v>
      </c>
    </row>
    <row r="199" spans="1:8" ht="39.75" customHeight="1" x14ac:dyDescent="0.25">
      <c r="A199" s="98" t="s">
        <v>776</v>
      </c>
      <c r="B199" s="454" t="s">
        <v>118</v>
      </c>
      <c r="C199" s="454" t="s">
        <v>140</v>
      </c>
      <c r="D199" s="454" t="s">
        <v>847</v>
      </c>
      <c r="E199" s="454"/>
      <c r="F199" s="10">
        <f t="shared" ref="F199:G200" si="103">F200</f>
        <v>33.200000000000003</v>
      </c>
      <c r="G199" s="10">
        <f t="shared" si="103"/>
        <v>5.1769999999999996</v>
      </c>
      <c r="H199" s="451">
        <f t="shared" si="71"/>
        <v>15.593373493975902</v>
      </c>
    </row>
    <row r="200" spans="1:8" ht="31.5" x14ac:dyDescent="0.25">
      <c r="A200" s="458" t="s">
        <v>131</v>
      </c>
      <c r="B200" s="454" t="s">
        <v>118</v>
      </c>
      <c r="C200" s="454" t="s">
        <v>140</v>
      </c>
      <c r="D200" s="454" t="s">
        <v>847</v>
      </c>
      <c r="E200" s="454" t="s">
        <v>132</v>
      </c>
      <c r="F200" s="10">
        <f t="shared" si="103"/>
        <v>33.200000000000003</v>
      </c>
      <c r="G200" s="10">
        <f t="shared" si="103"/>
        <v>5.1769999999999996</v>
      </c>
      <c r="H200" s="451">
        <f t="shared" si="71"/>
        <v>15.593373493975902</v>
      </c>
    </row>
    <row r="201" spans="1:8" ht="47.25" x14ac:dyDescent="0.25">
      <c r="A201" s="458" t="s">
        <v>133</v>
      </c>
      <c r="B201" s="454" t="s">
        <v>118</v>
      </c>
      <c r="C201" s="454" t="s">
        <v>140</v>
      </c>
      <c r="D201" s="454" t="s">
        <v>847</v>
      </c>
      <c r="E201" s="454" t="s">
        <v>134</v>
      </c>
      <c r="F201" s="10">
        <f>'Пр.4 ведом.21'!G273+'Пр.4 ведом.21'!G143</f>
        <v>33.200000000000003</v>
      </c>
      <c r="G201" s="10">
        <f>'Пр.4 ведом.21'!H273+'Пр.4 ведом.21'!H143</f>
        <v>5.1769999999999996</v>
      </c>
      <c r="H201" s="451">
        <f t="shared" si="71"/>
        <v>15.593373493975902</v>
      </c>
    </row>
    <row r="202" spans="1:8" s="200" customFormat="1" ht="31.5" x14ac:dyDescent="0.25">
      <c r="A202" s="464" t="s">
        <v>1023</v>
      </c>
      <c r="B202" s="457" t="s">
        <v>118</v>
      </c>
      <c r="C202" s="457" t="s">
        <v>140</v>
      </c>
      <c r="D202" s="457" t="s">
        <v>853</v>
      </c>
      <c r="E202" s="465"/>
      <c r="F202" s="59">
        <f>F203</f>
        <v>15</v>
      </c>
      <c r="G202" s="59">
        <f t="shared" ref="G202" si="104">G203</f>
        <v>15</v>
      </c>
      <c r="H202" s="450">
        <f t="shared" si="71"/>
        <v>100</v>
      </c>
    </row>
    <row r="203" spans="1:8" ht="33" customHeight="1" x14ac:dyDescent="0.25">
      <c r="A203" s="98" t="s">
        <v>777</v>
      </c>
      <c r="B203" s="454" t="s">
        <v>118</v>
      </c>
      <c r="C203" s="454" t="s">
        <v>140</v>
      </c>
      <c r="D203" s="454" t="s">
        <v>848</v>
      </c>
      <c r="E203" s="460"/>
      <c r="F203" s="10">
        <f t="shared" ref="F203:G204" si="105">F204</f>
        <v>15</v>
      </c>
      <c r="G203" s="10">
        <f t="shared" si="105"/>
        <v>15</v>
      </c>
      <c r="H203" s="451">
        <f t="shared" ref="H203:H266" si="106">G203/F203*100</f>
        <v>100</v>
      </c>
    </row>
    <row r="204" spans="1:8" ht="31.7" customHeight="1" x14ac:dyDescent="0.25">
      <c r="A204" s="458" t="s">
        <v>131</v>
      </c>
      <c r="B204" s="454" t="s">
        <v>118</v>
      </c>
      <c r="C204" s="454" t="s">
        <v>140</v>
      </c>
      <c r="D204" s="454" t="s">
        <v>848</v>
      </c>
      <c r="E204" s="460" t="s">
        <v>132</v>
      </c>
      <c r="F204" s="10">
        <f t="shared" si="105"/>
        <v>15</v>
      </c>
      <c r="G204" s="10">
        <f t="shared" si="105"/>
        <v>15</v>
      </c>
      <c r="H204" s="451">
        <f t="shared" si="106"/>
        <v>100</v>
      </c>
    </row>
    <row r="205" spans="1:8" ht="40.700000000000003" customHeight="1" x14ac:dyDescent="0.25">
      <c r="A205" s="458" t="s">
        <v>133</v>
      </c>
      <c r="B205" s="454" t="s">
        <v>118</v>
      </c>
      <c r="C205" s="454" t="s">
        <v>140</v>
      </c>
      <c r="D205" s="454" t="s">
        <v>848</v>
      </c>
      <c r="E205" s="460" t="s">
        <v>134</v>
      </c>
      <c r="F205" s="10">
        <f>'Пр.4 ведом.21'!G147</f>
        <v>15</v>
      </c>
      <c r="G205" s="10">
        <f>'Пр.4 ведом.21'!H147</f>
        <v>15</v>
      </c>
      <c r="H205" s="451">
        <f t="shared" si="106"/>
        <v>100</v>
      </c>
    </row>
    <row r="206" spans="1:8" ht="63" x14ac:dyDescent="0.25">
      <c r="A206" s="212" t="s">
        <v>1537</v>
      </c>
      <c r="B206" s="457" t="s">
        <v>118</v>
      </c>
      <c r="C206" s="457" t="s">
        <v>140</v>
      </c>
      <c r="D206" s="457" t="s">
        <v>782</v>
      </c>
      <c r="E206" s="465"/>
      <c r="F206" s="59">
        <f>F208</f>
        <v>629.7600000000001</v>
      </c>
      <c r="G206" s="59">
        <f t="shared" ref="G206" si="107">G208</f>
        <v>0</v>
      </c>
      <c r="H206" s="450">
        <f t="shared" si="106"/>
        <v>0</v>
      </c>
    </row>
    <row r="207" spans="1:8" s="200" customFormat="1" ht="31.5" x14ac:dyDescent="0.25">
      <c r="A207" s="456" t="s">
        <v>930</v>
      </c>
      <c r="B207" s="457" t="s">
        <v>118</v>
      </c>
      <c r="C207" s="457" t="s">
        <v>140</v>
      </c>
      <c r="D207" s="457" t="s">
        <v>1020</v>
      </c>
      <c r="E207" s="465"/>
      <c r="F207" s="59">
        <f>F208</f>
        <v>629.7600000000001</v>
      </c>
      <c r="G207" s="59">
        <f t="shared" ref="G207:G209" si="108">G208</f>
        <v>0</v>
      </c>
      <c r="H207" s="450">
        <f t="shared" si="106"/>
        <v>0</v>
      </c>
    </row>
    <row r="208" spans="1:8" ht="31.5" x14ac:dyDescent="0.25">
      <c r="A208" s="182" t="s">
        <v>790</v>
      </c>
      <c r="B208" s="454" t="s">
        <v>118</v>
      </c>
      <c r="C208" s="454" t="s">
        <v>140</v>
      </c>
      <c r="D208" s="454" t="s">
        <v>1021</v>
      </c>
      <c r="E208" s="460"/>
      <c r="F208" s="10">
        <f>F209</f>
        <v>629.7600000000001</v>
      </c>
      <c r="G208" s="10">
        <f t="shared" si="108"/>
        <v>0</v>
      </c>
      <c r="H208" s="451">
        <f t="shared" si="106"/>
        <v>0</v>
      </c>
    </row>
    <row r="209" spans="1:8" ht="31.5" x14ac:dyDescent="0.25">
      <c r="A209" s="182" t="s">
        <v>131</v>
      </c>
      <c r="B209" s="454" t="s">
        <v>118</v>
      </c>
      <c r="C209" s="454" t="s">
        <v>140</v>
      </c>
      <c r="D209" s="454" t="s">
        <v>1021</v>
      </c>
      <c r="E209" s="460" t="s">
        <v>132</v>
      </c>
      <c r="F209" s="10">
        <f>F210</f>
        <v>629.7600000000001</v>
      </c>
      <c r="G209" s="10">
        <f t="shared" si="108"/>
        <v>0</v>
      </c>
      <c r="H209" s="451">
        <f t="shared" si="106"/>
        <v>0</v>
      </c>
    </row>
    <row r="210" spans="1:8" ht="47.25" x14ac:dyDescent="0.25">
      <c r="A210" s="182" t="s">
        <v>133</v>
      </c>
      <c r="B210" s="454" t="s">
        <v>118</v>
      </c>
      <c r="C210" s="454" t="s">
        <v>140</v>
      </c>
      <c r="D210" s="454" t="s">
        <v>1021</v>
      </c>
      <c r="E210" s="460" t="s">
        <v>134</v>
      </c>
      <c r="F210" s="10">
        <f>'Пр.4 ведом.21'!G544</f>
        <v>629.7600000000001</v>
      </c>
      <c r="G210" s="10">
        <f>'Пр.4 ведом.21'!H544</f>
        <v>0</v>
      </c>
      <c r="H210" s="451">
        <f t="shared" si="106"/>
        <v>0</v>
      </c>
    </row>
    <row r="211" spans="1:8" ht="78.75" x14ac:dyDescent="0.25">
      <c r="A211" s="462" t="s">
        <v>1376</v>
      </c>
      <c r="B211" s="8" t="s">
        <v>118</v>
      </c>
      <c r="C211" s="8" t="s">
        <v>140</v>
      </c>
      <c r="D211" s="516" t="s">
        <v>817</v>
      </c>
      <c r="E211" s="8"/>
      <c r="F211" s="59">
        <f>F212</f>
        <v>40</v>
      </c>
      <c r="G211" s="59">
        <f t="shared" ref="G211:G214" si="109">G212</f>
        <v>0</v>
      </c>
      <c r="H211" s="450">
        <f t="shared" si="106"/>
        <v>0</v>
      </c>
    </row>
    <row r="212" spans="1:8" s="200" customFormat="1" ht="47.25" x14ac:dyDescent="0.25">
      <c r="A212" s="208" t="s">
        <v>854</v>
      </c>
      <c r="B212" s="8" t="s">
        <v>118</v>
      </c>
      <c r="C212" s="8" t="s">
        <v>140</v>
      </c>
      <c r="D212" s="193" t="s">
        <v>1076</v>
      </c>
      <c r="E212" s="8"/>
      <c r="F212" s="59">
        <f>F213</f>
        <v>40</v>
      </c>
      <c r="G212" s="59">
        <f t="shared" si="109"/>
        <v>0</v>
      </c>
      <c r="H212" s="450">
        <f t="shared" si="106"/>
        <v>0</v>
      </c>
    </row>
    <row r="213" spans="1:8" ht="31.5" x14ac:dyDescent="0.25">
      <c r="A213" s="97" t="s">
        <v>171</v>
      </c>
      <c r="B213" s="9" t="s">
        <v>118</v>
      </c>
      <c r="C213" s="9" t="s">
        <v>140</v>
      </c>
      <c r="D213" s="5" t="s">
        <v>855</v>
      </c>
      <c r="E213" s="9"/>
      <c r="F213" s="10">
        <f>F214</f>
        <v>40</v>
      </c>
      <c r="G213" s="10">
        <f t="shared" si="109"/>
        <v>0</v>
      </c>
      <c r="H213" s="451">
        <f t="shared" si="106"/>
        <v>0</v>
      </c>
    </row>
    <row r="214" spans="1:8" ht="31.5" x14ac:dyDescent="0.25">
      <c r="A214" s="458" t="s">
        <v>131</v>
      </c>
      <c r="B214" s="9" t="s">
        <v>118</v>
      </c>
      <c r="C214" s="9" t="s">
        <v>140</v>
      </c>
      <c r="D214" s="5" t="s">
        <v>855</v>
      </c>
      <c r="E214" s="9" t="s">
        <v>132</v>
      </c>
      <c r="F214" s="10">
        <f>F215</f>
        <v>40</v>
      </c>
      <c r="G214" s="10">
        <f t="shared" si="109"/>
        <v>0</v>
      </c>
      <c r="H214" s="451">
        <f t="shared" si="106"/>
        <v>0</v>
      </c>
    </row>
    <row r="215" spans="1:8" ht="47.25" x14ac:dyDescent="0.25">
      <c r="A215" s="458" t="s">
        <v>133</v>
      </c>
      <c r="B215" s="9" t="s">
        <v>118</v>
      </c>
      <c r="C215" s="9" t="s">
        <v>140</v>
      </c>
      <c r="D215" s="5" t="s">
        <v>855</v>
      </c>
      <c r="E215" s="9" t="s">
        <v>134</v>
      </c>
      <c r="F215" s="10">
        <f>'Пр.4 ведом.21'!G152</f>
        <v>40</v>
      </c>
      <c r="G215" s="10">
        <f>'Пр.4 ведом.21'!H152</f>
        <v>0</v>
      </c>
      <c r="H215" s="451">
        <f t="shared" si="106"/>
        <v>0</v>
      </c>
    </row>
    <row r="216" spans="1:8" ht="63" x14ac:dyDescent="0.25">
      <c r="A216" s="462" t="s">
        <v>1679</v>
      </c>
      <c r="B216" s="8" t="s">
        <v>118</v>
      </c>
      <c r="C216" s="8" t="s">
        <v>140</v>
      </c>
      <c r="D216" s="193" t="s">
        <v>818</v>
      </c>
      <c r="E216" s="8"/>
      <c r="F216" s="450">
        <f>F217</f>
        <v>87.1</v>
      </c>
      <c r="G216" s="450">
        <f t="shared" ref="G216" si="110">G217</f>
        <v>13.16</v>
      </c>
      <c r="H216" s="450">
        <f t="shared" si="106"/>
        <v>15.109070034443169</v>
      </c>
    </row>
    <row r="217" spans="1:8" ht="31.5" x14ac:dyDescent="0.25">
      <c r="A217" s="58" t="s">
        <v>856</v>
      </c>
      <c r="B217" s="8" t="s">
        <v>118</v>
      </c>
      <c r="C217" s="8" t="s">
        <v>140</v>
      </c>
      <c r="D217" s="193" t="s">
        <v>864</v>
      </c>
      <c r="E217" s="8"/>
      <c r="F217" s="450">
        <f t="shared" ref="F217:G219" si="111">F218</f>
        <v>87.1</v>
      </c>
      <c r="G217" s="450">
        <f t="shared" si="111"/>
        <v>13.16</v>
      </c>
      <c r="H217" s="450">
        <f t="shared" si="106"/>
        <v>15.109070034443169</v>
      </c>
    </row>
    <row r="218" spans="1:8" ht="15.75" x14ac:dyDescent="0.25">
      <c r="A218" s="45" t="s">
        <v>822</v>
      </c>
      <c r="B218" s="9" t="s">
        <v>118</v>
      </c>
      <c r="C218" s="9" t="s">
        <v>140</v>
      </c>
      <c r="D218" s="5" t="s">
        <v>857</v>
      </c>
      <c r="E218" s="9"/>
      <c r="F218" s="360">
        <f t="shared" si="111"/>
        <v>87.1</v>
      </c>
      <c r="G218" s="360">
        <f t="shared" si="111"/>
        <v>13.16</v>
      </c>
      <c r="H218" s="451">
        <f t="shared" si="106"/>
        <v>15.109070034443169</v>
      </c>
    </row>
    <row r="219" spans="1:8" ht="39.75" customHeight="1" x14ac:dyDescent="0.25">
      <c r="A219" s="458" t="s">
        <v>131</v>
      </c>
      <c r="B219" s="9" t="s">
        <v>118</v>
      </c>
      <c r="C219" s="9" t="s">
        <v>140</v>
      </c>
      <c r="D219" s="5" t="s">
        <v>857</v>
      </c>
      <c r="E219" s="9" t="s">
        <v>132</v>
      </c>
      <c r="F219" s="360">
        <f>F220</f>
        <v>87.1</v>
      </c>
      <c r="G219" s="360">
        <f t="shared" si="111"/>
        <v>13.16</v>
      </c>
      <c r="H219" s="451">
        <f t="shared" si="106"/>
        <v>15.109070034443169</v>
      </c>
    </row>
    <row r="220" spans="1:8" ht="47.25" x14ac:dyDescent="0.25">
      <c r="A220" s="458" t="s">
        <v>133</v>
      </c>
      <c r="B220" s="9" t="s">
        <v>118</v>
      </c>
      <c r="C220" s="9" t="s">
        <v>140</v>
      </c>
      <c r="D220" s="5" t="s">
        <v>857</v>
      </c>
      <c r="E220" s="9" t="s">
        <v>134</v>
      </c>
      <c r="F220" s="451">
        <f>'Пр.4 ведом.21'!G157</f>
        <v>87.1</v>
      </c>
      <c r="G220" s="451">
        <f>'Пр.4 ведом.21'!H157</f>
        <v>13.16</v>
      </c>
      <c r="H220" s="451">
        <f t="shared" si="106"/>
        <v>15.109070034443169</v>
      </c>
    </row>
    <row r="221" spans="1:8" s="200" customFormat="1" ht="15.75" hidden="1" x14ac:dyDescent="0.25">
      <c r="A221" s="456" t="s">
        <v>212</v>
      </c>
      <c r="B221" s="457" t="s">
        <v>213</v>
      </c>
      <c r="C221" s="457"/>
      <c r="D221" s="457"/>
      <c r="E221" s="457"/>
      <c r="F221" s="450">
        <f t="shared" ref="F221:G226" si="112">F222</f>
        <v>0</v>
      </c>
      <c r="G221" s="450">
        <f t="shared" si="112"/>
        <v>0</v>
      </c>
      <c r="H221" s="451" t="e">
        <f t="shared" si="106"/>
        <v>#DIV/0!</v>
      </c>
    </row>
    <row r="222" spans="1:8" s="200" customFormat="1" ht="19.5" hidden="1" customHeight="1" x14ac:dyDescent="0.25">
      <c r="A222" s="456" t="s">
        <v>218</v>
      </c>
      <c r="B222" s="457" t="s">
        <v>213</v>
      </c>
      <c r="C222" s="457" t="s">
        <v>219</v>
      </c>
      <c r="D222" s="457"/>
      <c r="E222" s="457"/>
      <c r="F222" s="450">
        <f t="shared" si="112"/>
        <v>0</v>
      </c>
      <c r="G222" s="450">
        <f t="shared" si="112"/>
        <v>0</v>
      </c>
      <c r="H222" s="451" t="e">
        <f t="shared" si="106"/>
        <v>#DIV/0!</v>
      </c>
    </row>
    <row r="223" spans="1:8" s="200" customFormat="1" ht="15.75" hidden="1" x14ac:dyDescent="0.25">
      <c r="A223" s="456" t="s">
        <v>141</v>
      </c>
      <c r="B223" s="457" t="s">
        <v>213</v>
      </c>
      <c r="C223" s="457" t="s">
        <v>219</v>
      </c>
      <c r="D223" s="457" t="s">
        <v>866</v>
      </c>
      <c r="E223" s="457"/>
      <c r="F223" s="450">
        <f t="shared" si="112"/>
        <v>0</v>
      </c>
      <c r="G223" s="450">
        <f t="shared" si="112"/>
        <v>0</v>
      </c>
      <c r="H223" s="451" t="e">
        <f t="shared" si="106"/>
        <v>#DIV/0!</v>
      </c>
    </row>
    <row r="224" spans="1:8" s="200" customFormat="1" ht="31.5" hidden="1" x14ac:dyDescent="0.25">
      <c r="A224" s="456" t="s">
        <v>870</v>
      </c>
      <c r="B224" s="457" t="s">
        <v>213</v>
      </c>
      <c r="C224" s="457" t="s">
        <v>219</v>
      </c>
      <c r="D224" s="457" t="s">
        <v>865</v>
      </c>
      <c r="E224" s="457"/>
      <c r="F224" s="450">
        <f t="shared" si="112"/>
        <v>0</v>
      </c>
      <c r="G224" s="450">
        <f t="shared" si="112"/>
        <v>0</v>
      </c>
      <c r="H224" s="451" t="e">
        <f t="shared" si="106"/>
        <v>#DIV/0!</v>
      </c>
    </row>
    <row r="225" spans="1:10" s="200" customFormat="1" ht="15.75" hidden="1" x14ac:dyDescent="0.25">
      <c r="A225" s="458" t="s">
        <v>220</v>
      </c>
      <c r="B225" s="454" t="s">
        <v>213</v>
      </c>
      <c r="C225" s="454" t="s">
        <v>219</v>
      </c>
      <c r="D225" s="454" t="s">
        <v>871</v>
      </c>
      <c r="E225" s="454"/>
      <c r="F225" s="451">
        <f t="shared" si="112"/>
        <v>0</v>
      </c>
      <c r="G225" s="451">
        <f t="shared" si="112"/>
        <v>0</v>
      </c>
      <c r="H225" s="451" t="e">
        <f t="shared" si="106"/>
        <v>#DIV/0!</v>
      </c>
    </row>
    <row r="226" spans="1:10" s="200" customFormat="1" ht="31.5" hidden="1" x14ac:dyDescent="0.25">
      <c r="A226" s="458" t="s">
        <v>198</v>
      </c>
      <c r="B226" s="454" t="s">
        <v>213</v>
      </c>
      <c r="C226" s="454" t="s">
        <v>219</v>
      </c>
      <c r="D226" s="454" t="s">
        <v>871</v>
      </c>
      <c r="E226" s="454" t="s">
        <v>132</v>
      </c>
      <c r="F226" s="451">
        <f t="shared" si="112"/>
        <v>0</v>
      </c>
      <c r="G226" s="451">
        <f t="shared" si="112"/>
        <v>0</v>
      </c>
      <c r="H226" s="451" t="e">
        <f t="shared" si="106"/>
        <v>#DIV/0!</v>
      </c>
    </row>
    <row r="227" spans="1:10" s="200" customFormat="1" ht="47.25" hidden="1" x14ac:dyDescent="0.25">
      <c r="A227" s="458" t="s">
        <v>133</v>
      </c>
      <c r="B227" s="454" t="s">
        <v>213</v>
      </c>
      <c r="C227" s="454" t="s">
        <v>219</v>
      </c>
      <c r="D227" s="454" t="s">
        <v>871</v>
      </c>
      <c r="E227" s="454" t="s">
        <v>134</v>
      </c>
      <c r="F227" s="451">
        <f>'Пр.4 ведом.21'!G164</f>
        <v>0</v>
      </c>
      <c r="G227" s="451">
        <f>'Пр.4 ведом.21'!H164</f>
        <v>0</v>
      </c>
      <c r="H227" s="451" t="e">
        <f t="shared" si="106"/>
        <v>#DIV/0!</v>
      </c>
    </row>
    <row r="228" spans="1:10" ht="31.5" x14ac:dyDescent="0.25">
      <c r="A228" s="456" t="s">
        <v>222</v>
      </c>
      <c r="B228" s="457" t="s">
        <v>215</v>
      </c>
      <c r="C228" s="457"/>
      <c r="D228" s="457"/>
      <c r="E228" s="457"/>
      <c r="F228" s="450">
        <f t="shared" ref="F228:G228" si="113">F229</f>
        <v>7257.9250000000002</v>
      </c>
      <c r="G228" s="450">
        <f t="shared" si="113"/>
        <v>4831.482</v>
      </c>
      <c r="H228" s="450">
        <f t="shared" si="106"/>
        <v>66.568364925236892</v>
      </c>
    </row>
    <row r="229" spans="1:10" ht="47.25" x14ac:dyDescent="0.25">
      <c r="A229" s="456" t="s">
        <v>1348</v>
      </c>
      <c r="B229" s="457" t="s">
        <v>215</v>
      </c>
      <c r="C229" s="457" t="s">
        <v>244</v>
      </c>
      <c r="D229" s="454"/>
      <c r="E229" s="454"/>
      <c r="F229" s="450">
        <f>F230+F248</f>
        <v>7257.9250000000002</v>
      </c>
      <c r="G229" s="450">
        <f t="shared" ref="G229" si="114">G230+G248</f>
        <v>4831.482</v>
      </c>
      <c r="H229" s="450">
        <f t="shared" si="106"/>
        <v>66.568364925236892</v>
      </c>
      <c r="I229" s="22"/>
      <c r="J229" s="22"/>
    </row>
    <row r="230" spans="1:10" ht="15.75" x14ac:dyDescent="0.25">
      <c r="A230" s="456" t="s">
        <v>141</v>
      </c>
      <c r="B230" s="457" t="s">
        <v>215</v>
      </c>
      <c r="C230" s="457" t="s">
        <v>244</v>
      </c>
      <c r="D230" s="457" t="s">
        <v>866</v>
      </c>
      <c r="E230" s="457"/>
      <c r="F230" s="450">
        <f>F231+F238</f>
        <v>6709.9250000000002</v>
      </c>
      <c r="G230" s="450">
        <f t="shared" ref="G230" si="115">G231+G238</f>
        <v>4831.482</v>
      </c>
      <c r="H230" s="450">
        <f t="shared" si="106"/>
        <v>72.005007507535481</v>
      </c>
    </row>
    <row r="231" spans="1:10" ht="31.5" x14ac:dyDescent="0.25">
      <c r="A231" s="456" t="s">
        <v>870</v>
      </c>
      <c r="B231" s="457" t="s">
        <v>215</v>
      </c>
      <c r="C231" s="457" t="s">
        <v>244</v>
      </c>
      <c r="D231" s="457" t="s">
        <v>865</v>
      </c>
      <c r="E231" s="457"/>
      <c r="F231" s="450">
        <f>F232+F235</f>
        <v>522.04999999999995</v>
      </c>
      <c r="G231" s="450">
        <f t="shared" ref="G231" si="116">G232+G235</f>
        <v>120.68899999999999</v>
      </c>
      <c r="H231" s="450">
        <f t="shared" si="106"/>
        <v>23.118283689301791</v>
      </c>
    </row>
    <row r="232" spans="1:10" ht="47.25" x14ac:dyDescent="0.25">
      <c r="A232" s="458" t="s">
        <v>224</v>
      </c>
      <c r="B232" s="454" t="s">
        <v>215</v>
      </c>
      <c r="C232" s="454" t="s">
        <v>244</v>
      </c>
      <c r="D232" s="454" t="s">
        <v>875</v>
      </c>
      <c r="E232" s="454"/>
      <c r="F232" s="451">
        <f t="shared" ref="F232:G233" si="117">F233</f>
        <v>279</v>
      </c>
      <c r="G232" s="451">
        <f t="shared" si="117"/>
        <v>120.68899999999999</v>
      </c>
      <c r="H232" s="451">
        <f t="shared" si="106"/>
        <v>43.25770609318996</v>
      </c>
    </row>
    <row r="233" spans="1:10" ht="31.5" x14ac:dyDescent="0.25">
      <c r="A233" s="458" t="s">
        <v>198</v>
      </c>
      <c r="B233" s="454" t="s">
        <v>215</v>
      </c>
      <c r="C233" s="454" t="s">
        <v>244</v>
      </c>
      <c r="D233" s="454" t="s">
        <v>875</v>
      </c>
      <c r="E233" s="454" t="s">
        <v>132</v>
      </c>
      <c r="F233" s="451">
        <f t="shared" si="117"/>
        <v>279</v>
      </c>
      <c r="G233" s="451">
        <f t="shared" si="117"/>
        <v>120.68899999999999</v>
      </c>
      <c r="H233" s="451">
        <f t="shared" si="106"/>
        <v>43.25770609318996</v>
      </c>
    </row>
    <row r="234" spans="1:10" ht="47.25" x14ac:dyDescent="0.25">
      <c r="A234" s="458" t="s">
        <v>133</v>
      </c>
      <c r="B234" s="454" t="s">
        <v>215</v>
      </c>
      <c r="C234" s="454" t="s">
        <v>244</v>
      </c>
      <c r="D234" s="454" t="s">
        <v>875</v>
      </c>
      <c r="E234" s="454" t="s">
        <v>134</v>
      </c>
      <c r="F234" s="363">
        <f>'Пр.4 ведом.21'!G171</f>
        <v>279</v>
      </c>
      <c r="G234" s="363">
        <f>'Пр.4 ведом.21'!H171</f>
        <v>120.68899999999999</v>
      </c>
      <c r="H234" s="451">
        <f t="shared" si="106"/>
        <v>43.25770609318996</v>
      </c>
    </row>
    <row r="235" spans="1:10" ht="15.75" x14ac:dyDescent="0.25">
      <c r="A235" s="458" t="s">
        <v>230</v>
      </c>
      <c r="B235" s="454" t="s">
        <v>215</v>
      </c>
      <c r="C235" s="454" t="s">
        <v>244</v>
      </c>
      <c r="D235" s="454" t="s">
        <v>876</v>
      </c>
      <c r="E235" s="454"/>
      <c r="F235" s="363">
        <f t="shared" ref="F235:G236" si="118">F236</f>
        <v>243.04999999999998</v>
      </c>
      <c r="G235" s="363">
        <f t="shared" si="118"/>
        <v>0</v>
      </c>
      <c r="H235" s="451">
        <f t="shared" si="106"/>
        <v>0</v>
      </c>
    </row>
    <row r="236" spans="1:10" ht="31.5" x14ac:dyDescent="0.25">
      <c r="A236" s="458" t="s">
        <v>198</v>
      </c>
      <c r="B236" s="454" t="s">
        <v>215</v>
      </c>
      <c r="C236" s="454" t="s">
        <v>244</v>
      </c>
      <c r="D236" s="454" t="s">
        <v>876</v>
      </c>
      <c r="E236" s="454" t="s">
        <v>132</v>
      </c>
      <c r="F236" s="363">
        <f t="shared" si="118"/>
        <v>243.04999999999998</v>
      </c>
      <c r="G236" s="363">
        <f t="shared" si="118"/>
        <v>0</v>
      </c>
      <c r="H236" s="451">
        <f t="shared" si="106"/>
        <v>0</v>
      </c>
    </row>
    <row r="237" spans="1:10" ht="47.25" x14ac:dyDescent="0.25">
      <c r="A237" s="458" t="s">
        <v>133</v>
      </c>
      <c r="B237" s="454" t="s">
        <v>215</v>
      </c>
      <c r="C237" s="454" t="s">
        <v>244</v>
      </c>
      <c r="D237" s="454" t="s">
        <v>876</v>
      </c>
      <c r="E237" s="454" t="s">
        <v>134</v>
      </c>
      <c r="F237" s="363">
        <f>'Пр.4 ведом.21'!G174+'Пр.4 ведом.21'!G897</f>
        <v>243.04999999999998</v>
      </c>
      <c r="G237" s="363">
        <f>'Пр.4 ведом.21'!H174+'Пр.4 ведом.21'!H897</f>
        <v>0</v>
      </c>
      <c r="H237" s="451">
        <f t="shared" si="106"/>
        <v>0</v>
      </c>
    </row>
    <row r="238" spans="1:10" ht="31.5" x14ac:dyDescent="0.25">
      <c r="A238" s="456" t="s">
        <v>923</v>
      </c>
      <c r="B238" s="457" t="s">
        <v>215</v>
      </c>
      <c r="C238" s="457" t="s">
        <v>244</v>
      </c>
      <c r="D238" s="457" t="s">
        <v>872</v>
      </c>
      <c r="E238" s="457"/>
      <c r="F238" s="450">
        <f>F239+F244</f>
        <v>6187.875</v>
      </c>
      <c r="G238" s="450">
        <f t="shared" ref="G238" si="119">G239+G244</f>
        <v>4710.7929999999997</v>
      </c>
      <c r="H238" s="450">
        <f t="shared" si="106"/>
        <v>76.129414378926526</v>
      </c>
    </row>
    <row r="239" spans="1:10" ht="31.5" x14ac:dyDescent="0.25">
      <c r="A239" s="458" t="s">
        <v>927</v>
      </c>
      <c r="B239" s="454" t="s">
        <v>215</v>
      </c>
      <c r="C239" s="454" t="s">
        <v>244</v>
      </c>
      <c r="D239" s="454" t="s">
        <v>873</v>
      </c>
      <c r="E239" s="454"/>
      <c r="F239" s="360">
        <f>F240+F242</f>
        <v>5877.85</v>
      </c>
      <c r="G239" s="360">
        <f t="shared" ref="G239" si="120">G240+G242</f>
        <v>4400.768</v>
      </c>
      <c r="H239" s="451">
        <f t="shared" si="106"/>
        <v>74.870369267674391</v>
      </c>
    </row>
    <row r="240" spans="1:10" ht="78.75" x14ac:dyDescent="0.25">
      <c r="A240" s="458" t="s">
        <v>127</v>
      </c>
      <c r="B240" s="454" t="s">
        <v>215</v>
      </c>
      <c r="C240" s="454" t="s">
        <v>244</v>
      </c>
      <c r="D240" s="454" t="s">
        <v>873</v>
      </c>
      <c r="E240" s="454" t="s">
        <v>128</v>
      </c>
      <c r="F240" s="360">
        <f>'Пр.4 ведом.21'!G178</f>
        <v>5693.1</v>
      </c>
      <c r="G240" s="360">
        <f>'Пр.4 ведом.21'!H178</f>
        <v>4261.03</v>
      </c>
      <c r="H240" s="451">
        <f t="shared" si="106"/>
        <v>74.845514745920497</v>
      </c>
    </row>
    <row r="241" spans="1:12" ht="31.5" x14ac:dyDescent="0.25">
      <c r="A241" s="458" t="s">
        <v>208</v>
      </c>
      <c r="B241" s="454" t="s">
        <v>215</v>
      </c>
      <c r="C241" s="454" t="s">
        <v>244</v>
      </c>
      <c r="D241" s="454" t="s">
        <v>873</v>
      </c>
      <c r="E241" s="454" t="s">
        <v>209</v>
      </c>
      <c r="F241" s="451">
        <f>'Пр.4 ведом.21'!G178</f>
        <v>5693.1</v>
      </c>
      <c r="G241" s="451">
        <f>'Пр.4 ведом.21'!H178</f>
        <v>4261.03</v>
      </c>
      <c r="H241" s="451">
        <f t="shared" si="106"/>
        <v>74.845514745920497</v>
      </c>
    </row>
    <row r="242" spans="1:12" ht="31.5" x14ac:dyDescent="0.25">
      <c r="A242" s="458" t="s">
        <v>198</v>
      </c>
      <c r="B242" s="454" t="s">
        <v>215</v>
      </c>
      <c r="C242" s="454" t="s">
        <v>244</v>
      </c>
      <c r="D242" s="454" t="s">
        <v>873</v>
      </c>
      <c r="E242" s="454" t="s">
        <v>132</v>
      </c>
      <c r="F242" s="451">
        <f>'Пр.4 ведом.21'!G180</f>
        <v>184.75</v>
      </c>
      <c r="G242" s="451">
        <f>'Пр.4 ведом.21'!H180</f>
        <v>139.738</v>
      </c>
      <c r="H242" s="451">
        <f t="shared" si="106"/>
        <v>75.636265223274691</v>
      </c>
    </row>
    <row r="243" spans="1:12" ht="47.25" x14ac:dyDescent="0.25">
      <c r="A243" s="458" t="s">
        <v>133</v>
      </c>
      <c r="B243" s="454" t="s">
        <v>215</v>
      </c>
      <c r="C243" s="454" t="s">
        <v>244</v>
      </c>
      <c r="D243" s="454" t="s">
        <v>873</v>
      </c>
      <c r="E243" s="454" t="s">
        <v>134</v>
      </c>
      <c r="F243" s="451">
        <f>'Пр.4 ведом.21'!G180</f>
        <v>184.75</v>
      </c>
      <c r="G243" s="451">
        <f>'Пр.4 ведом.21'!H180</f>
        <v>139.738</v>
      </c>
      <c r="H243" s="451">
        <f t="shared" si="106"/>
        <v>75.636265223274691</v>
      </c>
    </row>
    <row r="244" spans="1:12" ht="47.25" x14ac:dyDescent="0.25">
      <c r="A244" s="458" t="s">
        <v>839</v>
      </c>
      <c r="B244" s="454" t="s">
        <v>215</v>
      </c>
      <c r="C244" s="454" t="s">
        <v>244</v>
      </c>
      <c r="D244" s="454" t="s">
        <v>874</v>
      </c>
      <c r="E244" s="454"/>
      <c r="F244" s="451">
        <f t="shared" ref="F244:G245" si="121">F245</f>
        <v>310.02499999999998</v>
      </c>
      <c r="G244" s="451">
        <f t="shared" si="121"/>
        <v>310.02499999999998</v>
      </c>
      <c r="H244" s="451">
        <f t="shared" si="106"/>
        <v>100</v>
      </c>
    </row>
    <row r="245" spans="1:12" ht="78.75" x14ac:dyDescent="0.25">
      <c r="A245" s="458" t="s">
        <v>127</v>
      </c>
      <c r="B245" s="454" t="s">
        <v>215</v>
      </c>
      <c r="C245" s="454" t="s">
        <v>244</v>
      </c>
      <c r="D245" s="454" t="s">
        <v>874</v>
      </c>
      <c r="E245" s="454" t="s">
        <v>128</v>
      </c>
      <c r="F245" s="451">
        <f>F246</f>
        <v>310.02499999999998</v>
      </c>
      <c r="G245" s="451">
        <f t="shared" si="121"/>
        <v>310.02499999999998</v>
      </c>
      <c r="H245" s="451">
        <f t="shared" si="106"/>
        <v>100</v>
      </c>
    </row>
    <row r="246" spans="1:12" s="200" customFormat="1" ht="31.5" x14ac:dyDescent="0.25">
      <c r="A246" s="458" t="s">
        <v>129</v>
      </c>
      <c r="B246" s="454" t="s">
        <v>215</v>
      </c>
      <c r="C246" s="454" t="s">
        <v>244</v>
      </c>
      <c r="D246" s="454" t="s">
        <v>874</v>
      </c>
      <c r="E246" s="454" t="s">
        <v>130</v>
      </c>
      <c r="F246" s="451">
        <f>'Пр.4 ведом.21'!G183</f>
        <v>310.02499999999998</v>
      </c>
      <c r="G246" s="451">
        <f>'Пр.4 ведом.21'!H183</f>
        <v>310.02499999999998</v>
      </c>
      <c r="H246" s="451">
        <f t="shared" si="106"/>
        <v>100</v>
      </c>
    </row>
    <row r="247" spans="1:12" s="449" customFormat="1" ht="47.25" x14ac:dyDescent="0.25">
      <c r="A247" s="462" t="s">
        <v>1355</v>
      </c>
      <c r="B247" s="8" t="s">
        <v>118</v>
      </c>
      <c r="C247" s="8" t="s">
        <v>140</v>
      </c>
      <c r="D247" s="457" t="s">
        <v>705</v>
      </c>
      <c r="E247" s="454"/>
      <c r="F247" s="450">
        <f>F248</f>
        <v>548</v>
      </c>
      <c r="G247" s="450">
        <f t="shared" ref="G247" si="122">G248</f>
        <v>0</v>
      </c>
      <c r="H247" s="450">
        <f t="shared" si="106"/>
        <v>0</v>
      </c>
    </row>
    <row r="248" spans="1:12" s="449" customFormat="1" ht="31.5" x14ac:dyDescent="0.25">
      <c r="A248" s="456" t="s">
        <v>1654</v>
      </c>
      <c r="B248" s="457" t="s">
        <v>215</v>
      </c>
      <c r="C248" s="457" t="s">
        <v>244</v>
      </c>
      <c r="D248" s="457" t="s">
        <v>1655</v>
      </c>
      <c r="E248" s="465"/>
      <c r="F248" s="450">
        <f>F249+F252</f>
        <v>548</v>
      </c>
      <c r="G248" s="450">
        <f t="shared" ref="G248" si="123">G249+G252</f>
        <v>0</v>
      </c>
      <c r="H248" s="450">
        <f t="shared" si="106"/>
        <v>0</v>
      </c>
    </row>
    <row r="249" spans="1:12" s="449" customFormat="1" ht="15.75" hidden="1" x14ac:dyDescent="0.25">
      <c r="A249" s="458" t="s">
        <v>230</v>
      </c>
      <c r="B249" s="454" t="s">
        <v>215</v>
      </c>
      <c r="C249" s="454" t="s">
        <v>244</v>
      </c>
      <c r="D249" s="454" t="s">
        <v>1656</v>
      </c>
      <c r="E249" s="460"/>
      <c r="F249" s="451">
        <f>F250</f>
        <v>0</v>
      </c>
      <c r="G249" s="451">
        <f t="shared" ref="G249:G250" si="124">G250</f>
        <v>0</v>
      </c>
      <c r="H249" s="451" t="e">
        <f t="shared" si="106"/>
        <v>#DIV/0!</v>
      </c>
    </row>
    <row r="250" spans="1:12" s="449" customFormat="1" ht="31.5" hidden="1" x14ac:dyDescent="0.25">
      <c r="A250" s="458" t="s">
        <v>131</v>
      </c>
      <c r="B250" s="454" t="s">
        <v>215</v>
      </c>
      <c r="C250" s="454" t="s">
        <v>244</v>
      </c>
      <c r="D250" s="454" t="s">
        <v>1656</v>
      </c>
      <c r="E250" s="460" t="s">
        <v>132</v>
      </c>
      <c r="F250" s="451">
        <f>F251</f>
        <v>0</v>
      </c>
      <c r="G250" s="451">
        <f t="shared" si="124"/>
        <v>0</v>
      </c>
      <c r="H250" s="451" t="e">
        <f t="shared" si="106"/>
        <v>#DIV/0!</v>
      </c>
    </row>
    <row r="251" spans="1:12" s="449" customFormat="1" ht="47.25" hidden="1" x14ac:dyDescent="0.25">
      <c r="A251" s="458" t="s">
        <v>133</v>
      </c>
      <c r="B251" s="454" t="s">
        <v>215</v>
      </c>
      <c r="C251" s="454" t="s">
        <v>244</v>
      </c>
      <c r="D251" s="454" t="s">
        <v>1656</v>
      </c>
      <c r="E251" s="460" t="s">
        <v>134</v>
      </c>
      <c r="F251" s="451">
        <f>'Пр.4 ведом.21'!G188</f>
        <v>0</v>
      </c>
      <c r="G251" s="451">
        <f>'Пр.4 ведом.21'!H188</f>
        <v>0</v>
      </c>
      <c r="H251" s="451" t="e">
        <f t="shared" si="106"/>
        <v>#DIV/0!</v>
      </c>
    </row>
    <row r="252" spans="1:12" s="449" customFormat="1" ht="47.25" x14ac:dyDescent="0.25">
      <c r="A252" s="458" t="s">
        <v>1696</v>
      </c>
      <c r="B252" s="454" t="s">
        <v>215</v>
      </c>
      <c r="C252" s="454" t="s">
        <v>244</v>
      </c>
      <c r="D252" s="454" t="s">
        <v>1697</v>
      </c>
      <c r="E252" s="460"/>
      <c r="F252" s="451">
        <f>F253</f>
        <v>548</v>
      </c>
      <c r="G252" s="451">
        <f t="shared" ref="G252:G253" si="125">G253</f>
        <v>0</v>
      </c>
      <c r="H252" s="451">
        <f t="shared" si="106"/>
        <v>0</v>
      </c>
    </row>
    <row r="253" spans="1:12" s="449" customFormat="1" ht="31.5" x14ac:dyDescent="0.25">
      <c r="A253" s="458" t="s">
        <v>248</v>
      </c>
      <c r="B253" s="454" t="s">
        <v>215</v>
      </c>
      <c r="C253" s="454" t="s">
        <v>244</v>
      </c>
      <c r="D253" s="454" t="s">
        <v>1697</v>
      </c>
      <c r="E253" s="460" t="s">
        <v>249</v>
      </c>
      <c r="F253" s="451">
        <f>F254</f>
        <v>548</v>
      </c>
      <c r="G253" s="451">
        <f t="shared" si="125"/>
        <v>0</v>
      </c>
      <c r="H253" s="451">
        <f t="shared" si="106"/>
        <v>0</v>
      </c>
    </row>
    <row r="254" spans="1:12" s="449" customFormat="1" ht="31.5" x14ac:dyDescent="0.25">
      <c r="A254" s="458" t="s">
        <v>250</v>
      </c>
      <c r="B254" s="454" t="s">
        <v>215</v>
      </c>
      <c r="C254" s="454" t="s">
        <v>244</v>
      </c>
      <c r="D254" s="454" t="s">
        <v>1697</v>
      </c>
      <c r="E254" s="460" t="s">
        <v>251</v>
      </c>
      <c r="F254" s="451">
        <f>'Пр.4 ведом.21'!G194</f>
        <v>548</v>
      </c>
      <c r="G254" s="451">
        <f>'Пр.4 ведом.21'!H194</f>
        <v>0</v>
      </c>
      <c r="H254" s="451">
        <f t="shared" si="106"/>
        <v>0</v>
      </c>
    </row>
    <row r="255" spans="1:12" ht="15.75" x14ac:dyDescent="0.25">
      <c r="A255" s="456" t="s">
        <v>232</v>
      </c>
      <c r="B255" s="457" t="s">
        <v>150</v>
      </c>
      <c r="C255" s="457"/>
      <c r="D255" s="457"/>
      <c r="E255" s="454"/>
      <c r="F255" s="450">
        <f>F266+F272+F286+F256</f>
        <v>7960</v>
      </c>
      <c r="G255" s="450">
        <f t="shared" ref="G255" si="126">G266+G272+G286+G256</f>
        <v>5423.4207000000006</v>
      </c>
      <c r="H255" s="450">
        <f t="shared" si="106"/>
        <v>68.133425879396995</v>
      </c>
      <c r="K255" s="22">
        <f>F255-F288-'Пр.4 ведом.21'!V1158-'Пр.4 ведом.21'!X1158-'Пр.4 ведом.21'!AA1158</f>
        <v>7695.8</v>
      </c>
      <c r="L255" s="22">
        <f>F288+F301+F314-'Пр.4 ведом.21'!V1157-'Пр.4 ведом.21'!AA1157-'Пр.4 ведом.21'!X1157+F259</f>
        <v>264.2</v>
      </c>
    </row>
    <row r="256" spans="1:12" ht="15.75" x14ac:dyDescent="0.25">
      <c r="A256" s="456" t="s">
        <v>233</v>
      </c>
      <c r="B256" s="457" t="s">
        <v>150</v>
      </c>
      <c r="C256" s="457" t="s">
        <v>234</v>
      </c>
      <c r="D256" s="457"/>
      <c r="E256" s="454"/>
      <c r="F256" s="450">
        <f>F257</f>
        <v>19</v>
      </c>
      <c r="G256" s="450">
        <f t="shared" ref="G256" si="127">G257</f>
        <v>0</v>
      </c>
      <c r="H256" s="450">
        <f t="shared" si="106"/>
        <v>0</v>
      </c>
    </row>
    <row r="257" spans="1:8" ht="31.7" customHeight="1" x14ac:dyDescent="0.25">
      <c r="A257" s="34" t="s">
        <v>1378</v>
      </c>
      <c r="B257" s="457" t="s">
        <v>150</v>
      </c>
      <c r="C257" s="457" t="s">
        <v>234</v>
      </c>
      <c r="D257" s="193" t="s">
        <v>182</v>
      </c>
      <c r="E257" s="465"/>
      <c r="F257" s="450">
        <f>F258+F262</f>
        <v>19</v>
      </c>
      <c r="G257" s="450">
        <f t="shared" ref="G257" si="128">G258+G262</f>
        <v>0</v>
      </c>
      <c r="H257" s="450">
        <f t="shared" si="106"/>
        <v>0</v>
      </c>
    </row>
    <row r="258" spans="1:8" ht="31.5" x14ac:dyDescent="0.25">
      <c r="A258" s="34" t="s">
        <v>1006</v>
      </c>
      <c r="B258" s="457" t="s">
        <v>150</v>
      </c>
      <c r="C258" s="457" t="s">
        <v>234</v>
      </c>
      <c r="D258" s="246" t="s">
        <v>877</v>
      </c>
      <c r="E258" s="465"/>
      <c r="F258" s="450">
        <f>F259</f>
        <v>19</v>
      </c>
      <c r="G258" s="450">
        <f t="shared" ref="G258:G260" si="129">G259</f>
        <v>0</v>
      </c>
      <c r="H258" s="450">
        <f t="shared" si="106"/>
        <v>0</v>
      </c>
    </row>
    <row r="259" spans="1:8" ht="31.5" x14ac:dyDescent="0.25">
      <c r="A259" s="458" t="s">
        <v>235</v>
      </c>
      <c r="B259" s="454" t="s">
        <v>150</v>
      </c>
      <c r="C259" s="454" t="s">
        <v>234</v>
      </c>
      <c r="D259" s="454" t="s">
        <v>898</v>
      </c>
      <c r="E259" s="460"/>
      <c r="F259" s="451">
        <f>F260</f>
        <v>19</v>
      </c>
      <c r="G259" s="451">
        <f t="shared" si="129"/>
        <v>0</v>
      </c>
      <c r="H259" s="451">
        <f t="shared" si="106"/>
        <v>0</v>
      </c>
    </row>
    <row r="260" spans="1:8" ht="15.75" x14ac:dyDescent="0.25">
      <c r="A260" s="29" t="s">
        <v>135</v>
      </c>
      <c r="B260" s="454" t="s">
        <v>150</v>
      </c>
      <c r="C260" s="454" t="s">
        <v>234</v>
      </c>
      <c r="D260" s="454" t="s">
        <v>898</v>
      </c>
      <c r="E260" s="460" t="s">
        <v>145</v>
      </c>
      <c r="F260" s="451">
        <f>F261</f>
        <v>19</v>
      </c>
      <c r="G260" s="451">
        <f t="shared" si="129"/>
        <v>0</v>
      </c>
      <c r="H260" s="451">
        <f t="shared" si="106"/>
        <v>0</v>
      </c>
    </row>
    <row r="261" spans="1:8" ht="47.25" x14ac:dyDescent="0.25">
      <c r="A261" s="29" t="s">
        <v>184</v>
      </c>
      <c r="B261" s="454" t="s">
        <v>150</v>
      </c>
      <c r="C261" s="454" t="s">
        <v>234</v>
      </c>
      <c r="D261" s="454" t="s">
        <v>898</v>
      </c>
      <c r="E261" s="460" t="s">
        <v>160</v>
      </c>
      <c r="F261" s="451">
        <f>'Пр.4 ведом.21'!G201</f>
        <v>19</v>
      </c>
      <c r="G261" s="451">
        <f>'Пр.4 ведом.21'!H201</f>
        <v>0</v>
      </c>
      <c r="H261" s="451">
        <f t="shared" si="106"/>
        <v>0</v>
      </c>
    </row>
    <row r="262" spans="1:8" ht="47.25" hidden="1" x14ac:dyDescent="0.25">
      <c r="A262" s="209" t="s">
        <v>1007</v>
      </c>
      <c r="B262" s="457" t="s">
        <v>150</v>
      </c>
      <c r="C262" s="457" t="s">
        <v>234</v>
      </c>
      <c r="D262" s="193" t="s">
        <v>879</v>
      </c>
      <c r="E262" s="465"/>
      <c r="F262" s="450">
        <f>F263</f>
        <v>0</v>
      </c>
      <c r="G262" s="450">
        <f t="shared" ref="G262:G264" si="130">G263</f>
        <v>0</v>
      </c>
      <c r="H262" s="451" t="e">
        <f t="shared" si="106"/>
        <v>#DIV/0!</v>
      </c>
    </row>
    <row r="263" spans="1:8" s="200" customFormat="1" ht="15.75" hidden="1" x14ac:dyDescent="0.25">
      <c r="A263" s="458" t="s">
        <v>878</v>
      </c>
      <c r="B263" s="454" t="s">
        <v>150</v>
      </c>
      <c r="C263" s="454" t="s">
        <v>234</v>
      </c>
      <c r="D263" s="5" t="s">
        <v>899</v>
      </c>
      <c r="E263" s="460"/>
      <c r="F263" s="451">
        <f>F264</f>
        <v>0</v>
      </c>
      <c r="G263" s="451">
        <f t="shared" si="130"/>
        <v>0</v>
      </c>
      <c r="H263" s="451" t="e">
        <f t="shared" si="106"/>
        <v>#DIV/0!</v>
      </c>
    </row>
    <row r="264" spans="1:8" s="200" customFormat="1" ht="15.75" hidden="1" x14ac:dyDescent="0.25">
      <c r="A264" s="29" t="s">
        <v>135</v>
      </c>
      <c r="B264" s="454" t="s">
        <v>150</v>
      </c>
      <c r="C264" s="454" t="s">
        <v>234</v>
      </c>
      <c r="D264" s="5" t="s">
        <v>899</v>
      </c>
      <c r="E264" s="460" t="s">
        <v>145</v>
      </c>
      <c r="F264" s="451">
        <f>F265</f>
        <v>0</v>
      </c>
      <c r="G264" s="451">
        <f t="shared" si="130"/>
        <v>0</v>
      </c>
      <c r="H264" s="451" t="e">
        <f t="shared" si="106"/>
        <v>#DIV/0!</v>
      </c>
    </row>
    <row r="265" spans="1:8" s="200" customFormat="1" ht="47.25" hidden="1" x14ac:dyDescent="0.25">
      <c r="A265" s="29" t="s">
        <v>184</v>
      </c>
      <c r="B265" s="454" t="s">
        <v>150</v>
      </c>
      <c r="C265" s="454" t="s">
        <v>234</v>
      </c>
      <c r="D265" s="5" t="s">
        <v>899</v>
      </c>
      <c r="E265" s="460" t="s">
        <v>160</v>
      </c>
      <c r="F265" s="451">
        <f>'Пр.4 ведом.21'!G205</f>
        <v>0</v>
      </c>
      <c r="G265" s="451">
        <f>'Пр.4 ведом.21'!H205</f>
        <v>0</v>
      </c>
      <c r="H265" s="451" t="e">
        <f t="shared" si="106"/>
        <v>#DIV/0!</v>
      </c>
    </row>
    <row r="266" spans="1:8" ht="15.75" x14ac:dyDescent="0.25">
      <c r="A266" s="456" t="s">
        <v>505</v>
      </c>
      <c r="B266" s="457" t="s">
        <v>150</v>
      </c>
      <c r="C266" s="457" t="s">
        <v>299</v>
      </c>
      <c r="D266" s="457"/>
      <c r="E266" s="457"/>
      <c r="F266" s="450">
        <f t="shared" ref="F266:G270" si="131">F267</f>
        <v>3258</v>
      </c>
      <c r="G266" s="450">
        <f t="shared" si="131"/>
        <v>2164.9362500000002</v>
      </c>
      <c r="H266" s="450">
        <f t="shared" si="106"/>
        <v>66.449854205033759</v>
      </c>
    </row>
    <row r="267" spans="1:8" ht="15.75" x14ac:dyDescent="0.25">
      <c r="A267" s="456" t="s">
        <v>141</v>
      </c>
      <c r="B267" s="457" t="s">
        <v>150</v>
      </c>
      <c r="C267" s="457" t="s">
        <v>299</v>
      </c>
      <c r="D267" s="457" t="s">
        <v>866</v>
      </c>
      <c r="E267" s="457"/>
      <c r="F267" s="450">
        <f t="shared" si="131"/>
        <v>3258</v>
      </c>
      <c r="G267" s="450">
        <f t="shared" si="131"/>
        <v>2164.9362500000002</v>
      </c>
      <c r="H267" s="450">
        <f t="shared" ref="H267:H330" si="132">G267/F267*100</f>
        <v>66.449854205033759</v>
      </c>
    </row>
    <row r="268" spans="1:8" ht="31.5" x14ac:dyDescent="0.25">
      <c r="A268" s="456" t="s">
        <v>870</v>
      </c>
      <c r="B268" s="457" t="s">
        <v>150</v>
      </c>
      <c r="C268" s="457" t="s">
        <v>299</v>
      </c>
      <c r="D268" s="457" t="s">
        <v>865</v>
      </c>
      <c r="E268" s="457"/>
      <c r="F268" s="450">
        <f t="shared" si="131"/>
        <v>3258</v>
      </c>
      <c r="G268" s="450">
        <f t="shared" si="131"/>
        <v>2164.9362500000002</v>
      </c>
      <c r="H268" s="450">
        <f t="shared" si="132"/>
        <v>66.449854205033759</v>
      </c>
    </row>
    <row r="269" spans="1:8" ht="17.45" customHeight="1" x14ac:dyDescent="0.25">
      <c r="A269" s="458" t="s">
        <v>506</v>
      </c>
      <c r="B269" s="454" t="s">
        <v>150</v>
      </c>
      <c r="C269" s="454" t="s">
        <v>299</v>
      </c>
      <c r="D269" s="454" t="s">
        <v>957</v>
      </c>
      <c r="E269" s="454"/>
      <c r="F269" s="451">
        <f t="shared" si="131"/>
        <v>3258</v>
      </c>
      <c r="G269" s="451">
        <f t="shared" si="131"/>
        <v>2164.9362500000002</v>
      </c>
      <c r="H269" s="451">
        <f t="shared" si="132"/>
        <v>66.449854205033759</v>
      </c>
    </row>
    <row r="270" spans="1:8" ht="34.5" customHeight="1" x14ac:dyDescent="0.25">
      <c r="A270" s="458" t="s">
        <v>131</v>
      </c>
      <c r="B270" s="454" t="s">
        <v>150</v>
      </c>
      <c r="C270" s="454" t="s">
        <v>299</v>
      </c>
      <c r="D270" s="454" t="s">
        <v>957</v>
      </c>
      <c r="E270" s="454" t="s">
        <v>132</v>
      </c>
      <c r="F270" s="451">
        <f t="shared" si="131"/>
        <v>3258</v>
      </c>
      <c r="G270" s="451">
        <f t="shared" si="131"/>
        <v>2164.9362500000002</v>
      </c>
      <c r="H270" s="451">
        <f t="shared" si="132"/>
        <v>66.449854205033759</v>
      </c>
    </row>
    <row r="271" spans="1:8" ht="38.25" customHeight="1" x14ac:dyDescent="0.25">
      <c r="A271" s="458" t="s">
        <v>133</v>
      </c>
      <c r="B271" s="454" t="s">
        <v>150</v>
      </c>
      <c r="C271" s="454" t="s">
        <v>299</v>
      </c>
      <c r="D271" s="454" t="s">
        <v>957</v>
      </c>
      <c r="E271" s="454" t="s">
        <v>134</v>
      </c>
      <c r="F271" s="360">
        <f>'Пр.4 ведом.21'!G904</f>
        <v>3258</v>
      </c>
      <c r="G271" s="360">
        <f>'Пр.4 ведом.21'!H904</f>
        <v>2164.9362500000002</v>
      </c>
      <c r="H271" s="451">
        <f t="shared" si="132"/>
        <v>66.449854205033759</v>
      </c>
    </row>
    <row r="272" spans="1:8" ht="15.75" x14ac:dyDescent="0.25">
      <c r="A272" s="456" t="s">
        <v>508</v>
      </c>
      <c r="B272" s="457" t="s">
        <v>150</v>
      </c>
      <c r="C272" s="457" t="s">
        <v>219</v>
      </c>
      <c r="D272" s="454"/>
      <c r="E272" s="457"/>
      <c r="F272" s="450">
        <f t="shared" ref="F272:G272" si="133">F273</f>
        <v>4268.8</v>
      </c>
      <c r="G272" s="450">
        <f t="shared" si="133"/>
        <v>3109.2544500000004</v>
      </c>
      <c r="H272" s="450">
        <f t="shared" si="132"/>
        <v>72.836732805472266</v>
      </c>
    </row>
    <row r="273" spans="1:8" ht="47.25" x14ac:dyDescent="0.25">
      <c r="A273" s="34" t="s">
        <v>1373</v>
      </c>
      <c r="B273" s="457" t="s">
        <v>150</v>
      </c>
      <c r="C273" s="457" t="s">
        <v>219</v>
      </c>
      <c r="D273" s="457" t="s">
        <v>510</v>
      </c>
      <c r="E273" s="457"/>
      <c r="F273" s="59">
        <f>F274+F278</f>
        <v>4268.8</v>
      </c>
      <c r="G273" s="59">
        <f t="shared" ref="G273" si="134">G274+G278</f>
        <v>3109.2544500000004</v>
      </c>
      <c r="H273" s="450">
        <f t="shared" si="132"/>
        <v>72.836732805472266</v>
      </c>
    </row>
    <row r="274" spans="1:8" ht="31.5" hidden="1" x14ac:dyDescent="0.25">
      <c r="A274" s="34" t="s">
        <v>999</v>
      </c>
      <c r="B274" s="457" t="s">
        <v>150</v>
      </c>
      <c r="C274" s="457" t="s">
        <v>219</v>
      </c>
      <c r="D274" s="7" t="s">
        <v>958</v>
      </c>
      <c r="E274" s="457"/>
      <c r="F274" s="59">
        <f>F275</f>
        <v>0</v>
      </c>
      <c r="G274" s="59">
        <f t="shared" ref="G274:G276" si="135">G275</f>
        <v>0</v>
      </c>
      <c r="H274" s="450" t="e">
        <f t="shared" si="132"/>
        <v>#DIV/0!</v>
      </c>
    </row>
    <row r="275" spans="1:8" ht="15.75" hidden="1" x14ac:dyDescent="0.25">
      <c r="A275" s="29" t="s">
        <v>1001</v>
      </c>
      <c r="B275" s="454" t="s">
        <v>150</v>
      </c>
      <c r="C275" s="454" t="s">
        <v>219</v>
      </c>
      <c r="D275" s="461" t="s">
        <v>1000</v>
      </c>
      <c r="E275" s="454"/>
      <c r="F275" s="10">
        <f>F276</f>
        <v>0</v>
      </c>
      <c r="G275" s="10">
        <f t="shared" si="135"/>
        <v>0</v>
      </c>
      <c r="H275" s="450" t="e">
        <f t="shared" si="132"/>
        <v>#DIV/0!</v>
      </c>
    </row>
    <row r="276" spans="1:8" ht="31.5" hidden="1" x14ac:dyDescent="0.25">
      <c r="A276" s="458" t="s">
        <v>131</v>
      </c>
      <c r="B276" s="454" t="s">
        <v>150</v>
      </c>
      <c r="C276" s="454" t="s">
        <v>219</v>
      </c>
      <c r="D276" s="461" t="s">
        <v>1000</v>
      </c>
      <c r="E276" s="454" t="s">
        <v>132</v>
      </c>
      <c r="F276" s="360">
        <f>F277</f>
        <v>0</v>
      </c>
      <c r="G276" s="360">
        <f t="shared" si="135"/>
        <v>0</v>
      </c>
      <c r="H276" s="450" t="e">
        <f t="shared" si="132"/>
        <v>#DIV/0!</v>
      </c>
    </row>
    <row r="277" spans="1:8" ht="47.25" hidden="1" x14ac:dyDescent="0.25">
      <c r="A277" s="458" t="s">
        <v>133</v>
      </c>
      <c r="B277" s="454" t="s">
        <v>150</v>
      </c>
      <c r="C277" s="454" t="s">
        <v>219</v>
      </c>
      <c r="D277" s="461" t="s">
        <v>1000</v>
      </c>
      <c r="E277" s="454" t="s">
        <v>134</v>
      </c>
      <c r="F277" s="360">
        <f>'Пр.4 ведом.21'!G910</f>
        <v>0</v>
      </c>
      <c r="G277" s="360">
        <f>'Пр.4 ведом.21'!H910</f>
        <v>0</v>
      </c>
      <c r="H277" s="450" t="e">
        <f t="shared" si="132"/>
        <v>#DIV/0!</v>
      </c>
    </row>
    <row r="278" spans="1:8" ht="31.5" x14ac:dyDescent="0.25">
      <c r="A278" s="34" t="s">
        <v>1061</v>
      </c>
      <c r="B278" s="457" t="s">
        <v>150</v>
      </c>
      <c r="C278" s="457" t="s">
        <v>219</v>
      </c>
      <c r="D278" s="457" t="s">
        <v>959</v>
      </c>
      <c r="E278" s="457"/>
      <c r="F278" s="362">
        <f>F279</f>
        <v>4268.8</v>
      </c>
      <c r="G278" s="362">
        <f t="shared" ref="G278" si="136">G279</f>
        <v>3109.2544500000004</v>
      </c>
      <c r="H278" s="450">
        <f t="shared" si="132"/>
        <v>72.836732805472266</v>
      </c>
    </row>
    <row r="279" spans="1:8" s="200" customFormat="1" ht="15.75" x14ac:dyDescent="0.25">
      <c r="A279" s="29" t="s">
        <v>511</v>
      </c>
      <c r="B279" s="454" t="s">
        <v>150</v>
      </c>
      <c r="C279" s="454" t="s">
        <v>219</v>
      </c>
      <c r="D279" s="461" t="s">
        <v>1002</v>
      </c>
      <c r="E279" s="454"/>
      <c r="F279" s="360">
        <f>F282+F284+F280</f>
        <v>4268.8</v>
      </c>
      <c r="G279" s="360">
        <f t="shared" ref="G279" si="137">G282+G284+G280</f>
        <v>3109.2544500000004</v>
      </c>
      <c r="H279" s="451">
        <f t="shared" si="132"/>
        <v>72.836732805472266</v>
      </c>
    </row>
    <row r="280" spans="1:8" s="200" customFormat="1" ht="78.75" x14ac:dyDescent="0.25">
      <c r="A280" s="458" t="s">
        <v>127</v>
      </c>
      <c r="B280" s="454" t="s">
        <v>150</v>
      </c>
      <c r="C280" s="454" t="s">
        <v>219</v>
      </c>
      <c r="D280" s="461" t="s">
        <v>1002</v>
      </c>
      <c r="E280" s="454" t="s">
        <v>128</v>
      </c>
      <c r="F280" s="360">
        <f>F281</f>
        <v>1807</v>
      </c>
      <c r="G280" s="360">
        <f t="shared" ref="G280" si="138">G281</f>
        <v>1631.75287</v>
      </c>
      <c r="H280" s="451">
        <f t="shared" si="132"/>
        <v>90.301763696734923</v>
      </c>
    </row>
    <row r="281" spans="1:8" s="200" customFormat="1" ht="31.5" x14ac:dyDescent="0.25">
      <c r="A281" s="458" t="s">
        <v>208</v>
      </c>
      <c r="B281" s="454" t="s">
        <v>150</v>
      </c>
      <c r="C281" s="454" t="s">
        <v>219</v>
      </c>
      <c r="D281" s="461" t="s">
        <v>1002</v>
      </c>
      <c r="E281" s="454" t="s">
        <v>209</v>
      </c>
      <c r="F281" s="360">
        <f>'Пр.4 ведом.21'!G914</f>
        <v>1807</v>
      </c>
      <c r="G281" s="360">
        <f>'Пр.4 ведом.21'!H914</f>
        <v>1631.75287</v>
      </c>
      <c r="H281" s="451">
        <f t="shared" si="132"/>
        <v>90.301763696734923</v>
      </c>
    </row>
    <row r="282" spans="1:8" s="200" customFormat="1" ht="31.5" x14ac:dyDescent="0.25">
      <c r="A282" s="458" t="s">
        <v>131</v>
      </c>
      <c r="B282" s="454" t="s">
        <v>150</v>
      </c>
      <c r="C282" s="454" t="s">
        <v>219</v>
      </c>
      <c r="D282" s="461" t="s">
        <v>1002</v>
      </c>
      <c r="E282" s="454" t="s">
        <v>132</v>
      </c>
      <c r="F282" s="360">
        <f>F283</f>
        <v>2461.8000000000002</v>
      </c>
      <c r="G282" s="360">
        <f t="shared" ref="G282" si="139">G283</f>
        <v>1477.5015800000001</v>
      </c>
      <c r="H282" s="451">
        <f t="shared" si="132"/>
        <v>60.017124867982773</v>
      </c>
    </row>
    <row r="283" spans="1:8" s="200" customFormat="1" ht="35.450000000000003" customHeight="1" x14ac:dyDescent="0.25">
      <c r="A283" s="458" t="s">
        <v>133</v>
      </c>
      <c r="B283" s="454" t="s">
        <v>150</v>
      </c>
      <c r="C283" s="454" t="s">
        <v>219</v>
      </c>
      <c r="D283" s="461" t="s">
        <v>1002</v>
      </c>
      <c r="E283" s="454" t="s">
        <v>134</v>
      </c>
      <c r="F283" s="360">
        <f>'Пр.4 ведом.21'!G916</f>
        <v>2461.8000000000002</v>
      </c>
      <c r="G283" s="360">
        <f>'Пр.4 ведом.21'!H916</f>
        <v>1477.5015800000001</v>
      </c>
      <c r="H283" s="451">
        <f t="shared" si="132"/>
        <v>60.017124867982773</v>
      </c>
    </row>
    <row r="284" spans="1:8" s="200" customFormat="1" ht="15.75" hidden="1" x14ac:dyDescent="0.25">
      <c r="A284" s="458" t="s">
        <v>135</v>
      </c>
      <c r="B284" s="454" t="s">
        <v>150</v>
      </c>
      <c r="C284" s="454" t="s">
        <v>219</v>
      </c>
      <c r="D284" s="461" t="s">
        <v>1002</v>
      </c>
      <c r="E284" s="454" t="s">
        <v>145</v>
      </c>
      <c r="F284" s="360">
        <f>F285</f>
        <v>0</v>
      </c>
      <c r="G284" s="360">
        <f t="shared" ref="G284" si="140">G285</f>
        <v>0</v>
      </c>
      <c r="H284" s="451" t="e">
        <f t="shared" si="132"/>
        <v>#DIV/0!</v>
      </c>
    </row>
    <row r="285" spans="1:8" s="200" customFormat="1" ht="15.75" hidden="1" x14ac:dyDescent="0.25">
      <c r="A285" s="458" t="s">
        <v>568</v>
      </c>
      <c r="B285" s="454" t="s">
        <v>150</v>
      </c>
      <c r="C285" s="454" t="s">
        <v>219</v>
      </c>
      <c r="D285" s="461" t="s">
        <v>1002</v>
      </c>
      <c r="E285" s="454" t="s">
        <v>138</v>
      </c>
      <c r="F285" s="360">
        <f>'Пр.4 ведом.21'!G918</f>
        <v>0</v>
      </c>
      <c r="G285" s="360">
        <f>'Пр.4 ведом.21'!H918</f>
        <v>0</v>
      </c>
      <c r="H285" s="451" t="e">
        <f t="shared" si="132"/>
        <v>#DIV/0!</v>
      </c>
    </row>
    <row r="286" spans="1:8" ht="41.45" customHeight="1" x14ac:dyDescent="0.25">
      <c r="A286" s="456" t="s">
        <v>237</v>
      </c>
      <c r="B286" s="457" t="s">
        <v>150</v>
      </c>
      <c r="C286" s="457" t="s">
        <v>238</v>
      </c>
      <c r="D286" s="457"/>
      <c r="E286" s="457"/>
      <c r="F286" s="59">
        <f>F287+F294+F312</f>
        <v>414.2</v>
      </c>
      <c r="G286" s="59">
        <f t="shared" ref="G286" si="141">G287+G294+G312</f>
        <v>149.22999999999999</v>
      </c>
      <c r="H286" s="450">
        <f t="shared" si="132"/>
        <v>36.02848865282472</v>
      </c>
    </row>
    <row r="287" spans="1:8" ht="31.5" x14ac:dyDescent="0.25">
      <c r="A287" s="456" t="s">
        <v>917</v>
      </c>
      <c r="B287" s="457" t="s">
        <v>150</v>
      </c>
      <c r="C287" s="457" t="s">
        <v>238</v>
      </c>
      <c r="D287" s="457" t="s">
        <v>858</v>
      </c>
      <c r="E287" s="457"/>
      <c r="F287" s="59">
        <f>F288</f>
        <v>264.2</v>
      </c>
      <c r="G287" s="59">
        <f t="shared" ref="G287:G288" si="142">G288</f>
        <v>149.22999999999999</v>
      </c>
      <c r="H287" s="450">
        <f t="shared" si="132"/>
        <v>56.483724451173359</v>
      </c>
    </row>
    <row r="288" spans="1:8" ht="31.5" x14ac:dyDescent="0.25">
      <c r="A288" s="456" t="s">
        <v>885</v>
      </c>
      <c r="B288" s="457" t="s">
        <v>150</v>
      </c>
      <c r="C288" s="457" t="s">
        <v>238</v>
      </c>
      <c r="D288" s="457" t="s">
        <v>863</v>
      </c>
      <c r="E288" s="457"/>
      <c r="F288" s="59">
        <f>F289</f>
        <v>264.2</v>
      </c>
      <c r="G288" s="59">
        <f t="shared" si="142"/>
        <v>149.22999999999999</v>
      </c>
      <c r="H288" s="450">
        <f t="shared" si="132"/>
        <v>56.483724451173359</v>
      </c>
    </row>
    <row r="289" spans="1:8" ht="63" x14ac:dyDescent="0.25">
      <c r="A289" s="31" t="s">
        <v>241</v>
      </c>
      <c r="B289" s="454" t="s">
        <v>150</v>
      </c>
      <c r="C289" s="454" t="s">
        <v>238</v>
      </c>
      <c r="D289" s="454" t="s">
        <v>924</v>
      </c>
      <c r="E289" s="454"/>
      <c r="F289" s="10">
        <f>F290+F292</f>
        <v>264.2</v>
      </c>
      <c r="G289" s="10">
        <f t="shared" ref="G289" si="143">G290+G292</f>
        <v>149.22999999999999</v>
      </c>
      <c r="H289" s="451">
        <f t="shared" si="132"/>
        <v>56.483724451173359</v>
      </c>
    </row>
    <row r="290" spans="1:8" ht="78.75" x14ac:dyDescent="0.25">
      <c r="A290" s="458" t="s">
        <v>127</v>
      </c>
      <c r="B290" s="454" t="s">
        <v>150</v>
      </c>
      <c r="C290" s="454" t="s">
        <v>238</v>
      </c>
      <c r="D290" s="454" t="s">
        <v>924</v>
      </c>
      <c r="E290" s="454" t="s">
        <v>128</v>
      </c>
      <c r="F290" s="10">
        <f>F291</f>
        <v>240.2</v>
      </c>
      <c r="G290" s="10">
        <f t="shared" ref="G290" si="144">G291</f>
        <v>139.44399999999999</v>
      </c>
      <c r="H290" s="451">
        <f t="shared" si="132"/>
        <v>58.053288925895089</v>
      </c>
    </row>
    <row r="291" spans="1:8" ht="32.25" customHeight="1" x14ac:dyDescent="0.25">
      <c r="A291" s="458" t="s">
        <v>129</v>
      </c>
      <c r="B291" s="454" t="s">
        <v>150</v>
      </c>
      <c r="C291" s="454" t="s">
        <v>238</v>
      </c>
      <c r="D291" s="454" t="s">
        <v>924</v>
      </c>
      <c r="E291" s="454" t="s">
        <v>130</v>
      </c>
      <c r="F291" s="10">
        <f>'Пр.4 ведом.21'!G211</f>
        <v>240.2</v>
      </c>
      <c r="G291" s="10">
        <f>'Пр.4 ведом.21'!H211</f>
        <v>139.44399999999999</v>
      </c>
      <c r="H291" s="451">
        <f t="shared" si="132"/>
        <v>58.053288925895089</v>
      </c>
    </row>
    <row r="292" spans="1:8" ht="31.5" x14ac:dyDescent="0.25">
      <c r="A292" s="458" t="s">
        <v>131</v>
      </c>
      <c r="B292" s="454" t="s">
        <v>150</v>
      </c>
      <c r="C292" s="454" t="s">
        <v>238</v>
      </c>
      <c r="D292" s="454" t="s">
        <v>924</v>
      </c>
      <c r="E292" s="454" t="s">
        <v>132</v>
      </c>
      <c r="F292" s="10">
        <f>F293</f>
        <v>24</v>
      </c>
      <c r="G292" s="10">
        <f t="shared" ref="G292" si="145">G293</f>
        <v>9.7859999999999996</v>
      </c>
      <c r="H292" s="451">
        <f t="shared" si="132"/>
        <v>40.774999999999999</v>
      </c>
    </row>
    <row r="293" spans="1:8" ht="47.25" x14ac:dyDescent="0.25">
      <c r="A293" s="458" t="s">
        <v>133</v>
      </c>
      <c r="B293" s="454" t="s">
        <v>150</v>
      </c>
      <c r="C293" s="454" t="s">
        <v>238</v>
      </c>
      <c r="D293" s="454" t="s">
        <v>924</v>
      </c>
      <c r="E293" s="454" t="s">
        <v>134</v>
      </c>
      <c r="F293" s="10">
        <f>'Пр.4 ведом.21'!G213</f>
        <v>24</v>
      </c>
      <c r="G293" s="10">
        <f>'Пр.4 ведом.21'!H213</f>
        <v>9.7859999999999996</v>
      </c>
      <c r="H293" s="451">
        <f t="shared" si="132"/>
        <v>40.774999999999999</v>
      </c>
    </row>
    <row r="294" spans="1:8" s="200" customFormat="1" ht="47.25" hidden="1" x14ac:dyDescent="0.25">
      <c r="A294" s="456" t="s">
        <v>1198</v>
      </c>
      <c r="B294" s="457" t="s">
        <v>150</v>
      </c>
      <c r="C294" s="457" t="s">
        <v>238</v>
      </c>
      <c r="D294" s="457" t="s">
        <v>344</v>
      </c>
      <c r="E294" s="465"/>
      <c r="F294" s="59">
        <f>F295</f>
        <v>0</v>
      </c>
      <c r="G294" s="59">
        <f t="shared" ref="G294" si="146">G295</f>
        <v>0</v>
      </c>
      <c r="H294" s="451" t="e">
        <f t="shared" si="132"/>
        <v>#DIV/0!</v>
      </c>
    </row>
    <row r="295" spans="1:8" s="200" customFormat="1" ht="63" hidden="1" x14ac:dyDescent="0.25">
      <c r="A295" s="456" t="s">
        <v>367</v>
      </c>
      <c r="B295" s="457" t="s">
        <v>150</v>
      </c>
      <c r="C295" s="457" t="s">
        <v>238</v>
      </c>
      <c r="D295" s="457" t="s">
        <v>356</v>
      </c>
      <c r="E295" s="457"/>
      <c r="F295" s="59">
        <f>F296+F300+F304+F308</f>
        <v>0</v>
      </c>
      <c r="G295" s="59">
        <f t="shared" ref="G295" si="147">G296+G300+G304+G308</f>
        <v>0</v>
      </c>
      <c r="H295" s="451" t="e">
        <f t="shared" si="132"/>
        <v>#DIV/0!</v>
      </c>
    </row>
    <row r="296" spans="1:8" s="200" customFormat="1" ht="47.25" hidden="1" x14ac:dyDescent="0.25">
      <c r="A296" s="210" t="s">
        <v>1043</v>
      </c>
      <c r="B296" s="457" t="s">
        <v>150</v>
      </c>
      <c r="C296" s="457" t="s">
        <v>238</v>
      </c>
      <c r="D296" s="457" t="s">
        <v>907</v>
      </c>
      <c r="E296" s="457"/>
      <c r="F296" s="59">
        <f>F297</f>
        <v>0</v>
      </c>
      <c r="G296" s="59">
        <f t="shared" ref="G296:G298" si="148">G297</f>
        <v>0</v>
      </c>
      <c r="H296" s="451" t="e">
        <f t="shared" si="132"/>
        <v>#DIV/0!</v>
      </c>
    </row>
    <row r="297" spans="1:8" s="200" customFormat="1" ht="47.25" hidden="1" x14ac:dyDescent="0.25">
      <c r="A297" s="458" t="s">
        <v>375</v>
      </c>
      <c r="B297" s="454" t="s">
        <v>150</v>
      </c>
      <c r="C297" s="454" t="s">
        <v>238</v>
      </c>
      <c r="D297" s="454" t="s">
        <v>1317</v>
      </c>
      <c r="E297" s="454"/>
      <c r="F297" s="10">
        <f>F298</f>
        <v>0</v>
      </c>
      <c r="G297" s="10">
        <f t="shared" si="148"/>
        <v>0</v>
      </c>
      <c r="H297" s="451" t="e">
        <f t="shared" si="132"/>
        <v>#DIV/0!</v>
      </c>
    </row>
    <row r="298" spans="1:8" s="200" customFormat="1" ht="21.2" hidden="1" customHeight="1" x14ac:dyDescent="0.25">
      <c r="A298" s="458" t="s">
        <v>248</v>
      </c>
      <c r="B298" s="454" t="s">
        <v>150</v>
      </c>
      <c r="C298" s="454" t="s">
        <v>238</v>
      </c>
      <c r="D298" s="454" t="s">
        <v>1317</v>
      </c>
      <c r="E298" s="454" t="s">
        <v>249</v>
      </c>
      <c r="F298" s="10">
        <f>F299</f>
        <v>0</v>
      </c>
      <c r="G298" s="10">
        <f t="shared" si="148"/>
        <v>0</v>
      </c>
      <c r="H298" s="451" t="e">
        <f t="shared" si="132"/>
        <v>#DIV/0!</v>
      </c>
    </row>
    <row r="299" spans="1:8" s="200" customFormat="1" ht="31.5" hidden="1" x14ac:dyDescent="0.25">
      <c r="A299" s="458" t="s">
        <v>250</v>
      </c>
      <c r="B299" s="454" t="s">
        <v>150</v>
      </c>
      <c r="C299" s="454" t="s">
        <v>238</v>
      </c>
      <c r="D299" s="454" t="s">
        <v>1317</v>
      </c>
      <c r="E299" s="454" t="s">
        <v>251</v>
      </c>
      <c r="F299" s="10">
        <f>'Пр.4 ведом.21'!G281</f>
        <v>0</v>
      </c>
      <c r="G299" s="10">
        <f>'Пр.4 ведом.21'!H281</f>
        <v>0</v>
      </c>
      <c r="H299" s="451" t="e">
        <f t="shared" si="132"/>
        <v>#DIV/0!</v>
      </c>
    </row>
    <row r="300" spans="1:8" s="200" customFormat="1" ht="31.5" hidden="1" x14ac:dyDescent="0.25">
      <c r="A300" s="456" t="s">
        <v>1041</v>
      </c>
      <c r="B300" s="457" t="s">
        <v>150</v>
      </c>
      <c r="C300" s="457" t="s">
        <v>238</v>
      </c>
      <c r="D300" s="457" t="s">
        <v>1200</v>
      </c>
      <c r="E300" s="457"/>
      <c r="F300" s="59">
        <f>F301</f>
        <v>0</v>
      </c>
      <c r="G300" s="59">
        <f t="shared" ref="G300:G302" si="149">G301</f>
        <v>0</v>
      </c>
      <c r="H300" s="451" t="e">
        <f t="shared" si="132"/>
        <v>#DIV/0!</v>
      </c>
    </row>
    <row r="301" spans="1:8" s="200" customFormat="1" ht="31.5" hidden="1" x14ac:dyDescent="0.25">
      <c r="A301" s="458" t="s">
        <v>1042</v>
      </c>
      <c r="B301" s="454" t="s">
        <v>150</v>
      </c>
      <c r="C301" s="454" t="s">
        <v>238</v>
      </c>
      <c r="D301" s="454" t="s">
        <v>1201</v>
      </c>
      <c r="E301" s="454"/>
      <c r="F301" s="10">
        <f>F302</f>
        <v>0</v>
      </c>
      <c r="G301" s="10">
        <f t="shared" si="149"/>
        <v>0</v>
      </c>
      <c r="H301" s="451" t="e">
        <f t="shared" si="132"/>
        <v>#DIV/0!</v>
      </c>
    </row>
    <row r="302" spans="1:8" s="200" customFormat="1" ht="15.75" hidden="1" x14ac:dyDescent="0.25">
      <c r="A302" s="458" t="s">
        <v>135</v>
      </c>
      <c r="B302" s="454" t="s">
        <v>150</v>
      </c>
      <c r="C302" s="454" t="s">
        <v>238</v>
      </c>
      <c r="D302" s="454" t="s">
        <v>1201</v>
      </c>
      <c r="E302" s="454" t="s">
        <v>145</v>
      </c>
      <c r="F302" s="10">
        <f>F303</f>
        <v>0</v>
      </c>
      <c r="G302" s="10">
        <f t="shared" si="149"/>
        <v>0</v>
      </c>
      <c r="H302" s="451" t="e">
        <f t="shared" si="132"/>
        <v>#DIV/0!</v>
      </c>
    </row>
    <row r="303" spans="1:8" s="200" customFormat="1" ht="47.25" hidden="1" x14ac:dyDescent="0.25">
      <c r="A303" s="458" t="s">
        <v>184</v>
      </c>
      <c r="B303" s="454" t="s">
        <v>150</v>
      </c>
      <c r="C303" s="454" t="s">
        <v>238</v>
      </c>
      <c r="D303" s="454" t="s">
        <v>1201</v>
      </c>
      <c r="E303" s="454" t="s">
        <v>160</v>
      </c>
      <c r="F303" s="10">
        <f>'Пр.4 ведом.21'!G285</f>
        <v>0</v>
      </c>
      <c r="G303" s="10">
        <f>'Пр.4 ведом.21'!H285</f>
        <v>0</v>
      </c>
      <c r="H303" s="451" t="e">
        <f t="shared" si="132"/>
        <v>#DIV/0!</v>
      </c>
    </row>
    <row r="304" spans="1:8" s="200" customFormat="1" ht="31.5" hidden="1" x14ac:dyDescent="0.25">
      <c r="A304" s="456" t="s">
        <v>995</v>
      </c>
      <c r="B304" s="457" t="s">
        <v>150</v>
      </c>
      <c r="C304" s="457" t="s">
        <v>238</v>
      </c>
      <c r="D304" s="457" t="s">
        <v>1310</v>
      </c>
      <c r="E304" s="457"/>
      <c r="F304" s="59">
        <f>F305</f>
        <v>0</v>
      </c>
      <c r="G304" s="59">
        <f t="shared" ref="G304:G306" si="150">G305</f>
        <v>0</v>
      </c>
      <c r="H304" s="451" t="e">
        <f t="shared" si="132"/>
        <v>#DIV/0!</v>
      </c>
    </row>
    <row r="305" spans="1:12" s="200" customFormat="1" ht="31.5" hidden="1" x14ac:dyDescent="0.25">
      <c r="A305" s="247" t="s">
        <v>1044</v>
      </c>
      <c r="B305" s="454" t="s">
        <v>150</v>
      </c>
      <c r="C305" s="454" t="s">
        <v>238</v>
      </c>
      <c r="D305" s="454" t="s">
        <v>1311</v>
      </c>
      <c r="E305" s="454"/>
      <c r="F305" s="10">
        <f>F306</f>
        <v>0</v>
      </c>
      <c r="G305" s="10">
        <f t="shared" si="150"/>
        <v>0</v>
      </c>
      <c r="H305" s="451" t="e">
        <f t="shared" si="132"/>
        <v>#DIV/0!</v>
      </c>
    </row>
    <row r="306" spans="1:12" s="200" customFormat="1" ht="31.5" hidden="1" x14ac:dyDescent="0.25">
      <c r="A306" s="458" t="s">
        <v>131</v>
      </c>
      <c r="B306" s="454" t="s">
        <v>150</v>
      </c>
      <c r="C306" s="454" t="s">
        <v>238</v>
      </c>
      <c r="D306" s="454" t="s">
        <v>1311</v>
      </c>
      <c r="E306" s="454" t="s">
        <v>132</v>
      </c>
      <c r="F306" s="10">
        <f>F307</f>
        <v>0</v>
      </c>
      <c r="G306" s="10">
        <f t="shared" si="150"/>
        <v>0</v>
      </c>
      <c r="H306" s="451" t="e">
        <f t="shared" si="132"/>
        <v>#DIV/0!</v>
      </c>
    </row>
    <row r="307" spans="1:12" s="200" customFormat="1" ht="47.25" hidden="1" x14ac:dyDescent="0.25">
      <c r="A307" s="458" t="s">
        <v>133</v>
      </c>
      <c r="B307" s="454" t="s">
        <v>150</v>
      </c>
      <c r="C307" s="454" t="s">
        <v>238</v>
      </c>
      <c r="D307" s="454" t="s">
        <v>1311</v>
      </c>
      <c r="E307" s="454" t="s">
        <v>134</v>
      </c>
      <c r="F307" s="10">
        <f>'Пр.4 ведом.21'!G289</f>
        <v>0</v>
      </c>
      <c r="G307" s="10">
        <f>'Пр.4 ведом.21'!H289</f>
        <v>0</v>
      </c>
      <c r="H307" s="451" t="e">
        <f t="shared" si="132"/>
        <v>#DIV/0!</v>
      </c>
    </row>
    <row r="308" spans="1:12" s="200" customFormat="1" ht="31.5" hidden="1" x14ac:dyDescent="0.25">
      <c r="A308" s="464" t="s">
        <v>1103</v>
      </c>
      <c r="B308" s="457" t="s">
        <v>150</v>
      </c>
      <c r="C308" s="457" t="s">
        <v>238</v>
      </c>
      <c r="D308" s="457" t="s">
        <v>1202</v>
      </c>
      <c r="E308" s="457"/>
      <c r="F308" s="455">
        <f>F309</f>
        <v>0</v>
      </c>
      <c r="G308" s="455">
        <f t="shared" ref="G308:G310" si="151">G309</f>
        <v>0</v>
      </c>
      <c r="H308" s="451" t="e">
        <f t="shared" si="132"/>
        <v>#DIV/0!</v>
      </c>
    </row>
    <row r="309" spans="1:12" s="200" customFormat="1" ht="31.5" hidden="1" x14ac:dyDescent="0.25">
      <c r="A309" s="226" t="s">
        <v>1104</v>
      </c>
      <c r="B309" s="454" t="s">
        <v>150</v>
      </c>
      <c r="C309" s="454" t="s">
        <v>238</v>
      </c>
      <c r="D309" s="454" t="s">
        <v>1203</v>
      </c>
      <c r="E309" s="454"/>
      <c r="F309" s="459">
        <f>F310</f>
        <v>0</v>
      </c>
      <c r="G309" s="459">
        <f t="shared" si="151"/>
        <v>0</v>
      </c>
      <c r="H309" s="451" t="e">
        <f t="shared" si="132"/>
        <v>#DIV/0!</v>
      </c>
    </row>
    <row r="310" spans="1:12" s="200" customFormat="1" ht="31.5" hidden="1" x14ac:dyDescent="0.25">
      <c r="A310" s="458" t="s">
        <v>131</v>
      </c>
      <c r="B310" s="454" t="s">
        <v>150</v>
      </c>
      <c r="C310" s="454" t="s">
        <v>238</v>
      </c>
      <c r="D310" s="454" t="s">
        <v>1203</v>
      </c>
      <c r="E310" s="454" t="s">
        <v>132</v>
      </c>
      <c r="F310" s="459">
        <f>F311</f>
        <v>0</v>
      </c>
      <c r="G310" s="459">
        <f t="shared" si="151"/>
        <v>0</v>
      </c>
      <c r="H310" s="451" t="e">
        <f t="shared" si="132"/>
        <v>#DIV/0!</v>
      </c>
    </row>
    <row r="311" spans="1:12" s="200" customFormat="1" ht="47.25" hidden="1" x14ac:dyDescent="0.25">
      <c r="A311" s="458" t="s">
        <v>133</v>
      </c>
      <c r="B311" s="454" t="s">
        <v>150</v>
      </c>
      <c r="C311" s="454" t="s">
        <v>238</v>
      </c>
      <c r="D311" s="454" t="s">
        <v>1203</v>
      </c>
      <c r="E311" s="454" t="s">
        <v>134</v>
      </c>
      <c r="F311" s="459">
        <f>'Пр.4 ведом.21'!G293</f>
        <v>0</v>
      </c>
      <c r="G311" s="459">
        <f>'Пр.4 ведом.21'!H293</f>
        <v>0</v>
      </c>
      <c r="H311" s="451" t="e">
        <f t="shared" si="132"/>
        <v>#DIV/0!</v>
      </c>
    </row>
    <row r="312" spans="1:12" ht="47.25" x14ac:dyDescent="0.25">
      <c r="A312" s="456" t="s">
        <v>1339</v>
      </c>
      <c r="B312" s="457" t="s">
        <v>150</v>
      </c>
      <c r="C312" s="457" t="s">
        <v>238</v>
      </c>
      <c r="D312" s="457" t="s">
        <v>156</v>
      </c>
      <c r="E312" s="457"/>
      <c r="F312" s="59">
        <f>F313</f>
        <v>150</v>
      </c>
      <c r="G312" s="59">
        <f t="shared" ref="G312:G315" si="152">G313</f>
        <v>0</v>
      </c>
      <c r="H312" s="450">
        <f t="shared" si="132"/>
        <v>0</v>
      </c>
    </row>
    <row r="313" spans="1:12" ht="47.25" x14ac:dyDescent="0.25">
      <c r="A313" s="456" t="s">
        <v>1065</v>
      </c>
      <c r="B313" s="457" t="s">
        <v>150</v>
      </c>
      <c r="C313" s="457" t="s">
        <v>238</v>
      </c>
      <c r="D313" s="457" t="s">
        <v>1062</v>
      </c>
      <c r="E313" s="457"/>
      <c r="F313" s="59">
        <f>F314</f>
        <v>150</v>
      </c>
      <c r="G313" s="59">
        <f t="shared" si="152"/>
        <v>0</v>
      </c>
      <c r="H313" s="450">
        <f t="shared" si="132"/>
        <v>0</v>
      </c>
    </row>
    <row r="314" spans="1:12" ht="31.5" x14ac:dyDescent="0.25">
      <c r="A314" s="458" t="s">
        <v>1066</v>
      </c>
      <c r="B314" s="454" t="s">
        <v>150</v>
      </c>
      <c r="C314" s="454" t="s">
        <v>238</v>
      </c>
      <c r="D314" s="454" t="s">
        <v>1063</v>
      </c>
      <c r="E314" s="454"/>
      <c r="F314" s="10">
        <f>F315</f>
        <v>150</v>
      </c>
      <c r="G314" s="10">
        <f t="shared" si="152"/>
        <v>0</v>
      </c>
      <c r="H314" s="451">
        <f t="shared" si="132"/>
        <v>0</v>
      </c>
    </row>
    <row r="315" spans="1:12" ht="15.75" x14ac:dyDescent="0.25">
      <c r="A315" s="458" t="s">
        <v>135</v>
      </c>
      <c r="B315" s="454" t="s">
        <v>150</v>
      </c>
      <c r="C315" s="454" t="s">
        <v>238</v>
      </c>
      <c r="D315" s="454" t="s">
        <v>1063</v>
      </c>
      <c r="E315" s="454" t="s">
        <v>145</v>
      </c>
      <c r="F315" s="10">
        <f>F316</f>
        <v>150</v>
      </c>
      <c r="G315" s="10">
        <f t="shared" si="152"/>
        <v>0</v>
      </c>
      <c r="H315" s="451">
        <f t="shared" si="132"/>
        <v>0</v>
      </c>
    </row>
    <row r="316" spans="1:12" ht="47.25" x14ac:dyDescent="0.25">
      <c r="A316" s="458" t="s">
        <v>184</v>
      </c>
      <c r="B316" s="454" t="s">
        <v>150</v>
      </c>
      <c r="C316" s="454" t="s">
        <v>238</v>
      </c>
      <c r="D316" s="454" t="s">
        <v>1063</v>
      </c>
      <c r="E316" s="454" t="s">
        <v>160</v>
      </c>
      <c r="F316" s="10">
        <f>'Пр.4 ведом.21'!G218</f>
        <v>150</v>
      </c>
      <c r="G316" s="10">
        <f>'Пр.4 ведом.21'!H218</f>
        <v>0</v>
      </c>
      <c r="H316" s="451">
        <f t="shared" si="132"/>
        <v>0</v>
      </c>
    </row>
    <row r="317" spans="1:12" ht="15.75" x14ac:dyDescent="0.25">
      <c r="A317" s="456" t="s">
        <v>390</v>
      </c>
      <c r="B317" s="457" t="s">
        <v>234</v>
      </c>
      <c r="C317" s="457"/>
      <c r="D317" s="457"/>
      <c r="E317" s="457"/>
      <c r="F317" s="450">
        <f>F318++F335+F400+F462</f>
        <v>192532.82</v>
      </c>
      <c r="G317" s="450">
        <f t="shared" ref="G317" si="153">G318++G335+G400+G462</f>
        <v>96807.142720000003</v>
      </c>
      <c r="H317" s="450">
        <f t="shared" si="132"/>
        <v>50.280852230804072</v>
      </c>
      <c r="K317" s="227">
        <f>F317-F438-'Пр.4 ведом.21'!K1148-'Пр.4 ведом.21'!Q1148</f>
        <v>169240.61599999998</v>
      </c>
      <c r="L317" s="227">
        <f>F438+F455-'Пр.4 ведом.21'!K1147-'Пр.4 ведом.21'!Q1147</f>
        <v>23292.204000000002</v>
      </c>
    </row>
    <row r="318" spans="1:12" ht="15.75" x14ac:dyDescent="0.25">
      <c r="A318" s="456" t="s">
        <v>391</v>
      </c>
      <c r="B318" s="457" t="s">
        <v>234</v>
      </c>
      <c r="C318" s="457" t="s">
        <v>118</v>
      </c>
      <c r="D318" s="457"/>
      <c r="E318" s="457"/>
      <c r="F318" s="450">
        <f t="shared" ref="F318:G319" si="154">F319</f>
        <v>23963.3</v>
      </c>
      <c r="G318" s="450">
        <f t="shared" si="154"/>
        <v>10823.93958</v>
      </c>
      <c r="H318" s="450">
        <f t="shared" si="132"/>
        <v>45.168818902238009</v>
      </c>
      <c r="I318" s="22"/>
      <c r="L318" s="22"/>
    </row>
    <row r="319" spans="1:12" ht="15.75" x14ac:dyDescent="0.25">
      <c r="A319" s="456" t="s">
        <v>141</v>
      </c>
      <c r="B319" s="457" t="s">
        <v>234</v>
      </c>
      <c r="C319" s="457" t="s">
        <v>118</v>
      </c>
      <c r="D319" s="457" t="s">
        <v>866</v>
      </c>
      <c r="E319" s="457"/>
      <c r="F319" s="450">
        <f t="shared" si="154"/>
        <v>23963.3</v>
      </c>
      <c r="G319" s="450">
        <f t="shared" si="154"/>
        <v>10823.93958</v>
      </c>
      <c r="H319" s="450">
        <f t="shared" si="132"/>
        <v>45.168818902238009</v>
      </c>
    </row>
    <row r="320" spans="1:12" ht="31.5" x14ac:dyDescent="0.25">
      <c r="A320" s="456" t="s">
        <v>870</v>
      </c>
      <c r="B320" s="457" t="s">
        <v>234</v>
      </c>
      <c r="C320" s="457" t="s">
        <v>118</v>
      </c>
      <c r="D320" s="457" t="s">
        <v>865</v>
      </c>
      <c r="E320" s="457"/>
      <c r="F320" s="450">
        <f>F321+F326+F329+F332</f>
        <v>23963.3</v>
      </c>
      <c r="G320" s="450">
        <f t="shared" ref="G320" si="155">G321+G326+G329+G332</f>
        <v>10823.93958</v>
      </c>
      <c r="H320" s="450">
        <f t="shared" si="132"/>
        <v>45.168818902238009</v>
      </c>
    </row>
    <row r="321" spans="1:8" ht="15.75" x14ac:dyDescent="0.25">
      <c r="A321" s="458" t="s">
        <v>515</v>
      </c>
      <c r="B321" s="454" t="s">
        <v>774</v>
      </c>
      <c r="C321" s="454" t="s">
        <v>118</v>
      </c>
      <c r="D321" s="454" t="s">
        <v>960</v>
      </c>
      <c r="E321" s="457"/>
      <c r="F321" s="451">
        <f t="shared" ref="F321:G321" si="156">F322+F324</f>
        <v>997.40000000000009</v>
      </c>
      <c r="G321" s="451">
        <f t="shared" si="156"/>
        <v>637.20000000000005</v>
      </c>
      <c r="H321" s="451">
        <f t="shared" si="132"/>
        <v>63.886103870062158</v>
      </c>
    </row>
    <row r="322" spans="1:8" ht="31.5" x14ac:dyDescent="0.25">
      <c r="A322" s="458" t="s">
        <v>131</v>
      </c>
      <c r="B322" s="454" t="s">
        <v>234</v>
      </c>
      <c r="C322" s="454" t="s">
        <v>118</v>
      </c>
      <c r="D322" s="454" t="s">
        <v>960</v>
      </c>
      <c r="E322" s="454" t="s">
        <v>132</v>
      </c>
      <c r="F322" s="451">
        <f t="shared" ref="F322:G322" si="157">F323</f>
        <v>997.40000000000009</v>
      </c>
      <c r="G322" s="451">
        <f t="shared" si="157"/>
        <v>637.20000000000005</v>
      </c>
      <c r="H322" s="451">
        <f t="shared" si="132"/>
        <v>63.886103870062158</v>
      </c>
    </row>
    <row r="323" spans="1:8" ht="47.25" x14ac:dyDescent="0.25">
      <c r="A323" s="458" t="s">
        <v>133</v>
      </c>
      <c r="B323" s="454" t="s">
        <v>234</v>
      </c>
      <c r="C323" s="454" t="s">
        <v>118</v>
      </c>
      <c r="D323" s="454" t="s">
        <v>960</v>
      </c>
      <c r="E323" s="454" t="s">
        <v>134</v>
      </c>
      <c r="F323" s="451">
        <f>'Пр.4 ведом.21'!G925</f>
        <v>997.40000000000009</v>
      </c>
      <c r="G323" s="451">
        <f>'Пр.4 ведом.21'!H925</f>
        <v>637.20000000000005</v>
      </c>
      <c r="H323" s="451">
        <f t="shared" si="132"/>
        <v>63.886103870062158</v>
      </c>
    </row>
    <row r="324" spans="1:8" ht="15.75" hidden="1" x14ac:dyDescent="0.25">
      <c r="A324" s="458" t="s">
        <v>135</v>
      </c>
      <c r="B324" s="454" t="s">
        <v>234</v>
      </c>
      <c r="C324" s="454" t="s">
        <v>118</v>
      </c>
      <c r="D324" s="454" t="s">
        <v>960</v>
      </c>
      <c r="E324" s="454" t="s">
        <v>145</v>
      </c>
      <c r="F324" s="451">
        <f t="shared" ref="F324:G324" si="158">F325</f>
        <v>0</v>
      </c>
      <c r="G324" s="451">
        <f t="shared" si="158"/>
        <v>0</v>
      </c>
      <c r="H324" s="451" t="e">
        <f t="shared" si="132"/>
        <v>#DIV/0!</v>
      </c>
    </row>
    <row r="325" spans="1:8" ht="47.25" hidden="1" x14ac:dyDescent="0.25">
      <c r="A325" s="458" t="s">
        <v>184</v>
      </c>
      <c r="B325" s="454" t="s">
        <v>234</v>
      </c>
      <c r="C325" s="454" t="s">
        <v>118</v>
      </c>
      <c r="D325" s="454" t="s">
        <v>960</v>
      </c>
      <c r="E325" s="454" t="s">
        <v>160</v>
      </c>
      <c r="F325" s="451">
        <f>'Пр.4 ведом.21'!G927</f>
        <v>0</v>
      </c>
      <c r="G325" s="451">
        <f>'Пр.4 ведом.21'!H927</f>
        <v>0</v>
      </c>
      <c r="H325" s="451" t="e">
        <f t="shared" si="132"/>
        <v>#DIV/0!</v>
      </c>
    </row>
    <row r="326" spans="1:8" ht="31.5" x14ac:dyDescent="0.25">
      <c r="A326" s="29" t="s">
        <v>398</v>
      </c>
      <c r="B326" s="454" t="s">
        <v>234</v>
      </c>
      <c r="C326" s="454" t="s">
        <v>118</v>
      </c>
      <c r="D326" s="454" t="s">
        <v>961</v>
      </c>
      <c r="E326" s="457"/>
      <c r="F326" s="451">
        <f t="shared" ref="F326:G327" si="159">F327</f>
        <v>4960.3999999999996</v>
      </c>
      <c r="G326" s="451">
        <f t="shared" si="159"/>
        <v>3084.2486199999998</v>
      </c>
      <c r="H326" s="451">
        <f t="shared" si="132"/>
        <v>62.177417546972023</v>
      </c>
    </row>
    <row r="327" spans="1:8" ht="31.5" x14ac:dyDescent="0.25">
      <c r="A327" s="458" t="s">
        <v>131</v>
      </c>
      <c r="B327" s="454" t="s">
        <v>234</v>
      </c>
      <c r="C327" s="454" t="s">
        <v>118</v>
      </c>
      <c r="D327" s="454" t="s">
        <v>961</v>
      </c>
      <c r="E327" s="454" t="s">
        <v>132</v>
      </c>
      <c r="F327" s="451">
        <f t="shared" si="159"/>
        <v>4960.3999999999996</v>
      </c>
      <c r="G327" s="451">
        <f t="shared" si="159"/>
        <v>3084.2486199999998</v>
      </c>
      <c r="H327" s="451">
        <f t="shared" si="132"/>
        <v>62.177417546972023</v>
      </c>
    </row>
    <row r="328" spans="1:8" ht="47.25" x14ac:dyDescent="0.25">
      <c r="A328" s="458" t="s">
        <v>133</v>
      </c>
      <c r="B328" s="454" t="s">
        <v>234</v>
      </c>
      <c r="C328" s="454" t="s">
        <v>118</v>
      </c>
      <c r="D328" s="454" t="s">
        <v>961</v>
      </c>
      <c r="E328" s="454" t="s">
        <v>134</v>
      </c>
      <c r="F328" s="451">
        <f>'Пр.4 ведом.21'!G551+'Пр.4 ведом.21'!G930</f>
        <v>4960.3999999999996</v>
      </c>
      <c r="G328" s="451">
        <f>'Пр.4 ведом.21'!H551+'Пр.4 ведом.21'!H930</f>
        <v>3084.2486199999998</v>
      </c>
      <c r="H328" s="451">
        <f t="shared" si="132"/>
        <v>62.177417546972023</v>
      </c>
    </row>
    <row r="329" spans="1:8" ht="31.5" x14ac:dyDescent="0.25">
      <c r="A329" s="29" t="s">
        <v>932</v>
      </c>
      <c r="B329" s="454" t="s">
        <v>234</v>
      </c>
      <c r="C329" s="454" t="s">
        <v>118</v>
      </c>
      <c r="D329" s="454" t="s">
        <v>962</v>
      </c>
      <c r="E329" s="457"/>
      <c r="F329" s="451">
        <f>F330</f>
        <v>1156.3000000000002</v>
      </c>
      <c r="G329" s="451">
        <f t="shared" ref="G329:G330" si="160">G330</f>
        <v>699.75696000000005</v>
      </c>
      <c r="H329" s="451">
        <f t="shared" si="132"/>
        <v>60.516903917668415</v>
      </c>
    </row>
    <row r="330" spans="1:8" ht="31.5" x14ac:dyDescent="0.25">
      <c r="A330" s="458" t="s">
        <v>131</v>
      </c>
      <c r="B330" s="454" t="s">
        <v>234</v>
      </c>
      <c r="C330" s="454" t="s">
        <v>118</v>
      </c>
      <c r="D330" s="454" t="s">
        <v>962</v>
      </c>
      <c r="E330" s="454" t="s">
        <v>132</v>
      </c>
      <c r="F330" s="451">
        <f>F331</f>
        <v>1156.3000000000002</v>
      </c>
      <c r="G330" s="451">
        <f t="shared" si="160"/>
        <v>699.75696000000005</v>
      </c>
      <c r="H330" s="451">
        <f t="shared" si="132"/>
        <v>60.516903917668415</v>
      </c>
    </row>
    <row r="331" spans="1:8" ht="47.25" x14ac:dyDescent="0.25">
      <c r="A331" s="458" t="s">
        <v>133</v>
      </c>
      <c r="B331" s="454" t="s">
        <v>234</v>
      </c>
      <c r="C331" s="454" t="s">
        <v>118</v>
      </c>
      <c r="D331" s="454" t="s">
        <v>962</v>
      </c>
      <c r="E331" s="454" t="s">
        <v>134</v>
      </c>
      <c r="F331" s="451">
        <f>'Пр.4 ведом.21'!G933+'Пр.4 ведом.21'!G554</f>
        <v>1156.3000000000002</v>
      </c>
      <c r="G331" s="451">
        <f>'Пр.4 ведом.21'!H933+'Пр.4 ведом.21'!H554</f>
        <v>699.75696000000005</v>
      </c>
      <c r="H331" s="451">
        <f t="shared" ref="H331:H394" si="161">G331/F331*100</f>
        <v>60.516903917668415</v>
      </c>
    </row>
    <row r="332" spans="1:8" s="436" customFormat="1" ht="31.5" x14ac:dyDescent="0.25">
      <c r="A332" s="458" t="s">
        <v>1636</v>
      </c>
      <c r="B332" s="454" t="s">
        <v>234</v>
      </c>
      <c r="C332" s="454" t="s">
        <v>118</v>
      </c>
      <c r="D332" s="454" t="s">
        <v>1637</v>
      </c>
      <c r="E332" s="454"/>
      <c r="F332" s="451">
        <f>F333</f>
        <v>16849.2</v>
      </c>
      <c r="G332" s="451">
        <f t="shared" ref="G332:G333" si="162">G333</f>
        <v>6402.7340000000004</v>
      </c>
      <c r="H332" s="451">
        <f t="shared" si="161"/>
        <v>38.00022552999549</v>
      </c>
    </row>
    <row r="333" spans="1:8" s="436" customFormat="1" ht="31.5" x14ac:dyDescent="0.25">
      <c r="A333" s="458" t="s">
        <v>131</v>
      </c>
      <c r="B333" s="454" t="s">
        <v>234</v>
      </c>
      <c r="C333" s="454" t="s">
        <v>118</v>
      </c>
      <c r="D333" s="454" t="s">
        <v>1637</v>
      </c>
      <c r="E333" s="454" t="s">
        <v>132</v>
      </c>
      <c r="F333" s="451">
        <f>F334</f>
        <v>16849.2</v>
      </c>
      <c r="G333" s="451">
        <f t="shared" si="162"/>
        <v>6402.7340000000004</v>
      </c>
      <c r="H333" s="451">
        <f t="shared" si="161"/>
        <v>38.00022552999549</v>
      </c>
    </row>
    <row r="334" spans="1:8" s="436" customFormat="1" ht="47.25" x14ac:dyDescent="0.25">
      <c r="A334" s="458" t="s">
        <v>133</v>
      </c>
      <c r="B334" s="454" t="s">
        <v>234</v>
      </c>
      <c r="C334" s="454" t="s">
        <v>118</v>
      </c>
      <c r="D334" s="454" t="s">
        <v>1637</v>
      </c>
      <c r="E334" s="454" t="s">
        <v>134</v>
      </c>
      <c r="F334" s="451">
        <f>'Пр.4 ведом.21'!G936</f>
        <v>16849.2</v>
      </c>
      <c r="G334" s="451">
        <f>'Пр.4 ведом.21'!H936</f>
        <v>6402.7340000000004</v>
      </c>
      <c r="H334" s="451">
        <f t="shared" si="161"/>
        <v>38.00022552999549</v>
      </c>
    </row>
    <row r="335" spans="1:8" ht="15.75" x14ac:dyDescent="0.25">
      <c r="A335" s="456" t="s">
        <v>517</v>
      </c>
      <c r="B335" s="457" t="s">
        <v>234</v>
      </c>
      <c r="C335" s="457" t="s">
        <v>213</v>
      </c>
      <c r="D335" s="457"/>
      <c r="E335" s="457"/>
      <c r="F335" s="450">
        <f>F366+F336+F395</f>
        <v>88830.21</v>
      </c>
      <c r="G335" s="450">
        <f t="shared" ref="G335" si="163">G366+G336+G395</f>
        <v>27654.850649999997</v>
      </c>
      <c r="H335" s="450">
        <f t="shared" si="161"/>
        <v>31.13225855258025</v>
      </c>
    </row>
    <row r="336" spans="1:8" ht="15.75" x14ac:dyDescent="0.25">
      <c r="A336" s="456" t="s">
        <v>141</v>
      </c>
      <c r="B336" s="457" t="s">
        <v>234</v>
      </c>
      <c r="C336" s="457" t="s">
        <v>213</v>
      </c>
      <c r="D336" s="457" t="s">
        <v>866</v>
      </c>
      <c r="E336" s="457"/>
      <c r="F336" s="450">
        <f>F337+F349</f>
        <v>87744.41</v>
      </c>
      <c r="G336" s="450">
        <f t="shared" ref="G336" si="164">G337+G349</f>
        <v>26892.658649999998</v>
      </c>
      <c r="H336" s="450">
        <f t="shared" si="161"/>
        <v>30.648856890142628</v>
      </c>
    </row>
    <row r="337" spans="1:8" ht="33" customHeight="1" x14ac:dyDescent="0.25">
      <c r="A337" s="456" t="s">
        <v>870</v>
      </c>
      <c r="B337" s="457" t="s">
        <v>234</v>
      </c>
      <c r="C337" s="457" t="s">
        <v>213</v>
      </c>
      <c r="D337" s="457" t="s">
        <v>865</v>
      </c>
      <c r="E337" s="457"/>
      <c r="F337" s="450">
        <f>F338+F344</f>
        <v>32094.61</v>
      </c>
      <c r="G337" s="450">
        <f t="shared" ref="G337" si="165">G338+G344</f>
        <v>21585.608949999998</v>
      </c>
      <c r="H337" s="450">
        <f t="shared" si="161"/>
        <v>67.256180866506867</v>
      </c>
    </row>
    <row r="338" spans="1:8" ht="17.45" customHeight="1" x14ac:dyDescent="0.25">
      <c r="A338" s="35" t="s">
        <v>537</v>
      </c>
      <c r="B338" s="454" t="s">
        <v>234</v>
      </c>
      <c r="C338" s="454" t="s">
        <v>213</v>
      </c>
      <c r="D338" s="454" t="s">
        <v>979</v>
      </c>
      <c r="E338" s="454"/>
      <c r="F338" s="451">
        <f>F339+F341</f>
        <v>12318.900000000003</v>
      </c>
      <c r="G338" s="451">
        <f t="shared" ref="G338" si="166">G339+G341</f>
        <v>6928.8197499999997</v>
      </c>
      <c r="H338" s="451">
        <f t="shared" si="161"/>
        <v>56.245441963162278</v>
      </c>
    </row>
    <row r="339" spans="1:8" ht="35.450000000000003" customHeight="1" x14ac:dyDescent="0.25">
      <c r="A339" s="458" t="s">
        <v>131</v>
      </c>
      <c r="B339" s="454" t="s">
        <v>234</v>
      </c>
      <c r="C339" s="454" t="s">
        <v>213</v>
      </c>
      <c r="D339" s="454" t="s">
        <v>979</v>
      </c>
      <c r="E339" s="454" t="s">
        <v>132</v>
      </c>
      <c r="F339" s="451">
        <f>F340</f>
        <v>12318.900000000003</v>
      </c>
      <c r="G339" s="451">
        <f t="shared" ref="G339" si="167">G340</f>
        <v>6928.8197499999997</v>
      </c>
      <c r="H339" s="451">
        <f t="shared" si="161"/>
        <v>56.245441963162278</v>
      </c>
    </row>
    <row r="340" spans="1:8" ht="47.25" x14ac:dyDescent="0.25">
      <c r="A340" s="458" t="s">
        <v>133</v>
      </c>
      <c r="B340" s="454" t="s">
        <v>234</v>
      </c>
      <c r="C340" s="454" t="s">
        <v>213</v>
      </c>
      <c r="D340" s="454" t="s">
        <v>979</v>
      </c>
      <c r="E340" s="454" t="s">
        <v>134</v>
      </c>
      <c r="F340" s="451">
        <f>'Пр.4 ведом.21'!G942</f>
        <v>12318.900000000003</v>
      </c>
      <c r="G340" s="451">
        <f>'Пр.4 ведом.21'!H942</f>
        <v>6928.8197499999997</v>
      </c>
      <c r="H340" s="451">
        <f t="shared" si="161"/>
        <v>56.245441963162278</v>
      </c>
    </row>
    <row r="341" spans="1:8" ht="15.75" hidden="1" x14ac:dyDescent="0.25">
      <c r="A341" s="458" t="s">
        <v>135</v>
      </c>
      <c r="B341" s="454" t="s">
        <v>234</v>
      </c>
      <c r="C341" s="454" t="s">
        <v>213</v>
      </c>
      <c r="D341" s="454" t="s">
        <v>979</v>
      </c>
      <c r="E341" s="454" t="s">
        <v>145</v>
      </c>
      <c r="F341" s="451">
        <f>F342+F343</f>
        <v>0</v>
      </c>
      <c r="G341" s="451">
        <f t="shared" ref="G341" si="168">G342+G343</f>
        <v>0</v>
      </c>
      <c r="H341" s="451" t="e">
        <f t="shared" si="161"/>
        <v>#DIV/0!</v>
      </c>
    </row>
    <row r="342" spans="1:8" ht="47.25" hidden="1" x14ac:dyDescent="0.25">
      <c r="A342" s="458" t="s">
        <v>184</v>
      </c>
      <c r="B342" s="454" t="s">
        <v>234</v>
      </c>
      <c r="C342" s="454" t="s">
        <v>213</v>
      </c>
      <c r="D342" s="454" t="s">
        <v>979</v>
      </c>
      <c r="E342" s="454" t="s">
        <v>160</v>
      </c>
      <c r="F342" s="451">
        <f>'Пр.4 ведом.21'!G944</f>
        <v>0</v>
      </c>
      <c r="G342" s="451">
        <f>'Пр.4 ведом.21'!H944</f>
        <v>0</v>
      </c>
      <c r="H342" s="451" t="e">
        <f t="shared" si="161"/>
        <v>#DIV/0!</v>
      </c>
    </row>
    <row r="343" spans="1:8" s="200" customFormat="1" ht="15.75" hidden="1" x14ac:dyDescent="0.25">
      <c r="A343" s="458" t="s">
        <v>1192</v>
      </c>
      <c r="B343" s="454" t="s">
        <v>234</v>
      </c>
      <c r="C343" s="454" t="s">
        <v>213</v>
      </c>
      <c r="D343" s="454" t="s">
        <v>979</v>
      </c>
      <c r="E343" s="454" t="s">
        <v>147</v>
      </c>
      <c r="F343" s="451">
        <f>'Пр.4 ведом.21'!G945</f>
        <v>0</v>
      </c>
      <c r="G343" s="451">
        <f>'Пр.4 ведом.21'!H945</f>
        <v>0</v>
      </c>
      <c r="H343" s="451" t="e">
        <f t="shared" si="161"/>
        <v>#DIV/0!</v>
      </c>
    </row>
    <row r="344" spans="1:8" ht="31.5" x14ac:dyDescent="0.25">
      <c r="A344" s="29" t="s">
        <v>932</v>
      </c>
      <c r="B344" s="454" t="s">
        <v>234</v>
      </c>
      <c r="C344" s="454" t="s">
        <v>213</v>
      </c>
      <c r="D344" s="454" t="s">
        <v>962</v>
      </c>
      <c r="E344" s="454"/>
      <c r="F344" s="451">
        <f>F345+F347</f>
        <v>19775.71</v>
      </c>
      <c r="G344" s="451">
        <f t="shared" ref="G344" si="169">G345+G347</f>
        <v>14656.789199999999</v>
      </c>
      <c r="H344" s="451">
        <f t="shared" si="161"/>
        <v>74.115109899973248</v>
      </c>
    </row>
    <row r="345" spans="1:8" ht="31.5" x14ac:dyDescent="0.25">
      <c r="A345" s="458" t="s">
        <v>131</v>
      </c>
      <c r="B345" s="454" t="s">
        <v>234</v>
      </c>
      <c r="C345" s="454" t="s">
        <v>213</v>
      </c>
      <c r="D345" s="454" t="s">
        <v>962</v>
      </c>
      <c r="E345" s="454" t="s">
        <v>132</v>
      </c>
      <c r="F345" s="451">
        <f t="shared" ref="F345:G345" si="170">F346</f>
        <v>19775.71</v>
      </c>
      <c r="G345" s="451">
        <f t="shared" si="170"/>
        <v>14656.789199999999</v>
      </c>
      <c r="H345" s="451">
        <f t="shared" si="161"/>
        <v>74.115109899973248</v>
      </c>
    </row>
    <row r="346" spans="1:8" ht="47.25" x14ac:dyDescent="0.25">
      <c r="A346" s="458" t="s">
        <v>133</v>
      </c>
      <c r="B346" s="454" t="s">
        <v>234</v>
      </c>
      <c r="C346" s="454" t="s">
        <v>213</v>
      </c>
      <c r="D346" s="454" t="s">
        <v>962</v>
      </c>
      <c r="E346" s="454" t="s">
        <v>134</v>
      </c>
      <c r="F346" s="451">
        <f>'Пр.4 ведом.21'!G948</f>
        <v>19775.71</v>
      </c>
      <c r="G346" s="451">
        <f>'Пр.4 ведом.21'!H948</f>
        <v>14656.789199999999</v>
      </c>
      <c r="H346" s="451">
        <f t="shared" si="161"/>
        <v>74.115109899973248</v>
      </c>
    </row>
    <row r="347" spans="1:8" ht="15.75" hidden="1" x14ac:dyDescent="0.25">
      <c r="A347" s="458" t="s">
        <v>135</v>
      </c>
      <c r="B347" s="454" t="s">
        <v>234</v>
      </c>
      <c r="C347" s="454" t="s">
        <v>213</v>
      </c>
      <c r="D347" s="454" t="s">
        <v>962</v>
      </c>
      <c r="E347" s="454" t="s">
        <v>145</v>
      </c>
      <c r="F347" s="451">
        <f>F348</f>
        <v>0</v>
      </c>
      <c r="G347" s="451">
        <f t="shared" ref="G347" si="171">G348</f>
        <v>0</v>
      </c>
      <c r="H347" s="451" t="e">
        <f t="shared" si="161"/>
        <v>#DIV/0!</v>
      </c>
    </row>
    <row r="348" spans="1:8" ht="15.75" hidden="1" x14ac:dyDescent="0.25">
      <c r="A348" s="458" t="s">
        <v>146</v>
      </c>
      <c r="B348" s="454" t="s">
        <v>234</v>
      </c>
      <c r="C348" s="454" t="s">
        <v>213</v>
      </c>
      <c r="D348" s="454" t="s">
        <v>962</v>
      </c>
      <c r="E348" s="454" t="s">
        <v>147</v>
      </c>
      <c r="F348" s="451">
        <f>'Пр.4 ведом.21'!G950</f>
        <v>0</v>
      </c>
      <c r="G348" s="451">
        <f>'Пр.4 ведом.21'!H950</f>
        <v>0</v>
      </c>
      <c r="H348" s="451" t="e">
        <f t="shared" si="161"/>
        <v>#DIV/0!</v>
      </c>
    </row>
    <row r="349" spans="1:8" ht="47.25" x14ac:dyDescent="0.25">
      <c r="A349" s="456" t="s">
        <v>1013</v>
      </c>
      <c r="B349" s="457" t="s">
        <v>234</v>
      </c>
      <c r="C349" s="457" t="s">
        <v>213</v>
      </c>
      <c r="D349" s="457" t="s">
        <v>980</v>
      </c>
      <c r="E349" s="457"/>
      <c r="F349" s="450">
        <f>F350+F355+F358+F363</f>
        <v>55649.8</v>
      </c>
      <c r="G349" s="450">
        <f t="shared" ref="G349" si="172">G350+G355+G358+G363</f>
        <v>5307.0496999999996</v>
      </c>
      <c r="H349" s="450">
        <f t="shared" si="161"/>
        <v>9.5365117215156197</v>
      </c>
    </row>
    <row r="350" spans="1:8" ht="47.25" x14ac:dyDescent="0.25">
      <c r="A350" s="458" t="s">
        <v>827</v>
      </c>
      <c r="B350" s="454" t="s">
        <v>234</v>
      </c>
      <c r="C350" s="454" t="s">
        <v>213</v>
      </c>
      <c r="D350" s="454" t="s">
        <v>981</v>
      </c>
      <c r="E350" s="454"/>
      <c r="F350" s="451">
        <f>F351+F353</f>
        <v>55649.8</v>
      </c>
      <c r="G350" s="451">
        <f t="shared" ref="G350" si="173">G351+G353</f>
        <v>5307.0496999999996</v>
      </c>
      <c r="H350" s="451">
        <f t="shared" si="161"/>
        <v>9.5365117215156197</v>
      </c>
    </row>
    <row r="351" spans="1:8" ht="31.5" x14ac:dyDescent="0.25">
      <c r="A351" s="458" t="s">
        <v>131</v>
      </c>
      <c r="B351" s="454" t="s">
        <v>234</v>
      </c>
      <c r="C351" s="454" t="s">
        <v>213</v>
      </c>
      <c r="D351" s="454" t="s">
        <v>981</v>
      </c>
      <c r="E351" s="454" t="s">
        <v>132</v>
      </c>
      <c r="F351" s="451">
        <f>F352</f>
        <v>55649.8</v>
      </c>
      <c r="G351" s="451">
        <f t="shared" ref="G351" si="174">G352</f>
        <v>5307.0496999999996</v>
      </c>
      <c r="H351" s="451">
        <f t="shared" si="161"/>
        <v>9.5365117215156197</v>
      </c>
    </row>
    <row r="352" spans="1:8" ht="47.25" x14ac:dyDescent="0.25">
      <c r="A352" s="458" t="s">
        <v>133</v>
      </c>
      <c r="B352" s="454" t="s">
        <v>234</v>
      </c>
      <c r="C352" s="454" t="s">
        <v>213</v>
      </c>
      <c r="D352" s="454" t="s">
        <v>981</v>
      </c>
      <c r="E352" s="454" t="s">
        <v>134</v>
      </c>
      <c r="F352" s="451">
        <f>'Пр.4 ведом.21'!G954</f>
        <v>55649.8</v>
      </c>
      <c r="G352" s="451">
        <f>'Пр.4 ведом.21'!H954</f>
        <v>5307.0496999999996</v>
      </c>
      <c r="H352" s="451">
        <f t="shared" si="161"/>
        <v>9.5365117215156197</v>
      </c>
    </row>
    <row r="353" spans="1:8" ht="15.75" hidden="1" x14ac:dyDescent="0.25">
      <c r="A353" s="458" t="s">
        <v>135</v>
      </c>
      <c r="B353" s="454" t="s">
        <v>234</v>
      </c>
      <c r="C353" s="454" t="s">
        <v>213</v>
      </c>
      <c r="D353" s="454" t="s">
        <v>981</v>
      </c>
      <c r="E353" s="454" t="s">
        <v>837</v>
      </c>
      <c r="F353" s="451">
        <f>F354</f>
        <v>0</v>
      </c>
      <c r="G353" s="451">
        <f t="shared" ref="G353" si="175">G354</f>
        <v>0</v>
      </c>
      <c r="H353" s="451" t="e">
        <f t="shared" si="161"/>
        <v>#DIV/0!</v>
      </c>
    </row>
    <row r="354" spans="1:8" ht="15.75" hidden="1" x14ac:dyDescent="0.25">
      <c r="A354" s="458" t="s">
        <v>568</v>
      </c>
      <c r="B354" s="454" t="s">
        <v>234</v>
      </c>
      <c r="C354" s="454" t="s">
        <v>213</v>
      </c>
      <c r="D354" s="454" t="s">
        <v>981</v>
      </c>
      <c r="E354" s="454" t="s">
        <v>1068</v>
      </c>
      <c r="F354" s="451">
        <f>'Пр.4 ведом.21'!G956</f>
        <v>0</v>
      </c>
      <c r="G354" s="451">
        <f>'Пр.4 ведом.21'!H956</f>
        <v>0</v>
      </c>
      <c r="H354" s="451" t="e">
        <f t="shared" si="161"/>
        <v>#DIV/0!</v>
      </c>
    </row>
    <row r="355" spans="1:8" ht="49.7" hidden="1" customHeight="1" x14ac:dyDescent="0.25">
      <c r="A355" s="458" t="s">
        <v>793</v>
      </c>
      <c r="B355" s="454" t="s">
        <v>234</v>
      </c>
      <c r="C355" s="454" t="s">
        <v>213</v>
      </c>
      <c r="D355" s="454" t="s">
        <v>982</v>
      </c>
      <c r="E355" s="454"/>
      <c r="F355" s="451">
        <f>F356</f>
        <v>0</v>
      </c>
      <c r="G355" s="451">
        <f t="shared" ref="G355:G356" si="176">G356</f>
        <v>0</v>
      </c>
      <c r="H355" s="451" t="e">
        <f t="shared" si="161"/>
        <v>#DIV/0!</v>
      </c>
    </row>
    <row r="356" spans="1:8" ht="31.5" hidden="1" x14ac:dyDescent="0.25">
      <c r="A356" s="458" t="s">
        <v>131</v>
      </c>
      <c r="B356" s="454" t="s">
        <v>234</v>
      </c>
      <c r="C356" s="454" t="s">
        <v>213</v>
      </c>
      <c r="D356" s="454" t="s">
        <v>982</v>
      </c>
      <c r="E356" s="454" t="s">
        <v>132</v>
      </c>
      <c r="F356" s="451">
        <f>F357</f>
        <v>0</v>
      </c>
      <c r="G356" s="451">
        <f t="shared" si="176"/>
        <v>0</v>
      </c>
      <c r="H356" s="451" t="e">
        <f t="shared" si="161"/>
        <v>#DIV/0!</v>
      </c>
    </row>
    <row r="357" spans="1:8" ht="47.25" hidden="1" x14ac:dyDescent="0.25">
      <c r="A357" s="458" t="s">
        <v>133</v>
      </c>
      <c r="B357" s="454" t="s">
        <v>234</v>
      </c>
      <c r="C357" s="454" t="s">
        <v>213</v>
      </c>
      <c r="D357" s="454" t="s">
        <v>982</v>
      </c>
      <c r="E357" s="454" t="s">
        <v>134</v>
      </c>
      <c r="F357" s="451">
        <f>'Пр.4 ведом.21'!G959</f>
        <v>0</v>
      </c>
      <c r="G357" s="451">
        <f>'Пр.4 ведом.21'!H959</f>
        <v>0</v>
      </c>
      <c r="H357" s="451" t="e">
        <f t="shared" si="161"/>
        <v>#DIV/0!</v>
      </c>
    </row>
    <row r="358" spans="1:8" ht="47.25" hidden="1" x14ac:dyDescent="0.25">
      <c r="A358" s="97" t="s">
        <v>833</v>
      </c>
      <c r="B358" s="454" t="s">
        <v>234</v>
      </c>
      <c r="C358" s="454" t="s">
        <v>213</v>
      </c>
      <c r="D358" s="454" t="s">
        <v>983</v>
      </c>
      <c r="E358" s="454"/>
      <c r="F358" s="451">
        <f>F359+F361</f>
        <v>0</v>
      </c>
      <c r="G358" s="451">
        <f t="shared" ref="G358" si="177">G359+G361</f>
        <v>0</v>
      </c>
      <c r="H358" s="451" t="e">
        <f t="shared" si="161"/>
        <v>#DIV/0!</v>
      </c>
    </row>
    <row r="359" spans="1:8" ht="31.5" hidden="1" x14ac:dyDescent="0.25">
      <c r="A359" s="458" t="s">
        <v>838</v>
      </c>
      <c r="B359" s="454" t="s">
        <v>234</v>
      </c>
      <c r="C359" s="454" t="s">
        <v>213</v>
      </c>
      <c r="D359" s="454" t="s">
        <v>983</v>
      </c>
      <c r="E359" s="454" t="s">
        <v>837</v>
      </c>
      <c r="F359" s="451">
        <f>F360</f>
        <v>0</v>
      </c>
      <c r="G359" s="451">
        <f t="shared" ref="G359" si="178">G360</f>
        <v>0</v>
      </c>
      <c r="H359" s="451" t="e">
        <f t="shared" si="161"/>
        <v>#DIV/0!</v>
      </c>
    </row>
    <row r="360" spans="1:8" ht="31.7" hidden="1" customHeight="1" x14ac:dyDescent="0.25">
      <c r="A360" s="458" t="s">
        <v>1049</v>
      </c>
      <c r="B360" s="454" t="s">
        <v>234</v>
      </c>
      <c r="C360" s="454" t="s">
        <v>213</v>
      </c>
      <c r="D360" s="454" t="s">
        <v>983</v>
      </c>
      <c r="E360" s="454" t="s">
        <v>1068</v>
      </c>
      <c r="F360" s="451">
        <f>'Пр.4 ведом.21'!G962</f>
        <v>0</v>
      </c>
      <c r="G360" s="451">
        <f>'Пр.4 ведом.21'!H962</f>
        <v>0</v>
      </c>
      <c r="H360" s="451" t="e">
        <f t="shared" si="161"/>
        <v>#DIV/0!</v>
      </c>
    </row>
    <row r="361" spans="1:8" ht="21.2" hidden="1" customHeight="1" x14ac:dyDescent="0.25">
      <c r="A361" s="458" t="s">
        <v>135</v>
      </c>
      <c r="B361" s="454" t="s">
        <v>234</v>
      </c>
      <c r="C361" s="454" t="s">
        <v>213</v>
      </c>
      <c r="D361" s="454" t="s">
        <v>983</v>
      </c>
      <c r="E361" s="454" t="s">
        <v>145</v>
      </c>
      <c r="F361" s="451">
        <f>F362</f>
        <v>0</v>
      </c>
      <c r="G361" s="451">
        <f t="shared" ref="G361" si="179">G362</f>
        <v>0</v>
      </c>
      <c r="H361" s="451" t="e">
        <f t="shared" si="161"/>
        <v>#DIV/0!</v>
      </c>
    </row>
    <row r="362" spans="1:8" ht="21.75" hidden="1" customHeight="1" x14ac:dyDescent="0.25">
      <c r="A362" s="458" t="s">
        <v>704</v>
      </c>
      <c r="B362" s="454" t="s">
        <v>234</v>
      </c>
      <c r="C362" s="454" t="s">
        <v>213</v>
      </c>
      <c r="D362" s="454" t="s">
        <v>983</v>
      </c>
      <c r="E362" s="454" t="s">
        <v>138</v>
      </c>
      <c r="F362" s="451">
        <f>'Пр.4 ведом.21'!G964</f>
        <v>0</v>
      </c>
      <c r="G362" s="451">
        <f>'Пр.4 ведом.21'!H964</f>
        <v>0</v>
      </c>
      <c r="H362" s="451" t="e">
        <f t="shared" si="161"/>
        <v>#DIV/0!</v>
      </c>
    </row>
    <row r="363" spans="1:8" ht="31.5" hidden="1" x14ac:dyDescent="0.25">
      <c r="A363" s="458" t="s">
        <v>1069</v>
      </c>
      <c r="B363" s="454" t="s">
        <v>234</v>
      </c>
      <c r="C363" s="454" t="s">
        <v>213</v>
      </c>
      <c r="D363" s="454" t="s">
        <v>1070</v>
      </c>
      <c r="E363" s="454"/>
      <c r="F363" s="451">
        <f t="shared" ref="F363:G364" si="180">F364</f>
        <v>0</v>
      </c>
      <c r="G363" s="451">
        <f t="shared" si="180"/>
        <v>0</v>
      </c>
      <c r="H363" s="451" t="e">
        <f t="shared" si="161"/>
        <v>#DIV/0!</v>
      </c>
    </row>
    <row r="364" spans="1:8" ht="31.5" hidden="1" x14ac:dyDescent="0.25">
      <c r="A364" s="458" t="s">
        <v>131</v>
      </c>
      <c r="B364" s="454" t="s">
        <v>234</v>
      </c>
      <c r="C364" s="454" t="s">
        <v>213</v>
      </c>
      <c r="D364" s="454" t="s">
        <v>1070</v>
      </c>
      <c r="E364" s="454" t="s">
        <v>132</v>
      </c>
      <c r="F364" s="451">
        <f t="shared" si="180"/>
        <v>0</v>
      </c>
      <c r="G364" s="451">
        <f t="shared" si="180"/>
        <v>0</v>
      </c>
      <c r="H364" s="451" t="e">
        <f t="shared" si="161"/>
        <v>#DIV/0!</v>
      </c>
    </row>
    <row r="365" spans="1:8" ht="47.25" hidden="1" x14ac:dyDescent="0.25">
      <c r="A365" s="458" t="s">
        <v>133</v>
      </c>
      <c r="B365" s="454" t="s">
        <v>234</v>
      </c>
      <c r="C365" s="454" t="s">
        <v>213</v>
      </c>
      <c r="D365" s="454" t="s">
        <v>1070</v>
      </c>
      <c r="E365" s="454" t="s">
        <v>134</v>
      </c>
      <c r="F365" s="451">
        <f>'Пр.4 ведом.21'!G967</f>
        <v>0</v>
      </c>
      <c r="G365" s="451">
        <f>'Пр.4 ведом.21'!H967</f>
        <v>0</v>
      </c>
      <c r="H365" s="451" t="e">
        <f t="shared" si="161"/>
        <v>#DIV/0!</v>
      </c>
    </row>
    <row r="366" spans="1:8" ht="63" x14ac:dyDescent="0.25">
      <c r="A366" s="456" t="s">
        <v>1534</v>
      </c>
      <c r="B366" s="457" t="s">
        <v>234</v>
      </c>
      <c r="C366" s="457" t="s">
        <v>213</v>
      </c>
      <c r="D366" s="457" t="s">
        <v>518</v>
      </c>
      <c r="E366" s="457"/>
      <c r="F366" s="450">
        <f>F367+F371+F375+F379+F383+F387+F391</f>
        <v>1085.8</v>
      </c>
      <c r="G366" s="450">
        <f t="shared" ref="G366" si="181">G367+G371+G375+G379+G383+G387+G391</f>
        <v>762.19200000000001</v>
      </c>
      <c r="H366" s="450">
        <f t="shared" si="161"/>
        <v>70.196352919506353</v>
      </c>
    </row>
    <row r="367" spans="1:8" ht="31.5" hidden="1" x14ac:dyDescent="0.25">
      <c r="A367" s="456" t="s">
        <v>963</v>
      </c>
      <c r="B367" s="457" t="s">
        <v>234</v>
      </c>
      <c r="C367" s="457" t="s">
        <v>213</v>
      </c>
      <c r="D367" s="457" t="s">
        <v>965</v>
      </c>
      <c r="E367" s="457"/>
      <c r="F367" s="450">
        <f>F368</f>
        <v>0</v>
      </c>
      <c r="G367" s="450">
        <f t="shared" ref="G367" si="182">G368</f>
        <v>0</v>
      </c>
      <c r="H367" s="450" t="e">
        <f t="shared" si="161"/>
        <v>#DIV/0!</v>
      </c>
    </row>
    <row r="368" spans="1:8" ht="15.75" hidden="1" x14ac:dyDescent="0.25">
      <c r="A368" s="45" t="s">
        <v>964</v>
      </c>
      <c r="B368" s="461" t="s">
        <v>234</v>
      </c>
      <c r="C368" s="461" t="s">
        <v>213</v>
      </c>
      <c r="D368" s="454" t="s">
        <v>966</v>
      </c>
      <c r="E368" s="461"/>
      <c r="F368" s="451">
        <f t="shared" ref="F368:G369" si="183">F369</f>
        <v>0</v>
      </c>
      <c r="G368" s="451">
        <f t="shared" si="183"/>
        <v>0</v>
      </c>
      <c r="H368" s="450" t="e">
        <f t="shared" si="161"/>
        <v>#DIV/0!</v>
      </c>
    </row>
    <row r="369" spans="1:8" ht="31.5" hidden="1" x14ac:dyDescent="0.25">
      <c r="A369" s="31" t="s">
        <v>131</v>
      </c>
      <c r="B369" s="461" t="s">
        <v>234</v>
      </c>
      <c r="C369" s="461" t="s">
        <v>213</v>
      </c>
      <c r="D369" s="454" t="s">
        <v>966</v>
      </c>
      <c r="E369" s="461" t="s">
        <v>132</v>
      </c>
      <c r="F369" s="451">
        <f t="shared" si="183"/>
        <v>0</v>
      </c>
      <c r="G369" s="451">
        <f t="shared" si="183"/>
        <v>0</v>
      </c>
      <c r="H369" s="450" t="e">
        <f t="shared" si="161"/>
        <v>#DIV/0!</v>
      </c>
    </row>
    <row r="370" spans="1:8" ht="47.25" hidden="1" x14ac:dyDescent="0.25">
      <c r="A370" s="31" t="s">
        <v>133</v>
      </c>
      <c r="B370" s="461" t="s">
        <v>234</v>
      </c>
      <c r="C370" s="461" t="s">
        <v>213</v>
      </c>
      <c r="D370" s="454" t="s">
        <v>966</v>
      </c>
      <c r="E370" s="461" t="s">
        <v>134</v>
      </c>
      <c r="F370" s="451">
        <f>'Пр.4 ведом.21'!G972</f>
        <v>0</v>
      </c>
      <c r="G370" s="451">
        <f>'Пр.4 ведом.21'!H972</f>
        <v>0</v>
      </c>
      <c r="H370" s="450" t="e">
        <f t="shared" si="161"/>
        <v>#DIV/0!</v>
      </c>
    </row>
    <row r="371" spans="1:8" ht="31.5" x14ac:dyDescent="0.25">
      <c r="A371" s="34" t="s">
        <v>967</v>
      </c>
      <c r="B371" s="7" t="s">
        <v>234</v>
      </c>
      <c r="C371" s="7" t="s">
        <v>213</v>
      </c>
      <c r="D371" s="457" t="s">
        <v>968</v>
      </c>
      <c r="E371" s="7"/>
      <c r="F371" s="450">
        <f>F372</f>
        <v>441</v>
      </c>
      <c r="G371" s="450">
        <f t="shared" ref="G371:G373" si="184">G372</f>
        <v>389.95100000000002</v>
      </c>
      <c r="H371" s="450">
        <f t="shared" si="161"/>
        <v>88.424263038548759</v>
      </c>
    </row>
    <row r="372" spans="1:8" ht="15.75" x14ac:dyDescent="0.25">
      <c r="A372" s="45" t="s">
        <v>523</v>
      </c>
      <c r="B372" s="461" t="s">
        <v>234</v>
      </c>
      <c r="C372" s="461" t="s">
        <v>213</v>
      </c>
      <c r="D372" s="454" t="s">
        <v>971</v>
      </c>
      <c r="E372" s="461"/>
      <c r="F372" s="451">
        <f>F373</f>
        <v>441</v>
      </c>
      <c r="G372" s="451">
        <f t="shared" si="184"/>
        <v>389.95100000000002</v>
      </c>
      <c r="H372" s="451">
        <f t="shared" si="161"/>
        <v>88.424263038548759</v>
      </c>
    </row>
    <row r="373" spans="1:8" ht="31.5" x14ac:dyDescent="0.25">
      <c r="A373" s="31" t="s">
        <v>131</v>
      </c>
      <c r="B373" s="461" t="s">
        <v>234</v>
      </c>
      <c r="C373" s="461" t="s">
        <v>213</v>
      </c>
      <c r="D373" s="454" t="s">
        <v>971</v>
      </c>
      <c r="E373" s="461" t="s">
        <v>132</v>
      </c>
      <c r="F373" s="451">
        <f>F374</f>
        <v>441</v>
      </c>
      <c r="G373" s="451">
        <f t="shared" si="184"/>
        <v>389.95100000000002</v>
      </c>
      <c r="H373" s="451">
        <f t="shared" si="161"/>
        <v>88.424263038548759</v>
      </c>
    </row>
    <row r="374" spans="1:8" ht="47.25" x14ac:dyDescent="0.25">
      <c r="A374" s="31" t="s">
        <v>133</v>
      </c>
      <c r="B374" s="461" t="s">
        <v>234</v>
      </c>
      <c r="C374" s="461" t="s">
        <v>213</v>
      </c>
      <c r="D374" s="454" t="s">
        <v>971</v>
      </c>
      <c r="E374" s="461" t="s">
        <v>134</v>
      </c>
      <c r="F374" s="451">
        <f>'Пр.4 ведом.21'!G976</f>
        <v>441</v>
      </c>
      <c r="G374" s="451">
        <f>'Пр.4 ведом.21'!H976</f>
        <v>389.95100000000002</v>
      </c>
      <c r="H374" s="451">
        <f t="shared" si="161"/>
        <v>88.424263038548759</v>
      </c>
    </row>
    <row r="375" spans="1:8" ht="31.5" hidden="1" x14ac:dyDescent="0.25">
      <c r="A375" s="58" t="s">
        <v>969</v>
      </c>
      <c r="B375" s="7" t="s">
        <v>234</v>
      </c>
      <c r="C375" s="7" t="s">
        <v>213</v>
      </c>
      <c r="D375" s="457" t="s">
        <v>970</v>
      </c>
      <c r="E375" s="7"/>
      <c r="F375" s="450">
        <f>F376</f>
        <v>0</v>
      </c>
      <c r="G375" s="450">
        <f t="shared" ref="G375:G377" si="185">G376</f>
        <v>0</v>
      </c>
      <c r="H375" s="451" t="e">
        <f t="shared" si="161"/>
        <v>#DIV/0!</v>
      </c>
    </row>
    <row r="376" spans="1:8" ht="15.75" hidden="1" x14ac:dyDescent="0.25">
      <c r="A376" s="45" t="s">
        <v>525</v>
      </c>
      <c r="B376" s="461" t="s">
        <v>234</v>
      </c>
      <c r="C376" s="461" t="s">
        <v>213</v>
      </c>
      <c r="D376" s="454" t="s">
        <v>972</v>
      </c>
      <c r="E376" s="461"/>
      <c r="F376" s="451">
        <f>F377</f>
        <v>0</v>
      </c>
      <c r="G376" s="451">
        <f t="shared" si="185"/>
        <v>0</v>
      </c>
      <c r="H376" s="451" t="e">
        <f t="shared" si="161"/>
        <v>#DIV/0!</v>
      </c>
    </row>
    <row r="377" spans="1:8" ht="31.5" hidden="1" x14ac:dyDescent="0.25">
      <c r="A377" s="31" t="s">
        <v>131</v>
      </c>
      <c r="B377" s="461" t="s">
        <v>234</v>
      </c>
      <c r="C377" s="461" t="s">
        <v>213</v>
      </c>
      <c r="D377" s="454" t="s">
        <v>972</v>
      </c>
      <c r="E377" s="461" t="s">
        <v>132</v>
      </c>
      <c r="F377" s="451">
        <f>F378</f>
        <v>0</v>
      </c>
      <c r="G377" s="451">
        <f t="shared" si="185"/>
        <v>0</v>
      </c>
      <c r="H377" s="451" t="e">
        <f t="shared" si="161"/>
        <v>#DIV/0!</v>
      </c>
    </row>
    <row r="378" spans="1:8" ht="47.25" hidden="1" x14ac:dyDescent="0.25">
      <c r="A378" s="31" t="s">
        <v>133</v>
      </c>
      <c r="B378" s="461" t="s">
        <v>234</v>
      </c>
      <c r="C378" s="461" t="s">
        <v>213</v>
      </c>
      <c r="D378" s="454" t="s">
        <v>972</v>
      </c>
      <c r="E378" s="461" t="s">
        <v>134</v>
      </c>
      <c r="F378" s="451">
        <f>'Пр.4 ведом.21'!G980</f>
        <v>0</v>
      </c>
      <c r="G378" s="451">
        <f>'Пр.4 ведом.21'!H980</f>
        <v>0</v>
      </c>
      <c r="H378" s="451" t="e">
        <f t="shared" si="161"/>
        <v>#DIV/0!</v>
      </c>
    </row>
    <row r="379" spans="1:8" ht="31.5" hidden="1" x14ac:dyDescent="0.25">
      <c r="A379" s="58" t="s">
        <v>973</v>
      </c>
      <c r="B379" s="7" t="s">
        <v>234</v>
      </c>
      <c r="C379" s="7" t="s">
        <v>213</v>
      </c>
      <c r="D379" s="457" t="s">
        <v>974</v>
      </c>
      <c r="E379" s="7"/>
      <c r="F379" s="450">
        <f>F380</f>
        <v>179.9</v>
      </c>
      <c r="G379" s="450">
        <f t="shared" ref="G379:G381" si="186">G380</f>
        <v>179.011</v>
      </c>
      <c r="H379" s="451">
        <f t="shared" si="161"/>
        <v>99.505836575875477</v>
      </c>
    </row>
    <row r="380" spans="1:8" ht="15.75" hidden="1" x14ac:dyDescent="0.25">
      <c r="A380" s="45" t="s">
        <v>527</v>
      </c>
      <c r="B380" s="461" t="s">
        <v>234</v>
      </c>
      <c r="C380" s="461" t="s">
        <v>213</v>
      </c>
      <c r="D380" s="454" t="s">
        <v>975</v>
      </c>
      <c r="E380" s="461"/>
      <c r="F380" s="451">
        <f>F381</f>
        <v>179.9</v>
      </c>
      <c r="G380" s="451">
        <f t="shared" si="186"/>
        <v>179.011</v>
      </c>
      <c r="H380" s="451">
        <f t="shared" si="161"/>
        <v>99.505836575875477</v>
      </c>
    </row>
    <row r="381" spans="1:8" ht="31.5" hidden="1" x14ac:dyDescent="0.25">
      <c r="A381" s="31" t="s">
        <v>131</v>
      </c>
      <c r="B381" s="461" t="s">
        <v>234</v>
      </c>
      <c r="C381" s="461" t="s">
        <v>213</v>
      </c>
      <c r="D381" s="454" t="s">
        <v>975</v>
      </c>
      <c r="E381" s="461" t="s">
        <v>132</v>
      </c>
      <c r="F381" s="451">
        <f>F382</f>
        <v>179.9</v>
      </c>
      <c r="G381" s="451">
        <f t="shared" si="186"/>
        <v>179.011</v>
      </c>
      <c r="H381" s="451">
        <f t="shared" si="161"/>
        <v>99.505836575875477</v>
      </c>
    </row>
    <row r="382" spans="1:8" ht="47.25" hidden="1" x14ac:dyDescent="0.25">
      <c r="A382" s="31" t="s">
        <v>133</v>
      </c>
      <c r="B382" s="461" t="s">
        <v>234</v>
      </c>
      <c r="C382" s="461" t="s">
        <v>213</v>
      </c>
      <c r="D382" s="454" t="s">
        <v>975</v>
      </c>
      <c r="E382" s="461" t="s">
        <v>134</v>
      </c>
      <c r="F382" s="451">
        <f>'Пр.4 ведом.21'!G984</f>
        <v>179.9</v>
      </c>
      <c r="G382" s="451">
        <f>'Пр.4 ведом.21'!H984</f>
        <v>179.011</v>
      </c>
      <c r="H382" s="451">
        <f t="shared" si="161"/>
        <v>99.505836575875477</v>
      </c>
    </row>
    <row r="383" spans="1:8" ht="31.5" hidden="1" x14ac:dyDescent="0.25">
      <c r="A383" s="34" t="s">
        <v>1014</v>
      </c>
      <c r="B383" s="7" t="s">
        <v>234</v>
      </c>
      <c r="C383" s="7" t="s">
        <v>213</v>
      </c>
      <c r="D383" s="457" t="s">
        <v>1015</v>
      </c>
      <c r="E383" s="7"/>
      <c r="F383" s="450">
        <f>F384</f>
        <v>0</v>
      </c>
      <c r="G383" s="450">
        <f t="shared" ref="G383:G385" si="187">G384</f>
        <v>0</v>
      </c>
      <c r="H383" s="451" t="e">
        <f t="shared" si="161"/>
        <v>#DIV/0!</v>
      </c>
    </row>
    <row r="384" spans="1:8" ht="18" hidden="1" customHeight="1" x14ac:dyDescent="0.25">
      <c r="A384" s="45" t="s">
        <v>529</v>
      </c>
      <c r="B384" s="461" t="s">
        <v>234</v>
      </c>
      <c r="C384" s="461" t="s">
        <v>213</v>
      </c>
      <c r="D384" s="454" t="s">
        <v>1018</v>
      </c>
      <c r="E384" s="461"/>
      <c r="F384" s="451">
        <f>F385</f>
        <v>0</v>
      </c>
      <c r="G384" s="451">
        <f t="shared" si="187"/>
        <v>0</v>
      </c>
      <c r="H384" s="451" t="e">
        <f t="shared" si="161"/>
        <v>#DIV/0!</v>
      </c>
    </row>
    <row r="385" spans="1:8" ht="31.5" hidden="1" x14ac:dyDescent="0.25">
      <c r="A385" s="31" t="s">
        <v>131</v>
      </c>
      <c r="B385" s="461" t="s">
        <v>234</v>
      </c>
      <c r="C385" s="461" t="s">
        <v>213</v>
      </c>
      <c r="D385" s="454" t="s">
        <v>1018</v>
      </c>
      <c r="E385" s="461" t="s">
        <v>132</v>
      </c>
      <c r="F385" s="451">
        <f>F386</f>
        <v>0</v>
      </c>
      <c r="G385" s="451">
        <f t="shared" si="187"/>
        <v>0</v>
      </c>
      <c r="H385" s="451" t="e">
        <f t="shared" si="161"/>
        <v>#DIV/0!</v>
      </c>
    </row>
    <row r="386" spans="1:8" ht="47.25" hidden="1" x14ac:dyDescent="0.25">
      <c r="A386" s="31" t="s">
        <v>133</v>
      </c>
      <c r="B386" s="461" t="s">
        <v>234</v>
      </c>
      <c r="C386" s="461" t="s">
        <v>213</v>
      </c>
      <c r="D386" s="454" t="s">
        <v>1018</v>
      </c>
      <c r="E386" s="461" t="s">
        <v>134</v>
      </c>
      <c r="F386" s="451">
        <f>'Пр.4 ведом.21'!G988</f>
        <v>0</v>
      </c>
      <c r="G386" s="451">
        <f>'Пр.4 ведом.21'!H988</f>
        <v>0</v>
      </c>
      <c r="H386" s="451" t="e">
        <f t="shared" si="161"/>
        <v>#DIV/0!</v>
      </c>
    </row>
    <row r="387" spans="1:8" ht="31.5" hidden="1" x14ac:dyDescent="0.25">
      <c r="A387" s="215" t="s">
        <v>1016</v>
      </c>
      <c r="B387" s="7" t="s">
        <v>234</v>
      </c>
      <c r="C387" s="7" t="s">
        <v>213</v>
      </c>
      <c r="D387" s="457" t="s">
        <v>1017</v>
      </c>
      <c r="E387" s="7"/>
      <c r="F387" s="450">
        <f>F388</f>
        <v>0</v>
      </c>
      <c r="G387" s="450">
        <f t="shared" ref="G387:G389" si="188">G388</f>
        <v>0</v>
      </c>
      <c r="H387" s="451" t="e">
        <f t="shared" si="161"/>
        <v>#DIV/0!</v>
      </c>
    </row>
    <row r="388" spans="1:8" ht="31.5" hidden="1" x14ac:dyDescent="0.25">
      <c r="A388" s="174" t="s">
        <v>531</v>
      </c>
      <c r="B388" s="461" t="s">
        <v>234</v>
      </c>
      <c r="C388" s="461" t="s">
        <v>213</v>
      </c>
      <c r="D388" s="454" t="s">
        <v>1019</v>
      </c>
      <c r="E388" s="461"/>
      <c r="F388" s="451">
        <f>F389</f>
        <v>0</v>
      </c>
      <c r="G388" s="451">
        <f t="shared" si="188"/>
        <v>0</v>
      </c>
      <c r="H388" s="451" t="e">
        <f t="shared" si="161"/>
        <v>#DIV/0!</v>
      </c>
    </row>
    <row r="389" spans="1:8" ht="31.5" hidden="1" x14ac:dyDescent="0.25">
      <c r="A389" s="31" t="s">
        <v>131</v>
      </c>
      <c r="B389" s="461" t="s">
        <v>234</v>
      </c>
      <c r="C389" s="461" t="s">
        <v>213</v>
      </c>
      <c r="D389" s="454" t="s">
        <v>1019</v>
      </c>
      <c r="E389" s="461" t="s">
        <v>132</v>
      </c>
      <c r="F389" s="451">
        <f>F390</f>
        <v>0</v>
      </c>
      <c r="G389" s="451">
        <f t="shared" si="188"/>
        <v>0</v>
      </c>
      <c r="H389" s="451" t="e">
        <f t="shared" si="161"/>
        <v>#DIV/0!</v>
      </c>
    </row>
    <row r="390" spans="1:8" ht="47.25" hidden="1" x14ac:dyDescent="0.25">
      <c r="A390" s="31" t="s">
        <v>133</v>
      </c>
      <c r="B390" s="461" t="s">
        <v>234</v>
      </c>
      <c r="C390" s="461" t="s">
        <v>213</v>
      </c>
      <c r="D390" s="454" t="s">
        <v>1019</v>
      </c>
      <c r="E390" s="461" t="s">
        <v>134</v>
      </c>
      <c r="F390" s="451">
        <f>'Пр.4 ведом.21'!G992</f>
        <v>0</v>
      </c>
      <c r="G390" s="451">
        <f>'Пр.4 ведом.21'!H992</f>
        <v>0</v>
      </c>
      <c r="H390" s="451" t="e">
        <f t="shared" si="161"/>
        <v>#DIV/0!</v>
      </c>
    </row>
    <row r="391" spans="1:8" ht="31.5" x14ac:dyDescent="0.25">
      <c r="A391" s="215" t="s">
        <v>977</v>
      </c>
      <c r="B391" s="7" t="s">
        <v>234</v>
      </c>
      <c r="C391" s="7" t="s">
        <v>213</v>
      </c>
      <c r="D391" s="457" t="s">
        <v>978</v>
      </c>
      <c r="E391" s="7"/>
      <c r="F391" s="450">
        <f>F392</f>
        <v>464.90000000000003</v>
      </c>
      <c r="G391" s="450">
        <f t="shared" ref="G391:G393" si="189">G392</f>
        <v>193.23</v>
      </c>
      <c r="H391" s="450">
        <f t="shared" si="161"/>
        <v>41.563777156377711</v>
      </c>
    </row>
    <row r="392" spans="1:8" ht="15.75" x14ac:dyDescent="0.25">
      <c r="A392" s="174" t="s">
        <v>533</v>
      </c>
      <c r="B392" s="461" t="s">
        <v>234</v>
      </c>
      <c r="C392" s="461" t="s">
        <v>213</v>
      </c>
      <c r="D392" s="454" t="s">
        <v>976</v>
      </c>
      <c r="E392" s="461"/>
      <c r="F392" s="451">
        <f>F393</f>
        <v>464.90000000000003</v>
      </c>
      <c r="G392" s="451">
        <f t="shared" si="189"/>
        <v>193.23</v>
      </c>
      <c r="H392" s="451">
        <f t="shared" si="161"/>
        <v>41.563777156377711</v>
      </c>
    </row>
    <row r="393" spans="1:8" ht="31.5" x14ac:dyDescent="0.25">
      <c r="A393" s="458" t="s">
        <v>131</v>
      </c>
      <c r="B393" s="461" t="s">
        <v>234</v>
      </c>
      <c r="C393" s="461" t="s">
        <v>213</v>
      </c>
      <c r="D393" s="454" t="s">
        <v>976</v>
      </c>
      <c r="E393" s="461" t="s">
        <v>132</v>
      </c>
      <c r="F393" s="451">
        <f>F394</f>
        <v>464.90000000000003</v>
      </c>
      <c r="G393" s="451">
        <f t="shared" si="189"/>
        <v>193.23</v>
      </c>
      <c r="H393" s="451">
        <f t="shared" si="161"/>
        <v>41.563777156377711</v>
      </c>
    </row>
    <row r="394" spans="1:8" s="200" customFormat="1" ht="47.25" x14ac:dyDescent="0.25">
      <c r="A394" s="458" t="s">
        <v>133</v>
      </c>
      <c r="B394" s="461" t="s">
        <v>234</v>
      </c>
      <c r="C394" s="461" t="s">
        <v>213</v>
      </c>
      <c r="D394" s="454" t="s">
        <v>976</v>
      </c>
      <c r="E394" s="461" t="s">
        <v>134</v>
      </c>
      <c r="F394" s="451">
        <f>'Пр.4 ведом.21'!G996</f>
        <v>464.90000000000003</v>
      </c>
      <c r="G394" s="451">
        <f>'Пр.4 ведом.21'!H996</f>
        <v>193.23</v>
      </c>
      <c r="H394" s="451">
        <f t="shared" si="161"/>
        <v>41.563777156377711</v>
      </c>
    </row>
    <row r="395" spans="1:8" s="200" customFormat="1" ht="47.25" hidden="1" x14ac:dyDescent="0.25">
      <c r="A395" s="456" t="s">
        <v>1536</v>
      </c>
      <c r="B395" s="7" t="s">
        <v>234</v>
      </c>
      <c r="C395" s="7" t="s">
        <v>213</v>
      </c>
      <c r="D395" s="457" t="s">
        <v>1142</v>
      </c>
      <c r="E395" s="7"/>
      <c r="F395" s="450">
        <f>F396</f>
        <v>0</v>
      </c>
      <c r="G395" s="450">
        <f t="shared" ref="G395:G398" si="190">G396</f>
        <v>0</v>
      </c>
      <c r="H395" s="451" t="e">
        <f t="shared" ref="H395:H458" si="191">G395/F395*100</f>
        <v>#DIV/0!</v>
      </c>
    </row>
    <row r="396" spans="1:8" s="200" customFormat="1" ht="31.5" hidden="1" x14ac:dyDescent="0.25">
      <c r="A396" s="456" t="s">
        <v>1143</v>
      </c>
      <c r="B396" s="7" t="s">
        <v>234</v>
      </c>
      <c r="C396" s="7" t="s">
        <v>213</v>
      </c>
      <c r="D396" s="457" t="s">
        <v>1144</v>
      </c>
      <c r="E396" s="7"/>
      <c r="F396" s="450">
        <f>F397</f>
        <v>0</v>
      </c>
      <c r="G396" s="450">
        <f t="shared" si="190"/>
        <v>0</v>
      </c>
      <c r="H396" s="451" t="e">
        <f t="shared" si="191"/>
        <v>#DIV/0!</v>
      </c>
    </row>
    <row r="397" spans="1:8" s="200" customFormat="1" ht="15.75" hidden="1" x14ac:dyDescent="0.25">
      <c r="A397" s="458" t="s">
        <v>537</v>
      </c>
      <c r="B397" s="461" t="s">
        <v>234</v>
      </c>
      <c r="C397" s="461" t="s">
        <v>213</v>
      </c>
      <c r="D397" s="454" t="s">
        <v>1145</v>
      </c>
      <c r="E397" s="461"/>
      <c r="F397" s="451">
        <f>F398</f>
        <v>0</v>
      </c>
      <c r="G397" s="451">
        <f t="shared" si="190"/>
        <v>0</v>
      </c>
      <c r="H397" s="451" t="e">
        <f t="shared" si="191"/>
        <v>#DIV/0!</v>
      </c>
    </row>
    <row r="398" spans="1:8" s="200" customFormat="1" ht="31.5" hidden="1" x14ac:dyDescent="0.25">
      <c r="A398" s="458" t="s">
        <v>131</v>
      </c>
      <c r="B398" s="461" t="s">
        <v>234</v>
      </c>
      <c r="C398" s="461" t="s">
        <v>213</v>
      </c>
      <c r="D398" s="454" t="s">
        <v>1145</v>
      </c>
      <c r="E398" s="461" t="s">
        <v>132</v>
      </c>
      <c r="F398" s="451">
        <f>F399</f>
        <v>0</v>
      </c>
      <c r="G398" s="451">
        <f t="shared" si="190"/>
        <v>0</v>
      </c>
      <c r="H398" s="451" t="e">
        <f t="shared" si="191"/>
        <v>#DIV/0!</v>
      </c>
    </row>
    <row r="399" spans="1:8" s="200" customFormat="1" ht="47.25" hidden="1" x14ac:dyDescent="0.25">
      <c r="A399" s="458" t="s">
        <v>133</v>
      </c>
      <c r="B399" s="461" t="s">
        <v>234</v>
      </c>
      <c r="C399" s="461" t="s">
        <v>213</v>
      </c>
      <c r="D399" s="454" t="s">
        <v>1145</v>
      </c>
      <c r="E399" s="461" t="s">
        <v>134</v>
      </c>
      <c r="F399" s="451">
        <f>'Пр.4 ведом.21'!G1001</f>
        <v>0</v>
      </c>
      <c r="G399" s="451">
        <f>'Пр.4 ведом.21'!H1001</f>
        <v>0</v>
      </c>
      <c r="H399" s="451" t="e">
        <f t="shared" si="191"/>
        <v>#DIV/0!</v>
      </c>
    </row>
    <row r="400" spans="1:8" ht="15.75" x14ac:dyDescent="0.25">
      <c r="A400" s="462" t="s">
        <v>541</v>
      </c>
      <c r="B400" s="7" t="s">
        <v>234</v>
      </c>
      <c r="C400" s="7" t="s">
        <v>215</v>
      </c>
      <c r="D400" s="7"/>
      <c r="E400" s="7"/>
      <c r="F400" s="450">
        <f>F401+F406+F453</f>
        <v>36192.410000000003</v>
      </c>
      <c r="G400" s="450">
        <f t="shared" ref="G400" si="192">G401+G406+G453</f>
        <v>24445.166000000001</v>
      </c>
      <c r="H400" s="450">
        <f t="shared" si="191"/>
        <v>67.542244354548359</v>
      </c>
    </row>
    <row r="401" spans="1:8" s="200" customFormat="1" ht="15.75" x14ac:dyDescent="0.25">
      <c r="A401" s="456" t="s">
        <v>141</v>
      </c>
      <c r="B401" s="457" t="s">
        <v>234</v>
      </c>
      <c r="C401" s="457" t="s">
        <v>215</v>
      </c>
      <c r="D401" s="457" t="s">
        <v>866</v>
      </c>
      <c r="E401" s="457"/>
      <c r="F401" s="450">
        <f>F402</f>
        <v>390</v>
      </c>
      <c r="G401" s="450">
        <f t="shared" ref="G401:G404" si="193">G402</f>
        <v>0</v>
      </c>
      <c r="H401" s="450">
        <f t="shared" si="191"/>
        <v>0</v>
      </c>
    </row>
    <row r="402" spans="1:8" s="200" customFormat="1" ht="31.5" x14ac:dyDescent="0.25">
      <c r="A402" s="456" t="s">
        <v>870</v>
      </c>
      <c r="B402" s="457" t="s">
        <v>234</v>
      </c>
      <c r="C402" s="457" t="s">
        <v>215</v>
      </c>
      <c r="D402" s="457" t="s">
        <v>865</v>
      </c>
      <c r="E402" s="457"/>
      <c r="F402" s="450">
        <f>F403</f>
        <v>390</v>
      </c>
      <c r="G402" s="450">
        <f t="shared" si="193"/>
        <v>0</v>
      </c>
      <c r="H402" s="450">
        <f t="shared" si="191"/>
        <v>0</v>
      </c>
    </row>
    <row r="403" spans="1:8" s="200" customFormat="1" ht="15.75" x14ac:dyDescent="0.25">
      <c r="A403" s="458" t="s">
        <v>564</v>
      </c>
      <c r="B403" s="454" t="s">
        <v>234</v>
      </c>
      <c r="C403" s="454" t="s">
        <v>215</v>
      </c>
      <c r="D403" s="454" t="s">
        <v>1075</v>
      </c>
      <c r="E403" s="454"/>
      <c r="F403" s="451">
        <f>F404</f>
        <v>390</v>
      </c>
      <c r="G403" s="451">
        <f t="shared" si="193"/>
        <v>0</v>
      </c>
      <c r="H403" s="451">
        <f t="shared" si="191"/>
        <v>0</v>
      </c>
    </row>
    <row r="404" spans="1:8" s="200" customFormat="1" ht="31.5" x14ac:dyDescent="0.25">
      <c r="A404" s="458" t="s">
        <v>131</v>
      </c>
      <c r="B404" s="454" t="s">
        <v>234</v>
      </c>
      <c r="C404" s="454" t="s">
        <v>215</v>
      </c>
      <c r="D404" s="454" t="s">
        <v>1075</v>
      </c>
      <c r="E404" s="454" t="s">
        <v>132</v>
      </c>
      <c r="F404" s="451">
        <f>F405</f>
        <v>390</v>
      </c>
      <c r="G404" s="451">
        <f t="shared" si="193"/>
        <v>0</v>
      </c>
      <c r="H404" s="451">
        <f t="shared" si="191"/>
        <v>0</v>
      </c>
    </row>
    <row r="405" spans="1:8" s="200" customFormat="1" ht="47.25" x14ac:dyDescent="0.25">
      <c r="A405" s="458" t="s">
        <v>133</v>
      </c>
      <c r="B405" s="454" t="s">
        <v>234</v>
      </c>
      <c r="C405" s="454" t="s">
        <v>215</v>
      </c>
      <c r="D405" s="454" t="s">
        <v>1075</v>
      </c>
      <c r="E405" s="454" t="s">
        <v>134</v>
      </c>
      <c r="F405" s="451">
        <f>'Пр.4 ведом.21'!G1007</f>
        <v>390</v>
      </c>
      <c r="G405" s="451">
        <f>'Пр.4 ведом.21'!H1007</f>
        <v>0</v>
      </c>
      <c r="H405" s="451">
        <f t="shared" si="191"/>
        <v>0</v>
      </c>
    </row>
    <row r="406" spans="1:8" ht="39.4" customHeight="1" x14ac:dyDescent="0.25">
      <c r="A406" s="456" t="s">
        <v>1365</v>
      </c>
      <c r="B406" s="7" t="s">
        <v>234</v>
      </c>
      <c r="C406" s="7" t="s">
        <v>215</v>
      </c>
      <c r="D406" s="7" t="s">
        <v>543</v>
      </c>
      <c r="E406" s="7"/>
      <c r="F406" s="450">
        <f>F407+F411+F438+F445+F449</f>
        <v>11436.9</v>
      </c>
      <c r="G406" s="450">
        <f t="shared" ref="G406" si="194">G407+G411+G438+G445+G449</f>
        <v>1636.4529999999997</v>
      </c>
      <c r="H406" s="450">
        <f t="shared" si="191"/>
        <v>14.308536404095515</v>
      </c>
    </row>
    <row r="407" spans="1:8" s="200" customFormat="1" ht="47.25" hidden="1" x14ac:dyDescent="0.25">
      <c r="A407" s="456" t="s">
        <v>1435</v>
      </c>
      <c r="B407" s="457" t="s">
        <v>234</v>
      </c>
      <c r="C407" s="457" t="s">
        <v>215</v>
      </c>
      <c r="D407" s="457" t="s">
        <v>1274</v>
      </c>
      <c r="E407" s="457"/>
      <c r="F407" s="450">
        <f>F408</f>
        <v>0</v>
      </c>
      <c r="G407" s="450">
        <f t="shared" ref="G407:G409" si="195">G408</f>
        <v>0</v>
      </c>
      <c r="H407" s="450" t="e">
        <f t="shared" si="191"/>
        <v>#DIV/0!</v>
      </c>
    </row>
    <row r="408" spans="1:8" s="200" customFormat="1" ht="31.5" hidden="1" x14ac:dyDescent="0.25">
      <c r="A408" s="309" t="s">
        <v>1436</v>
      </c>
      <c r="B408" s="454" t="s">
        <v>234</v>
      </c>
      <c r="C408" s="454" t="s">
        <v>215</v>
      </c>
      <c r="D408" s="454" t="s">
        <v>1423</v>
      </c>
      <c r="E408" s="454"/>
      <c r="F408" s="459">
        <f>F409</f>
        <v>0</v>
      </c>
      <c r="G408" s="459">
        <f t="shared" si="195"/>
        <v>0</v>
      </c>
      <c r="H408" s="450" t="e">
        <f t="shared" si="191"/>
        <v>#DIV/0!</v>
      </c>
    </row>
    <row r="409" spans="1:8" s="200" customFormat="1" ht="31.5" hidden="1" x14ac:dyDescent="0.25">
      <c r="A409" s="458" t="s">
        <v>131</v>
      </c>
      <c r="B409" s="454" t="s">
        <v>234</v>
      </c>
      <c r="C409" s="454" t="s">
        <v>215</v>
      </c>
      <c r="D409" s="454" t="s">
        <v>1423</v>
      </c>
      <c r="E409" s="454" t="s">
        <v>132</v>
      </c>
      <c r="F409" s="459">
        <f>F410</f>
        <v>0</v>
      </c>
      <c r="G409" s="459">
        <f t="shared" si="195"/>
        <v>0</v>
      </c>
      <c r="H409" s="450" t="e">
        <f t="shared" si="191"/>
        <v>#DIV/0!</v>
      </c>
    </row>
    <row r="410" spans="1:8" s="200" customFormat="1" ht="47.25" hidden="1" x14ac:dyDescent="0.25">
      <c r="A410" s="458" t="s">
        <v>133</v>
      </c>
      <c r="B410" s="454" t="s">
        <v>234</v>
      </c>
      <c r="C410" s="454" t="s">
        <v>215</v>
      </c>
      <c r="D410" s="454" t="s">
        <v>1423</v>
      </c>
      <c r="E410" s="454" t="s">
        <v>134</v>
      </c>
      <c r="F410" s="459">
        <f>'Пр.4 ведом.21'!G1012</f>
        <v>0</v>
      </c>
      <c r="G410" s="459">
        <f>'Пр.4 ведом.21'!H1012</f>
        <v>0</v>
      </c>
      <c r="H410" s="450" t="e">
        <f t="shared" si="191"/>
        <v>#DIV/0!</v>
      </c>
    </row>
    <row r="411" spans="1:8" s="200" customFormat="1" ht="31.5" x14ac:dyDescent="0.25">
      <c r="A411" s="456" t="s">
        <v>1438</v>
      </c>
      <c r="B411" s="457" t="s">
        <v>234</v>
      </c>
      <c r="C411" s="457" t="s">
        <v>215</v>
      </c>
      <c r="D411" s="457" t="s">
        <v>1275</v>
      </c>
      <c r="E411" s="457"/>
      <c r="F411" s="450">
        <f>F412+F415+F421+F424+F427+F432+F435</f>
        <v>4419.3</v>
      </c>
      <c r="G411" s="450">
        <f t="shared" ref="G411" si="196">G412+G415+G421+G424+G427+G432+G435</f>
        <v>1464.8719999999998</v>
      </c>
      <c r="H411" s="450">
        <f t="shared" si="191"/>
        <v>33.147150001131401</v>
      </c>
    </row>
    <row r="412" spans="1:8" ht="24" customHeight="1" x14ac:dyDescent="0.25">
      <c r="A412" s="458" t="s">
        <v>546</v>
      </c>
      <c r="B412" s="454" t="s">
        <v>234</v>
      </c>
      <c r="C412" s="454" t="s">
        <v>215</v>
      </c>
      <c r="D412" s="454" t="s">
        <v>1434</v>
      </c>
      <c r="E412" s="454"/>
      <c r="F412" s="451">
        <f t="shared" ref="F412:G413" si="197">F413</f>
        <v>410.29999999999995</v>
      </c>
      <c r="G412" s="451">
        <f t="shared" si="197"/>
        <v>407.76</v>
      </c>
      <c r="H412" s="451">
        <f t="shared" si="191"/>
        <v>99.38094077504266</v>
      </c>
    </row>
    <row r="413" spans="1:8" ht="31.5" x14ac:dyDescent="0.25">
      <c r="A413" s="458" t="s">
        <v>131</v>
      </c>
      <c r="B413" s="454" t="s">
        <v>234</v>
      </c>
      <c r="C413" s="454" t="s">
        <v>215</v>
      </c>
      <c r="D413" s="454" t="s">
        <v>1434</v>
      </c>
      <c r="E413" s="454" t="s">
        <v>132</v>
      </c>
      <c r="F413" s="451">
        <f t="shared" si="197"/>
        <v>410.29999999999995</v>
      </c>
      <c r="G413" s="451">
        <f t="shared" si="197"/>
        <v>407.76</v>
      </c>
      <c r="H413" s="451">
        <f t="shared" si="191"/>
        <v>99.38094077504266</v>
      </c>
    </row>
    <row r="414" spans="1:8" ht="47.25" x14ac:dyDescent="0.25">
      <c r="A414" s="458" t="s">
        <v>133</v>
      </c>
      <c r="B414" s="454" t="s">
        <v>234</v>
      </c>
      <c r="C414" s="454" t="s">
        <v>215</v>
      </c>
      <c r="D414" s="454" t="s">
        <v>1434</v>
      </c>
      <c r="E414" s="454" t="s">
        <v>134</v>
      </c>
      <c r="F414" s="451">
        <f>'Пр.4 ведом.21'!G1016</f>
        <v>410.29999999999995</v>
      </c>
      <c r="G414" s="451">
        <f>'Пр.4 ведом.21'!H1016</f>
        <v>407.76</v>
      </c>
      <c r="H414" s="451">
        <f t="shared" si="191"/>
        <v>99.38094077504266</v>
      </c>
    </row>
    <row r="415" spans="1:8" ht="15.75" x14ac:dyDescent="0.25">
      <c r="A415" s="458" t="s">
        <v>548</v>
      </c>
      <c r="B415" s="454" t="s">
        <v>234</v>
      </c>
      <c r="C415" s="454" t="s">
        <v>215</v>
      </c>
      <c r="D415" s="454" t="s">
        <v>1422</v>
      </c>
      <c r="E415" s="454"/>
      <c r="F415" s="451">
        <f>F416+F418</f>
        <v>3514</v>
      </c>
      <c r="G415" s="451">
        <f t="shared" ref="G415" si="198">G416+G418</f>
        <v>742.63699999999994</v>
      </c>
      <c r="H415" s="451">
        <f t="shared" si="191"/>
        <v>21.133665338645415</v>
      </c>
    </row>
    <row r="416" spans="1:8" ht="31.5" x14ac:dyDescent="0.25">
      <c r="A416" s="458" t="s">
        <v>131</v>
      </c>
      <c r="B416" s="454" t="s">
        <v>234</v>
      </c>
      <c r="C416" s="454" t="s">
        <v>215</v>
      </c>
      <c r="D416" s="454" t="s">
        <v>1422</v>
      </c>
      <c r="E416" s="454" t="s">
        <v>132</v>
      </c>
      <c r="F416" s="451">
        <f t="shared" ref="F416:G416" si="199">F417</f>
        <v>3514</v>
      </c>
      <c r="G416" s="451">
        <f t="shared" si="199"/>
        <v>742.63699999999994</v>
      </c>
      <c r="H416" s="451">
        <f t="shared" si="191"/>
        <v>21.133665338645415</v>
      </c>
    </row>
    <row r="417" spans="1:8" ht="47.25" x14ac:dyDescent="0.25">
      <c r="A417" s="458" t="s">
        <v>133</v>
      </c>
      <c r="B417" s="454" t="s">
        <v>234</v>
      </c>
      <c r="C417" s="454" t="s">
        <v>215</v>
      </c>
      <c r="D417" s="454" t="s">
        <v>1422</v>
      </c>
      <c r="E417" s="454" t="s">
        <v>134</v>
      </c>
      <c r="F417" s="451">
        <f>'Пр.4 ведом.21'!G1019</f>
        <v>3514</v>
      </c>
      <c r="G417" s="451">
        <f>'Пр.4 ведом.21'!H1019</f>
        <v>742.63699999999994</v>
      </c>
      <c r="H417" s="451">
        <f t="shared" si="191"/>
        <v>21.133665338645415</v>
      </c>
    </row>
    <row r="418" spans="1:8" ht="15.75" hidden="1" x14ac:dyDescent="0.25">
      <c r="A418" s="29" t="s">
        <v>135</v>
      </c>
      <c r="B418" s="454" t="s">
        <v>234</v>
      </c>
      <c r="C418" s="454" t="s">
        <v>215</v>
      </c>
      <c r="D418" s="454" t="s">
        <v>1422</v>
      </c>
      <c r="E418" s="454" t="s">
        <v>145</v>
      </c>
      <c r="F418" s="451">
        <f>F420+F419</f>
        <v>0</v>
      </c>
      <c r="G418" s="451">
        <f t="shared" ref="G418" si="200">G420+G419</f>
        <v>0</v>
      </c>
      <c r="H418" s="451" t="e">
        <f t="shared" si="191"/>
        <v>#DIV/0!</v>
      </c>
    </row>
    <row r="419" spans="1:8" s="200" customFormat="1" ht="47.25" hidden="1" x14ac:dyDescent="0.25">
      <c r="A419" s="458" t="s">
        <v>836</v>
      </c>
      <c r="B419" s="454" t="s">
        <v>234</v>
      </c>
      <c r="C419" s="454" t="s">
        <v>215</v>
      </c>
      <c r="D419" s="454" t="s">
        <v>1422</v>
      </c>
      <c r="E419" s="454" t="s">
        <v>147</v>
      </c>
      <c r="F419" s="451">
        <f>'Пр.4 ведом.21'!G1021</f>
        <v>0</v>
      </c>
      <c r="G419" s="451">
        <f>'Пр.4 ведом.21'!H1021</f>
        <v>0</v>
      </c>
      <c r="H419" s="451" t="e">
        <f t="shared" si="191"/>
        <v>#DIV/0!</v>
      </c>
    </row>
    <row r="420" spans="1:8" ht="15.75" hidden="1" x14ac:dyDescent="0.25">
      <c r="A420" s="29" t="s">
        <v>568</v>
      </c>
      <c r="B420" s="454" t="s">
        <v>234</v>
      </c>
      <c r="C420" s="454" t="s">
        <v>215</v>
      </c>
      <c r="D420" s="454" t="s">
        <v>1422</v>
      </c>
      <c r="E420" s="454" t="s">
        <v>138</v>
      </c>
      <c r="F420" s="451">
        <f>'Пр.4 ведом.21'!G1022</f>
        <v>0</v>
      </c>
      <c r="G420" s="451">
        <f>'Пр.4 ведом.21'!H1022</f>
        <v>0</v>
      </c>
      <c r="H420" s="451" t="e">
        <f t="shared" si="191"/>
        <v>#DIV/0!</v>
      </c>
    </row>
    <row r="421" spans="1:8" ht="15.75" hidden="1" x14ac:dyDescent="0.25">
      <c r="A421" s="458" t="s">
        <v>550</v>
      </c>
      <c r="B421" s="454" t="s">
        <v>234</v>
      </c>
      <c r="C421" s="454" t="s">
        <v>215</v>
      </c>
      <c r="D421" s="454" t="s">
        <v>1299</v>
      </c>
      <c r="E421" s="454"/>
      <c r="F421" s="451">
        <f t="shared" ref="F421:G422" si="201">F422</f>
        <v>0</v>
      </c>
      <c r="G421" s="451">
        <f t="shared" si="201"/>
        <v>0</v>
      </c>
      <c r="H421" s="451" t="e">
        <f t="shared" si="191"/>
        <v>#DIV/0!</v>
      </c>
    </row>
    <row r="422" spans="1:8" ht="31.5" hidden="1" x14ac:dyDescent="0.25">
      <c r="A422" s="458" t="s">
        <v>131</v>
      </c>
      <c r="B422" s="454" t="s">
        <v>234</v>
      </c>
      <c r="C422" s="454" t="s">
        <v>215</v>
      </c>
      <c r="D422" s="454" t="s">
        <v>1299</v>
      </c>
      <c r="E422" s="454" t="s">
        <v>132</v>
      </c>
      <c r="F422" s="451">
        <f t="shared" si="201"/>
        <v>0</v>
      </c>
      <c r="G422" s="451">
        <f t="shared" si="201"/>
        <v>0</v>
      </c>
      <c r="H422" s="451" t="e">
        <f t="shared" si="191"/>
        <v>#DIV/0!</v>
      </c>
    </row>
    <row r="423" spans="1:8" ht="47.25" hidden="1" x14ac:dyDescent="0.25">
      <c r="A423" s="458" t="s">
        <v>133</v>
      </c>
      <c r="B423" s="454" t="s">
        <v>234</v>
      </c>
      <c r="C423" s="454" t="s">
        <v>215</v>
      </c>
      <c r="D423" s="454" t="s">
        <v>1299</v>
      </c>
      <c r="E423" s="454" t="s">
        <v>134</v>
      </c>
      <c r="F423" s="451">
        <f>'Пр.4 ведом.21'!G1025</f>
        <v>0</v>
      </c>
      <c r="G423" s="451">
        <f>'Пр.4 ведом.21'!H1025</f>
        <v>0</v>
      </c>
      <c r="H423" s="451" t="e">
        <f t="shared" si="191"/>
        <v>#DIV/0!</v>
      </c>
    </row>
    <row r="424" spans="1:8" ht="15.75" x14ac:dyDescent="0.25">
      <c r="A424" s="458" t="s">
        <v>555</v>
      </c>
      <c r="B424" s="454" t="s">
        <v>234</v>
      </c>
      <c r="C424" s="454" t="s">
        <v>215</v>
      </c>
      <c r="D424" s="454" t="s">
        <v>1276</v>
      </c>
      <c r="E424" s="454"/>
      <c r="F424" s="451">
        <f t="shared" ref="F424:G425" si="202">F425</f>
        <v>50</v>
      </c>
      <c r="G424" s="451">
        <f t="shared" si="202"/>
        <v>12.6</v>
      </c>
      <c r="H424" s="451">
        <f t="shared" si="191"/>
        <v>25.2</v>
      </c>
    </row>
    <row r="425" spans="1:8" ht="31.5" x14ac:dyDescent="0.25">
      <c r="A425" s="458" t="s">
        <v>131</v>
      </c>
      <c r="B425" s="454" t="s">
        <v>234</v>
      </c>
      <c r="C425" s="454" t="s">
        <v>215</v>
      </c>
      <c r="D425" s="454" t="s">
        <v>1276</v>
      </c>
      <c r="E425" s="454" t="s">
        <v>132</v>
      </c>
      <c r="F425" s="451">
        <f t="shared" si="202"/>
        <v>50</v>
      </c>
      <c r="G425" s="451">
        <f t="shared" si="202"/>
        <v>12.6</v>
      </c>
      <c r="H425" s="451">
        <f t="shared" si="191"/>
        <v>25.2</v>
      </c>
    </row>
    <row r="426" spans="1:8" ht="47.25" x14ac:dyDescent="0.25">
      <c r="A426" s="458" t="s">
        <v>133</v>
      </c>
      <c r="B426" s="454" t="s">
        <v>234</v>
      </c>
      <c r="C426" s="454" t="s">
        <v>215</v>
      </c>
      <c r="D426" s="454" t="s">
        <v>1276</v>
      </c>
      <c r="E426" s="454" t="s">
        <v>134</v>
      </c>
      <c r="F426" s="451">
        <f>'Пр.4 ведом.21'!G1028</f>
        <v>50</v>
      </c>
      <c r="G426" s="451">
        <f>'Пр.4 ведом.21'!H1028</f>
        <v>12.6</v>
      </c>
      <c r="H426" s="451">
        <f t="shared" si="191"/>
        <v>25.2</v>
      </c>
    </row>
    <row r="427" spans="1:8" ht="31.5" x14ac:dyDescent="0.25">
      <c r="A427" s="307" t="s">
        <v>1437</v>
      </c>
      <c r="B427" s="454" t="s">
        <v>234</v>
      </c>
      <c r="C427" s="454" t="s">
        <v>215</v>
      </c>
      <c r="D427" s="454" t="s">
        <v>1277</v>
      </c>
      <c r="E427" s="454"/>
      <c r="F427" s="451">
        <f>F428+F430</f>
        <v>21</v>
      </c>
      <c r="G427" s="451">
        <f t="shared" ref="G427" si="203">G428+G430</f>
        <v>20.420000000000002</v>
      </c>
      <c r="H427" s="451">
        <f t="shared" si="191"/>
        <v>97.238095238095241</v>
      </c>
    </row>
    <row r="428" spans="1:8" ht="31.5" x14ac:dyDescent="0.25">
      <c r="A428" s="458" t="s">
        <v>131</v>
      </c>
      <c r="B428" s="454" t="s">
        <v>234</v>
      </c>
      <c r="C428" s="454" t="s">
        <v>215</v>
      </c>
      <c r="D428" s="454" t="s">
        <v>1277</v>
      </c>
      <c r="E428" s="454" t="s">
        <v>132</v>
      </c>
      <c r="F428" s="451">
        <f t="shared" ref="F428:G428" si="204">F429</f>
        <v>21</v>
      </c>
      <c r="G428" s="451">
        <f t="shared" si="204"/>
        <v>20.420000000000002</v>
      </c>
      <c r="H428" s="451">
        <f t="shared" si="191"/>
        <v>97.238095238095241</v>
      </c>
    </row>
    <row r="429" spans="1:8" ht="47.25" x14ac:dyDescent="0.25">
      <c r="A429" s="458" t="s">
        <v>133</v>
      </c>
      <c r="B429" s="454" t="s">
        <v>234</v>
      </c>
      <c r="C429" s="454" t="s">
        <v>215</v>
      </c>
      <c r="D429" s="454" t="s">
        <v>1277</v>
      </c>
      <c r="E429" s="454" t="s">
        <v>134</v>
      </c>
      <c r="F429" s="451">
        <f>'Пр.4 ведом.21'!G1031</f>
        <v>21</v>
      </c>
      <c r="G429" s="451">
        <f>'Пр.4 ведом.21'!H1031</f>
        <v>20.420000000000002</v>
      </c>
      <c r="H429" s="451">
        <f t="shared" si="191"/>
        <v>97.238095238095241</v>
      </c>
    </row>
    <row r="430" spans="1:8" s="200" customFormat="1" ht="15.75" hidden="1" x14ac:dyDescent="0.25">
      <c r="A430" s="29" t="s">
        <v>135</v>
      </c>
      <c r="B430" s="454" t="s">
        <v>234</v>
      </c>
      <c r="C430" s="454" t="s">
        <v>215</v>
      </c>
      <c r="D430" s="454" t="s">
        <v>1277</v>
      </c>
      <c r="E430" s="454" t="s">
        <v>145</v>
      </c>
      <c r="F430" s="451">
        <f>F431</f>
        <v>0</v>
      </c>
      <c r="G430" s="451">
        <f t="shared" ref="G430" si="205">G431</f>
        <v>0</v>
      </c>
      <c r="H430" s="451" t="e">
        <f t="shared" si="191"/>
        <v>#DIV/0!</v>
      </c>
    </row>
    <row r="431" spans="1:8" s="200" customFormat="1" ht="15.75" hidden="1" x14ac:dyDescent="0.25">
      <c r="A431" s="29" t="s">
        <v>568</v>
      </c>
      <c r="B431" s="454" t="s">
        <v>234</v>
      </c>
      <c r="C431" s="454" t="s">
        <v>215</v>
      </c>
      <c r="D431" s="454" t="s">
        <v>1277</v>
      </c>
      <c r="E431" s="454" t="s">
        <v>138</v>
      </c>
      <c r="F431" s="451">
        <f>'Пр.4 ведом.21'!G1033</f>
        <v>0</v>
      </c>
      <c r="G431" s="451">
        <f>'Пр.4 ведом.21'!H1033</f>
        <v>0</v>
      </c>
      <c r="H431" s="451" t="e">
        <f t="shared" si="191"/>
        <v>#DIV/0!</v>
      </c>
    </row>
    <row r="432" spans="1:8" ht="15.75" hidden="1" x14ac:dyDescent="0.25">
      <c r="A432" s="98" t="s">
        <v>559</v>
      </c>
      <c r="B432" s="454" t="s">
        <v>234</v>
      </c>
      <c r="C432" s="454" t="s">
        <v>215</v>
      </c>
      <c r="D432" s="454" t="s">
        <v>1278</v>
      </c>
      <c r="E432" s="454"/>
      <c r="F432" s="451">
        <f t="shared" ref="F432:G433" si="206">F433</f>
        <v>0</v>
      </c>
      <c r="G432" s="451">
        <f t="shared" si="206"/>
        <v>0</v>
      </c>
      <c r="H432" s="451" t="e">
        <f t="shared" si="191"/>
        <v>#DIV/0!</v>
      </c>
    </row>
    <row r="433" spans="1:8" ht="31.5" hidden="1" x14ac:dyDescent="0.25">
      <c r="A433" s="458" t="s">
        <v>131</v>
      </c>
      <c r="B433" s="454" t="s">
        <v>234</v>
      </c>
      <c r="C433" s="454" t="s">
        <v>215</v>
      </c>
      <c r="D433" s="454" t="s">
        <v>1278</v>
      </c>
      <c r="E433" s="454" t="s">
        <v>132</v>
      </c>
      <c r="F433" s="451">
        <f t="shared" si="206"/>
        <v>0</v>
      </c>
      <c r="G433" s="451">
        <f t="shared" si="206"/>
        <v>0</v>
      </c>
      <c r="H433" s="451" t="e">
        <f t="shared" si="191"/>
        <v>#DIV/0!</v>
      </c>
    </row>
    <row r="434" spans="1:8" ht="47.25" hidden="1" x14ac:dyDescent="0.25">
      <c r="A434" s="458" t="s">
        <v>133</v>
      </c>
      <c r="B434" s="454" t="s">
        <v>234</v>
      </c>
      <c r="C434" s="454" t="s">
        <v>215</v>
      </c>
      <c r="D434" s="454" t="s">
        <v>1278</v>
      </c>
      <c r="E434" s="454" t="s">
        <v>134</v>
      </c>
      <c r="F434" s="451">
        <f>'Пр.4 ведом.21'!G1036</f>
        <v>0</v>
      </c>
      <c r="G434" s="451">
        <f>'Пр.4 ведом.21'!H1036</f>
        <v>0</v>
      </c>
      <c r="H434" s="451" t="e">
        <f t="shared" si="191"/>
        <v>#DIV/0!</v>
      </c>
    </row>
    <row r="435" spans="1:8" s="200" customFormat="1" ht="31.5" x14ac:dyDescent="0.25">
      <c r="A435" s="224" t="s">
        <v>1089</v>
      </c>
      <c r="B435" s="454" t="s">
        <v>234</v>
      </c>
      <c r="C435" s="454" t="s">
        <v>215</v>
      </c>
      <c r="D435" s="454" t="s">
        <v>1279</v>
      </c>
      <c r="E435" s="454"/>
      <c r="F435" s="459">
        <f>F436</f>
        <v>424</v>
      </c>
      <c r="G435" s="459">
        <f t="shared" ref="G435:G436" si="207">G436</f>
        <v>281.45499999999998</v>
      </c>
      <c r="H435" s="451">
        <f t="shared" si="191"/>
        <v>66.380896226415089</v>
      </c>
    </row>
    <row r="436" spans="1:8" s="200" customFormat="1" ht="31.5" x14ac:dyDescent="0.25">
      <c r="A436" s="458" t="s">
        <v>131</v>
      </c>
      <c r="B436" s="454" t="s">
        <v>234</v>
      </c>
      <c r="C436" s="454" t="s">
        <v>215</v>
      </c>
      <c r="D436" s="454" t="s">
        <v>1279</v>
      </c>
      <c r="E436" s="454" t="s">
        <v>132</v>
      </c>
      <c r="F436" s="459">
        <f>F437</f>
        <v>424</v>
      </c>
      <c r="G436" s="459">
        <f t="shared" si="207"/>
        <v>281.45499999999998</v>
      </c>
      <c r="H436" s="451">
        <f t="shared" si="191"/>
        <v>66.380896226415089</v>
      </c>
    </row>
    <row r="437" spans="1:8" s="200" customFormat="1" ht="47.25" x14ac:dyDescent="0.25">
      <c r="A437" s="458" t="s">
        <v>133</v>
      </c>
      <c r="B437" s="454" t="s">
        <v>234</v>
      </c>
      <c r="C437" s="454" t="s">
        <v>215</v>
      </c>
      <c r="D437" s="454" t="s">
        <v>1279</v>
      </c>
      <c r="E437" s="454" t="s">
        <v>134</v>
      </c>
      <c r="F437" s="459">
        <f>'Пр.4 ведом.21'!G1039</f>
        <v>424</v>
      </c>
      <c r="G437" s="459">
        <f>'Пр.4 ведом.21'!H1039</f>
        <v>281.45499999999998</v>
      </c>
      <c r="H437" s="451">
        <f t="shared" si="191"/>
        <v>66.380896226415089</v>
      </c>
    </row>
    <row r="438" spans="1:8" s="200" customFormat="1" ht="31.5" x14ac:dyDescent="0.25">
      <c r="A438" s="456" t="s">
        <v>891</v>
      </c>
      <c r="B438" s="7" t="s">
        <v>234</v>
      </c>
      <c r="C438" s="7" t="s">
        <v>215</v>
      </c>
      <c r="D438" s="457" t="s">
        <v>1297</v>
      </c>
      <c r="E438" s="457"/>
      <c r="F438" s="450">
        <f>F439+F442</f>
        <v>1857.2</v>
      </c>
      <c r="G438" s="450">
        <f t="shared" ref="G438" si="208">G439+G442</f>
        <v>171.58099999999999</v>
      </c>
      <c r="H438" s="450">
        <f t="shared" si="191"/>
        <v>9.2386926556105955</v>
      </c>
    </row>
    <row r="439" spans="1:8" s="200" customFormat="1" ht="31.5" hidden="1" x14ac:dyDescent="0.25">
      <c r="A439" s="458" t="s">
        <v>690</v>
      </c>
      <c r="B439" s="454" t="s">
        <v>234</v>
      </c>
      <c r="C439" s="454" t="s">
        <v>215</v>
      </c>
      <c r="D439" s="454" t="s">
        <v>1328</v>
      </c>
      <c r="E439" s="454"/>
      <c r="F439" s="451">
        <f t="shared" ref="F439:G440" si="209">F440</f>
        <v>0</v>
      </c>
      <c r="G439" s="451">
        <f t="shared" si="209"/>
        <v>0</v>
      </c>
      <c r="H439" s="451" t="e">
        <f t="shared" si="191"/>
        <v>#DIV/0!</v>
      </c>
    </row>
    <row r="440" spans="1:8" s="200" customFormat="1" ht="31.5" hidden="1" x14ac:dyDescent="0.25">
      <c r="A440" s="458" t="s">
        <v>131</v>
      </c>
      <c r="B440" s="454" t="s">
        <v>234</v>
      </c>
      <c r="C440" s="454" t="s">
        <v>215</v>
      </c>
      <c r="D440" s="454" t="s">
        <v>1328</v>
      </c>
      <c r="E440" s="454" t="s">
        <v>132</v>
      </c>
      <c r="F440" s="451">
        <f>F441</f>
        <v>0</v>
      </c>
      <c r="G440" s="451">
        <f t="shared" si="209"/>
        <v>0</v>
      </c>
      <c r="H440" s="451" t="e">
        <f t="shared" si="191"/>
        <v>#DIV/0!</v>
      </c>
    </row>
    <row r="441" spans="1:8" s="200" customFormat="1" ht="47.25" hidden="1" x14ac:dyDescent="0.25">
      <c r="A441" s="458" t="s">
        <v>133</v>
      </c>
      <c r="B441" s="454" t="s">
        <v>234</v>
      </c>
      <c r="C441" s="454" t="s">
        <v>215</v>
      </c>
      <c r="D441" s="454" t="s">
        <v>1328</v>
      </c>
      <c r="E441" s="454" t="s">
        <v>134</v>
      </c>
      <c r="F441" s="451">
        <f>'Пр.4 ведом.21'!G1043</f>
        <v>0</v>
      </c>
      <c r="G441" s="451">
        <f>'Пр.4 ведом.21'!H1043</f>
        <v>0</v>
      </c>
      <c r="H441" s="451" t="e">
        <f t="shared" si="191"/>
        <v>#DIV/0!</v>
      </c>
    </row>
    <row r="442" spans="1:8" s="200" customFormat="1" ht="63" x14ac:dyDescent="0.25">
      <c r="A442" s="458" t="s">
        <v>1071</v>
      </c>
      <c r="B442" s="454" t="s">
        <v>234</v>
      </c>
      <c r="C442" s="454" t="s">
        <v>215</v>
      </c>
      <c r="D442" s="454" t="s">
        <v>1296</v>
      </c>
      <c r="E442" s="454"/>
      <c r="F442" s="451">
        <f>F443</f>
        <v>1857.2</v>
      </c>
      <c r="G442" s="451">
        <f t="shared" ref="G442:G443" si="210">G443</f>
        <v>171.58099999999999</v>
      </c>
      <c r="H442" s="451">
        <f t="shared" si="191"/>
        <v>9.2386926556105955</v>
      </c>
    </row>
    <row r="443" spans="1:8" s="200" customFormat="1" ht="31.5" x14ac:dyDescent="0.25">
      <c r="A443" s="458" t="s">
        <v>131</v>
      </c>
      <c r="B443" s="454" t="s">
        <v>234</v>
      </c>
      <c r="C443" s="454" t="s">
        <v>215</v>
      </c>
      <c r="D443" s="454" t="s">
        <v>1296</v>
      </c>
      <c r="E443" s="454" t="s">
        <v>132</v>
      </c>
      <c r="F443" s="451">
        <f>F444</f>
        <v>1857.2</v>
      </c>
      <c r="G443" s="451">
        <f t="shared" si="210"/>
        <v>171.58099999999999</v>
      </c>
      <c r="H443" s="451">
        <f t="shared" si="191"/>
        <v>9.2386926556105955</v>
      </c>
    </row>
    <row r="444" spans="1:8" s="200" customFormat="1" ht="47.25" x14ac:dyDescent="0.25">
      <c r="A444" s="458" t="s">
        <v>133</v>
      </c>
      <c r="B444" s="454" t="s">
        <v>234</v>
      </c>
      <c r="C444" s="454" t="s">
        <v>215</v>
      </c>
      <c r="D444" s="454" t="s">
        <v>1296</v>
      </c>
      <c r="E444" s="454" t="s">
        <v>134</v>
      </c>
      <c r="F444" s="451">
        <f>'Пр.4 ведом.21'!G1046</f>
        <v>1857.2</v>
      </c>
      <c r="G444" s="451">
        <f>'Пр.4 ведом.21'!H1046</f>
        <v>171.58099999999999</v>
      </c>
      <c r="H444" s="451">
        <f t="shared" si="191"/>
        <v>9.2386926556105955</v>
      </c>
    </row>
    <row r="445" spans="1:8" s="449" customFormat="1" ht="31.5" x14ac:dyDescent="0.25">
      <c r="A445" s="34" t="s">
        <v>1688</v>
      </c>
      <c r="B445" s="457" t="s">
        <v>234</v>
      </c>
      <c r="C445" s="457" t="s">
        <v>215</v>
      </c>
      <c r="D445" s="457" t="s">
        <v>1689</v>
      </c>
      <c r="E445" s="457"/>
      <c r="F445" s="450">
        <f>F446</f>
        <v>523.20000000000005</v>
      </c>
      <c r="G445" s="450">
        <f t="shared" ref="G445:G447" si="211">G446</f>
        <v>0</v>
      </c>
      <c r="H445" s="450">
        <f t="shared" si="191"/>
        <v>0</v>
      </c>
    </row>
    <row r="446" spans="1:8" s="449" customFormat="1" ht="31.5" x14ac:dyDescent="0.25">
      <c r="A446" s="31" t="s">
        <v>1687</v>
      </c>
      <c r="B446" s="454" t="s">
        <v>234</v>
      </c>
      <c r="C446" s="454" t="s">
        <v>215</v>
      </c>
      <c r="D446" s="454" t="s">
        <v>1690</v>
      </c>
      <c r="E446" s="454"/>
      <c r="F446" s="451">
        <f>F447</f>
        <v>523.20000000000005</v>
      </c>
      <c r="G446" s="451">
        <f t="shared" si="211"/>
        <v>0</v>
      </c>
      <c r="H446" s="451">
        <f t="shared" si="191"/>
        <v>0</v>
      </c>
    </row>
    <row r="447" spans="1:8" s="449" customFormat="1" ht="31.5" x14ac:dyDescent="0.25">
      <c r="A447" s="458" t="s">
        <v>131</v>
      </c>
      <c r="B447" s="454" t="s">
        <v>234</v>
      </c>
      <c r="C447" s="454" t="s">
        <v>215</v>
      </c>
      <c r="D447" s="454" t="s">
        <v>1690</v>
      </c>
      <c r="E447" s="454" t="s">
        <v>132</v>
      </c>
      <c r="F447" s="451">
        <f>F448</f>
        <v>523.20000000000005</v>
      </c>
      <c r="G447" s="451">
        <f t="shared" si="211"/>
        <v>0</v>
      </c>
      <c r="H447" s="451">
        <f t="shared" si="191"/>
        <v>0</v>
      </c>
    </row>
    <row r="448" spans="1:8" s="449" customFormat="1" ht="47.25" x14ac:dyDescent="0.25">
      <c r="A448" s="458" t="s">
        <v>133</v>
      </c>
      <c r="B448" s="454" t="s">
        <v>234</v>
      </c>
      <c r="C448" s="454" t="s">
        <v>215</v>
      </c>
      <c r="D448" s="454" t="s">
        <v>1690</v>
      </c>
      <c r="E448" s="454" t="s">
        <v>134</v>
      </c>
      <c r="F448" s="451">
        <f>'Пр.4 ведом.21'!G1050</f>
        <v>523.20000000000005</v>
      </c>
      <c r="G448" s="451">
        <f>'Пр.4 ведом.21'!H1050</f>
        <v>0</v>
      </c>
      <c r="H448" s="451">
        <f t="shared" si="191"/>
        <v>0</v>
      </c>
    </row>
    <row r="449" spans="1:8" s="449" customFormat="1" ht="47.25" x14ac:dyDescent="0.25">
      <c r="A449" s="34" t="s">
        <v>1720</v>
      </c>
      <c r="B449" s="457" t="s">
        <v>234</v>
      </c>
      <c r="C449" s="457" t="s">
        <v>215</v>
      </c>
      <c r="D449" s="457" t="s">
        <v>1717</v>
      </c>
      <c r="E449" s="457"/>
      <c r="F449" s="450">
        <f>F450</f>
        <v>4637.2</v>
      </c>
      <c r="G449" s="450">
        <f t="shared" ref="G449:G451" si="212">G450</f>
        <v>0</v>
      </c>
      <c r="H449" s="450">
        <f t="shared" si="191"/>
        <v>0</v>
      </c>
    </row>
    <row r="450" spans="1:8" s="449" customFormat="1" ht="47.25" x14ac:dyDescent="0.25">
      <c r="A450" s="31" t="s">
        <v>1718</v>
      </c>
      <c r="B450" s="454" t="s">
        <v>234</v>
      </c>
      <c r="C450" s="454" t="s">
        <v>215</v>
      </c>
      <c r="D450" s="454" t="s">
        <v>1731</v>
      </c>
      <c r="E450" s="454"/>
      <c r="F450" s="451">
        <f>F451</f>
        <v>4637.2</v>
      </c>
      <c r="G450" s="451">
        <f t="shared" si="212"/>
        <v>0</v>
      </c>
      <c r="H450" s="451">
        <f t="shared" si="191"/>
        <v>0</v>
      </c>
    </row>
    <row r="451" spans="1:8" s="449" customFormat="1" ht="31.5" x14ac:dyDescent="0.25">
      <c r="A451" s="458" t="s">
        <v>131</v>
      </c>
      <c r="B451" s="454" t="s">
        <v>234</v>
      </c>
      <c r="C451" s="454" t="s">
        <v>215</v>
      </c>
      <c r="D451" s="454" t="s">
        <v>1731</v>
      </c>
      <c r="E451" s="454" t="s">
        <v>132</v>
      </c>
      <c r="F451" s="451">
        <f>F452</f>
        <v>4637.2</v>
      </c>
      <c r="G451" s="451">
        <f t="shared" si="212"/>
        <v>0</v>
      </c>
      <c r="H451" s="451">
        <f t="shared" si="191"/>
        <v>0</v>
      </c>
    </row>
    <row r="452" spans="1:8" s="449" customFormat="1" ht="33.75" customHeight="1" x14ac:dyDescent="0.25">
      <c r="A452" s="458" t="s">
        <v>133</v>
      </c>
      <c r="B452" s="454" t="s">
        <v>234</v>
      </c>
      <c r="C452" s="454" t="s">
        <v>215</v>
      </c>
      <c r="D452" s="454" t="s">
        <v>1731</v>
      </c>
      <c r="E452" s="454" t="s">
        <v>134</v>
      </c>
      <c r="F452" s="451">
        <f>'Пр.4 ведом.21'!G1054</f>
        <v>4637.2</v>
      </c>
      <c r="G452" s="451">
        <f>'Пр.4 ведом.21'!H1054</f>
        <v>0</v>
      </c>
      <c r="H452" s="451">
        <f t="shared" si="191"/>
        <v>0</v>
      </c>
    </row>
    <row r="453" spans="1:8" ht="63" x14ac:dyDescent="0.25">
      <c r="A453" s="456" t="s">
        <v>1538</v>
      </c>
      <c r="B453" s="457" t="s">
        <v>234</v>
      </c>
      <c r="C453" s="457" t="s">
        <v>215</v>
      </c>
      <c r="D453" s="457" t="s">
        <v>711</v>
      </c>
      <c r="E453" s="457"/>
      <c r="F453" s="450">
        <f>F455+F459</f>
        <v>24365.510000000002</v>
      </c>
      <c r="G453" s="450">
        <f t="shared" ref="G453" si="213">G455+G459</f>
        <v>22808.713</v>
      </c>
      <c r="H453" s="450">
        <f t="shared" si="191"/>
        <v>93.610652927026763</v>
      </c>
    </row>
    <row r="454" spans="1:8" s="200" customFormat="1" ht="31.5" x14ac:dyDescent="0.25">
      <c r="A454" s="456" t="s">
        <v>1067</v>
      </c>
      <c r="B454" s="457" t="s">
        <v>234</v>
      </c>
      <c r="C454" s="457" t="s">
        <v>215</v>
      </c>
      <c r="D454" s="457" t="s">
        <v>835</v>
      </c>
      <c r="E454" s="454"/>
      <c r="F454" s="450">
        <f>F455</f>
        <v>22809.004000000001</v>
      </c>
      <c r="G454" s="450">
        <f t="shared" ref="G454" si="214">G455</f>
        <v>22808.713</v>
      </c>
      <c r="H454" s="450">
        <f t="shared" si="191"/>
        <v>99.998724188044335</v>
      </c>
    </row>
    <row r="455" spans="1:8" ht="31.5" x14ac:dyDescent="0.25">
      <c r="A455" s="248" t="s">
        <v>710</v>
      </c>
      <c r="B455" s="454" t="s">
        <v>234</v>
      </c>
      <c r="C455" s="454" t="s">
        <v>215</v>
      </c>
      <c r="D455" s="454" t="s">
        <v>835</v>
      </c>
      <c r="E455" s="454"/>
      <c r="F455" s="451">
        <f t="shared" ref="F455:G456" si="215">F456</f>
        <v>22809.004000000001</v>
      </c>
      <c r="G455" s="451">
        <f t="shared" si="215"/>
        <v>22808.713</v>
      </c>
      <c r="H455" s="451">
        <f t="shared" si="191"/>
        <v>99.998724188044335</v>
      </c>
    </row>
    <row r="456" spans="1:8" ht="31.5" x14ac:dyDescent="0.25">
      <c r="A456" s="458" t="s">
        <v>131</v>
      </c>
      <c r="B456" s="454" t="s">
        <v>234</v>
      </c>
      <c r="C456" s="454" t="s">
        <v>215</v>
      </c>
      <c r="D456" s="454" t="s">
        <v>835</v>
      </c>
      <c r="E456" s="454" t="s">
        <v>132</v>
      </c>
      <c r="F456" s="451">
        <f t="shared" si="215"/>
        <v>22809.004000000001</v>
      </c>
      <c r="G456" s="451">
        <f t="shared" si="215"/>
        <v>22808.713</v>
      </c>
      <c r="H456" s="451">
        <f t="shared" si="191"/>
        <v>99.998724188044335</v>
      </c>
    </row>
    <row r="457" spans="1:8" ht="47.25" x14ac:dyDescent="0.25">
      <c r="A457" s="458" t="s">
        <v>133</v>
      </c>
      <c r="B457" s="454" t="s">
        <v>234</v>
      </c>
      <c r="C457" s="454" t="s">
        <v>215</v>
      </c>
      <c r="D457" s="454" t="s">
        <v>835</v>
      </c>
      <c r="E457" s="454" t="s">
        <v>134</v>
      </c>
      <c r="F457" s="451">
        <f>'Пр.4 ведом.21'!G1059</f>
        <v>22809.004000000001</v>
      </c>
      <c r="G457" s="451">
        <f>'Пр.4 ведом.21'!H1059</f>
        <v>22808.713</v>
      </c>
      <c r="H457" s="451">
        <f t="shared" si="191"/>
        <v>99.998724188044335</v>
      </c>
    </row>
    <row r="458" spans="1:8" s="184" customFormat="1" ht="110.25" x14ac:dyDescent="0.25">
      <c r="A458" s="456" t="s">
        <v>1725</v>
      </c>
      <c r="B458" s="457" t="s">
        <v>234</v>
      </c>
      <c r="C458" s="457" t="s">
        <v>215</v>
      </c>
      <c r="D458" s="457" t="s">
        <v>1726</v>
      </c>
      <c r="E458" s="457"/>
      <c r="F458" s="450">
        <f>F459</f>
        <v>1556.5060000000001</v>
      </c>
      <c r="G458" s="450">
        <f t="shared" ref="G458:G460" si="216">G459</f>
        <v>0</v>
      </c>
      <c r="H458" s="450">
        <f t="shared" si="191"/>
        <v>0</v>
      </c>
    </row>
    <row r="459" spans="1:8" s="121" customFormat="1" ht="47.25" x14ac:dyDescent="0.25">
      <c r="A459" s="80" t="s">
        <v>693</v>
      </c>
      <c r="B459" s="454" t="s">
        <v>234</v>
      </c>
      <c r="C459" s="454" t="s">
        <v>215</v>
      </c>
      <c r="D459" s="454" t="s">
        <v>1727</v>
      </c>
      <c r="E459" s="454"/>
      <c r="F459" s="451">
        <f>F460</f>
        <v>1556.5060000000001</v>
      </c>
      <c r="G459" s="451">
        <f t="shared" si="216"/>
        <v>0</v>
      </c>
      <c r="H459" s="451">
        <f t="shared" ref="H459:H522" si="217">G459/F459*100</f>
        <v>0</v>
      </c>
    </row>
    <row r="460" spans="1:8" s="449" customFormat="1" ht="31.5" x14ac:dyDescent="0.25">
      <c r="A460" s="458" t="s">
        <v>131</v>
      </c>
      <c r="B460" s="454" t="s">
        <v>234</v>
      </c>
      <c r="C460" s="454" t="s">
        <v>215</v>
      </c>
      <c r="D460" s="454" t="s">
        <v>1727</v>
      </c>
      <c r="E460" s="454" t="s">
        <v>132</v>
      </c>
      <c r="F460" s="451">
        <f>F461</f>
        <v>1556.5060000000001</v>
      </c>
      <c r="G460" s="451">
        <f t="shared" si="216"/>
        <v>0</v>
      </c>
      <c r="H460" s="451">
        <f t="shared" si="217"/>
        <v>0</v>
      </c>
    </row>
    <row r="461" spans="1:8" s="449" customFormat="1" ht="47.25" x14ac:dyDescent="0.25">
      <c r="A461" s="458" t="s">
        <v>133</v>
      </c>
      <c r="B461" s="454" t="s">
        <v>234</v>
      </c>
      <c r="C461" s="454" t="s">
        <v>215</v>
      </c>
      <c r="D461" s="454" t="s">
        <v>1727</v>
      </c>
      <c r="E461" s="454" t="s">
        <v>134</v>
      </c>
      <c r="F461" s="451">
        <f>'Пр.4 ведом.21'!G1063</f>
        <v>1556.5060000000001</v>
      </c>
      <c r="G461" s="451">
        <f>'Пр.4 ведом.21'!H1063</f>
        <v>0</v>
      </c>
      <c r="H461" s="451">
        <f t="shared" si="217"/>
        <v>0</v>
      </c>
    </row>
    <row r="462" spans="1:8" ht="31.5" x14ac:dyDescent="0.25">
      <c r="A462" s="462" t="s">
        <v>569</v>
      </c>
      <c r="B462" s="7" t="s">
        <v>234</v>
      </c>
      <c r="C462" s="7" t="s">
        <v>234</v>
      </c>
      <c r="D462" s="7"/>
      <c r="E462" s="7"/>
      <c r="F462" s="450">
        <f>F463+F475+F498</f>
        <v>43546.899999999994</v>
      </c>
      <c r="G462" s="450">
        <f t="shared" ref="G462" si="218">G463+G475+G498</f>
        <v>33883.18649</v>
      </c>
      <c r="H462" s="450">
        <f t="shared" si="217"/>
        <v>77.808492659638233</v>
      </c>
    </row>
    <row r="463" spans="1:8" ht="31.5" x14ac:dyDescent="0.25">
      <c r="A463" s="456" t="s">
        <v>917</v>
      </c>
      <c r="B463" s="457" t="s">
        <v>234</v>
      </c>
      <c r="C463" s="457" t="s">
        <v>234</v>
      </c>
      <c r="D463" s="457" t="s">
        <v>858</v>
      </c>
      <c r="E463" s="457"/>
      <c r="F463" s="450">
        <f>F464</f>
        <v>12041.099999999999</v>
      </c>
      <c r="G463" s="450">
        <f t="shared" ref="G463" si="219">G464</f>
        <v>10250.901229999999</v>
      </c>
      <c r="H463" s="450">
        <f t="shared" si="217"/>
        <v>85.132597769306798</v>
      </c>
    </row>
    <row r="464" spans="1:8" ht="15.75" x14ac:dyDescent="0.25">
      <c r="A464" s="456" t="s">
        <v>918</v>
      </c>
      <c r="B464" s="457" t="s">
        <v>234</v>
      </c>
      <c r="C464" s="457" t="s">
        <v>234</v>
      </c>
      <c r="D464" s="457" t="s">
        <v>859</v>
      </c>
      <c r="E464" s="457"/>
      <c r="F464" s="450">
        <f>F465+F472</f>
        <v>12041.099999999999</v>
      </c>
      <c r="G464" s="450">
        <f t="shared" ref="G464" si="220">G465+G472</f>
        <v>10250.901229999999</v>
      </c>
      <c r="H464" s="450">
        <f t="shared" si="217"/>
        <v>85.132597769306798</v>
      </c>
    </row>
    <row r="465" spans="1:8" ht="31.5" x14ac:dyDescent="0.25">
      <c r="A465" s="458" t="s">
        <v>897</v>
      </c>
      <c r="B465" s="454" t="s">
        <v>234</v>
      </c>
      <c r="C465" s="454" t="s">
        <v>234</v>
      </c>
      <c r="D465" s="454" t="s">
        <v>860</v>
      </c>
      <c r="E465" s="454"/>
      <c r="F465" s="451">
        <f t="shared" ref="F465:G465" si="221">F466+F468+F470</f>
        <v>11641.999999999998</v>
      </c>
      <c r="G465" s="451">
        <f t="shared" si="221"/>
        <v>9851.7623299999996</v>
      </c>
      <c r="H465" s="451">
        <f t="shared" si="217"/>
        <v>84.622593454732879</v>
      </c>
    </row>
    <row r="466" spans="1:8" ht="81.75" customHeight="1" x14ac:dyDescent="0.25">
      <c r="A466" s="458" t="s">
        <v>127</v>
      </c>
      <c r="B466" s="454" t="s">
        <v>234</v>
      </c>
      <c r="C466" s="454" t="s">
        <v>234</v>
      </c>
      <c r="D466" s="454" t="s">
        <v>860</v>
      </c>
      <c r="E466" s="454" t="s">
        <v>128</v>
      </c>
      <c r="F466" s="360">
        <f t="shared" ref="F466:G466" si="222">F467</f>
        <v>11571.099999999999</v>
      </c>
      <c r="G466" s="360">
        <f t="shared" si="222"/>
        <v>9823.9831799999993</v>
      </c>
      <c r="H466" s="451">
        <f t="shared" si="217"/>
        <v>84.901030844085696</v>
      </c>
    </row>
    <row r="467" spans="1:8" ht="31.5" x14ac:dyDescent="0.25">
      <c r="A467" s="458" t="s">
        <v>129</v>
      </c>
      <c r="B467" s="454" t="s">
        <v>234</v>
      </c>
      <c r="C467" s="454" t="s">
        <v>234</v>
      </c>
      <c r="D467" s="454" t="s">
        <v>860</v>
      </c>
      <c r="E467" s="454" t="s">
        <v>130</v>
      </c>
      <c r="F467" s="360">
        <f>'Пр.4 ведом.21'!G1069</f>
        <v>11571.099999999999</v>
      </c>
      <c r="G467" s="360">
        <f>'Пр.4 ведом.21'!H1069</f>
        <v>9823.9831799999993</v>
      </c>
      <c r="H467" s="451">
        <f t="shared" si="217"/>
        <v>84.901030844085696</v>
      </c>
    </row>
    <row r="468" spans="1:8" ht="31.5" x14ac:dyDescent="0.25">
      <c r="A468" s="458" t="s">
        <v>131</v>
      </c>
      <c r="B468" s="454" t="s">
        <v>234</v>
      </c>
      <c r="C468" s="454" t="s">
        <v>234</v>
      </c>
      <c r="D468" s="454" t="s">
        <v>860</v>
      </c>
      <c r="E468" s="454" t="s">
        <v>132</v>
      </c>
      <c r="F468" s="360">
        <f t="shared" ref="F468:G468" si="223">F469</f>
        <v>25</v>
      </c>
      <c r="G468" s="360">
        <f t="shared" si="223"/>
        <v>0</v>
      </c>
      <c r="H468" s="451">
        <f t="shared" si="217"/>
        <v>0</v>
      </c>
    </row>
    <row r="469" spans="1:8" ht="47.25" x14ac:dyDescent="0.25">
      <c r="A469" s="458" t="s">
        <v>133</v>
      </c>
      <c r="B469" s="454" t="s">
        <v>234</v>
      </c>
      <c r="C469" s="454" t="s">
        <v>234</v>
      </c>
      <c r="D469" s="454" t="s">
        <v>860</v>
      </c>
      <c r="E469" s="454" t="s">
        <v>134</v>
      </c>
      <c r="F469" s="360">
        <f>'Пр.4 ведом.21'!G1071</f>
        <v>25</v>
      </c>
      <c r="G469" s="360">
        <f>'Пр.4 ведом.21'!H1071</f>
        <v>0</v>
      </c>
      <c r="H469" s="451">
        <f t="shared" si="217"/>
        <v>0</v>
      </c>
    </row>
    <row r="470" spans="1:8" ht="15.75" x14ac:dyDescent="0.25">
      <c r="A470" s="458" t="s">
        <v>135</v>
      </c>
      <c r="B470" s="454" t="s">
        <v>234</v>
      </c>
      <c r="C470" s="454" t="s">
        <v>234</v>
      </c>
      <c r="D470" s="454" t="s">
        <v>860</v>
      </c>
      <c r="E470" s="454" t="s">
        <v>145</v>
      </c>
      <c r="F470" s="360">
        <f t="shared" ref="F470:G470" si="224">F471</f>
        <v>45.9</v>
      </c>
      <c r="G470" s="360">
        <f t="shared" si="224"/>
        <v>27.779150000000001</v>
      </c>
      <c r="H470" s="451">
        <f t="shared" si="217"/>
        <v>60.521023965141616</v>
      </c>
    </row>
    <row r="471" spans="1:8" ht="15.75" x14ac:dyDescent="0.25">
      <c r="A471" s="458" t="s">
        <v>568</v>
      </c>
      <c r="B471" s="454" t="s">
        <v>234</v>
      </c>
      <c r="C471" s="454" t="s">
        <v>234</v>
      </c>
      <c r="D471" s="454" t="s">
        <v>860</v>
      </c>
      <c r="E471" s="454" t="s">
        <v>138</v>
      </c>
      <c r="F471" s="360">
        <f>'Пр.4 ведом.21'!G1073</f>
        <v>45.9</v>
      </c>
      <c r="G471" s="360">
        <f>'Пр.4 ведом.21'!H1073</f>
        <v>27.779150000000001</v>
      </c>
      <c r="H471" s="451">
        <f t="shared" si="217"/>
        <v>60.521023965141616</v>
      </c>
    </row>
    <row r="472" spans="1:8" s="200" customFormat="1" ht="47.25" x14ac:dyDescent="0.25">
      <c r="A472" s="458" t="s">
        <v>839</v>
      </c>
      <c r="B472" s="454" t="s">
        <v>234</v>
      </c>
      <c r="C472" s="454" t="s">
        <v>234</v>
      </c>
      <c r="D472" s="454" t="s">
        <v>862</v>
      </c>
      <c r="E472" s="454"/>
      <c r="F472" s="360">
        <f>F473</f>
        <v>399.1</v>
      </c>
      <c r="G472" s="360">
        <f t="shared" ref="G472:G473" si="225">G473</f>
        <v>399.13889999999998</v>
      </c>
      <c r="H472" s="451">
        <f t="shared" si="217"/>
        <v>100.00974693059383</v>
      </c>
    </row>
    <row r="473" spans="1:8" s="200" customFormat="1" ht="78.75" x14ac:dyDescent="0.25">
      <c r="A473" s="458" t="s">
        <v>127</v>
      </c>
      <c r="B473" s="454" t="s">
        <v>234</v>
      </c>
      <c r="C473" s="454" t="s">
        <v>234</v>
      </c>
      <c r="D473" s="454" t="s">
        <v>862</v>
      </c>
      <c r="E473" s="454" t="s">
        <v>128</v>
      </c>
      <c r="F473" s="360">
        <f>F474</f>
        <v>399.1</v>
      </c>
      <c r="G473" s="360">
        <f t="shared" si="225"/>
        <v>399.13889999999998</v>
      </c>
      <c r="H473" s="451">
        <f t="shared" si="217"/>
        <v>100.00974693059383</v>
      </c>
    </row>
    <row r="474" spans="1:8" s="200" customFormat="1" ht="31.5" x14ac:dyDescent="0.25">
      <c r="A474" s="458" t="s">
        <v>129</v>
      </c>
      <c r="B474" s="454" t="s">
        <v>234</v>
      </c>
      <c r="C474" s="454" t="s">
        <v>234</v>
      </c>
      <c r="D474" s="454" t="s">
        <v>862</v>
      </c>
      <c r="E474" s="454" t="s">
        <v>130</v>
      </c>
      <c r="F474" s="360">
        <f>'Пр.4 ведом.21'!G1076</f>
        <v>399.1</v>
      </c>
      <c r="G474" s="360">
        <f>'Пр.4 ведом.21'!H1076</f>
        <v>399.13889999999998</v>
      </c>
      <c r="H474" s="451">
        <f t="shared" si="217"/>
        <v>100.00974693059383</v>
      </c>
    </row>
    <row r="475" spans="1:8" ht="15.75" x14ac:dyDescent="0.25">
      <c r="A475" s="456" t="s">
        <v>141</v>
      </c>
      <c r="B475" s="457" t="s">
        <v>234</v>
      </c>
      <c r="C475" s="457" t="s">
        <v>234</v>
      </c>
      <c r="D475" s="457" t="s">
        <v>866</v>
      </c>
      <c r="E475" s="457"/>
      <c r="F475" s="450">
        <f>F476+F489</f>
        <v>31505.8</v>
      </c>
      <c r="G475" s="450">
        <f t="shared" ref="G475" si="226">G476+G489</f>
        <v>23632.285260000001</v>
      </c>
      <c r="H475" s="450">
        <f t="shared" si="217"/>
        <v>75.009316570282309</v>
      </c>
    </row>
    <row r="476" spans="1:8" ht="31.5" x14ac:dyDescent="0.25">
      <c r="A476" s="456" t="s">
        <v>870</v>
      </c>
      <c r="B476" s="457" t="s">
        <v>234</v>
      </c>
      <c r="C476" s="457" t="s">
        <v>234</v>
      </c>
      <c r="D476" s="457" t="s">
        <v>865</v>
      </c>
      <c r="E476" s="457"/>
      <c r="F476" s="362">
        <f>F477+F484</f>
        <v>21195.8</v>
      </c>
      <c r="G476" s="362">
        <f t="shared" ref="G476" si="227">G477+G484</f>
        <v>15806.682000000001</v>
      </c>
      <c r="H476" s="450">
        <f t="shared" si="217"/>
        <v>74.574594966927421</v>
      </c>
    </row>
    <row r="477" spans="1:8" ht="31.5" x14ac:dyDescent="0.25">
      <c r="A477" s="458" t="s">
        <v>570</v>
      </c>
      <c r="B477" s="454" t="s">
        <v>234</v>
      </c>
      <c r="C477" s="454" t="s">
        <v>234</v>
      </c>
      <c r="D477" s="454" t="s">
        <v>984</v>
      </c>
      <c r="E477" s="454"/>
      <c r="F477" s="360">
        <f>F480+F478</f>
        <v>12095.8</v>
      </c>
      <c r="G477" s="360">
        <f t="shared" ref="G477" si="228">G480+G478</f>
        <v>9706.6820000000007</v>
      </c>
      <c r="H477" s="451">
        <f t="shared" si="217"/>
        <v>80.248367201838661</v>
      </c>
    </row>
    <row r="478" spans="1:8" s="200" customFormat="1" ht="19.5" hidden="1" customHeight="1" x14ac:dyDescent="0.25">
      <c r="A478" s="31" t="s">
        <v>248</v>
      </c>
      <c r="B478" s="454" t="s">
        <v>234</v>
      </c>
      <c r="C478" s="454" t="s">
        <v>234</v>
      </c>
      <c r="D478" s="454" t="s">
        <v>984</v>
      </c>
      <c r="E478" s="454" t="s">
        <v>249</v>
      </c>
      <c r="F478" s="360">
        <f>F479</f>
        <v>0</v>
      </c>
      <c r="G478" s="360">
        <f t="shared" ref="G478" si="229">G479</f>
        <v>0</v>
      </c>
      <c r="H478" s="451" t="e">
        <f t="shared" si="217"/>
        <v>#DIV/0!</v>
      </c>
    </row>
    <row r="479" spans="1:8" s="200" customFormat="1" ht="15.75" hidden="1" x14ac:dyDescent="0.25">
      <c r="A479" s="458" t="s">
        <v>1542</v>
      </c>
      <c r="B479" s="454" t="s">
        <v>234</v>
      </c>
      <c r="C479" s="454" t="s">
        <v>234</v>
      </c>
      <c r="D479" s="454" t="s">
        <v>984</v>
      </c>
      <c r="E479" s="454" t="s">
        <v>1544</v>
      </c>
      <c r="F479" s="360">
        <f>'Пр.4 ведом.21'!G1081</f>
        <v>0</v>
      </c>
      <c r="G479" s="360">
        <f>'Пр.4 ведом.21'!H1081</f>
        <v>0</v>
      </c>
      <c r="H479" s="451" t="e">
        <f t="shared" si="217"/>
        <v>#DIV/0!</v>
      </c>
    </row>
    <row r="480" spans="1:8" ht="15.75" x14ac:dyDescent="0.25">
      <c r="A480" s="458" t="s">
        <v>135</v>
      </c>
      <c r="B480" s="454" t="s">
        <v>234</v>
      </c>
      <c r="C480" s="454" t="s">
        <v>234</v>
      </c>
      <c r="D480" s="454" t="s">
        <v>984</v>
      </c>
      <c r="E480" s="454" t="s">
        <v>145</v>
      </c>
      <c r="F480" s="360">
        <f>F481+F482+F483</f>
        <v>12095.8</v>
      </c>
      <c r="G480" s="360">
        <f t="shared" ref="G480" si="230">G481+G482+G483</f>
        <v>9706.6820000000007</v>
      </c>
      <c r="H480" s="451">
        <f t="shared" si="217"/>
        <v>80.248367201838661</v>
      </c>
    </row>
    <row r="481" spans="1:8" ht="47.25" x14ac:dyDescent="0.25">
      <c r="A481" s="458" t="s">
        <v>184</v>
      </c>
      <c r="B481" s="454" t="s">
        <v>234</v>
      </c>
      <c r="C481" s="454" t="s">
        <v>234</v>
      </c>
      <c r="D481" s="454" t="s">
        <v>984</v>
      </c>
      <c r="E481" s="454" t="s">
        <v>160</v>
      </c>
      <c r="F481" s="451">
        <f>'Пр.4 ведом.21'!G1083</f>
        <v>982</v>
      </c>
      <c r="G481" s="451">
        <f>'Пр.4 ведом.21'!H1083</f>
        <v>695.923</v>
      </c>
      <c r="H481" s="451">
        <f t="shared" si="217"/>
        <v>70.867922606924651</v>
      </c>
    </row>
    <row r="482" spans="1:8" s="449" customFormat="1" ht="15.75" x14ac:dyDescent="0.25">
      <c r="A482" s="458" t="s">
        <v>704</v>
      </c>
      <c r="B482" s="454" t="s">
        <v>234</v>
      </c>
      <c r="C482" s="454" t="s">
        <v>234</v>
      </c>
      <c r="D482" s="454" t="s">
        <v>984</v>
      </c>
      <c r="E482" s="454" t="s">
        <v>138</v>
      </c>
      <c r="F482" s="451">
        <f>'Пр.4 ведом.21'!G1084</f>
        <v>11113.8</v>
      </c>
      <c r="G482" s="451">
        <f>'Пр.4 ведом.21'!H1084</f>
        <v>9010.759</v>
      </c>
      <c r="H482" s="451">
        <f t="shared" si="217"/>
        <v>81.077210315103756</v>
      </c>
    </row>
    <row r="483" spans="1:8" s="449" customFormat="1" ht="15.75" hidden="1" x14ac:dyDescent="0.25">
      <c r="A483" s="458" t="s">
        <v>1694</v>
      </c>
      <c r="B483" s="454" t="s">
        <v>234</v>
      </c>
      <c r="C483" s="454" t="s">
        <v>234</v>
      </c>
      <c r="D483" s="454" t="s">
        <v>984</v>
      </c>
      <c r="E483" s="454" t="s">
        <v>1695</v>
      </c>
      <c r="F483" s="451">
        <f>'Пр.4 ведом.21'!G1085</f>
        <v>0</v>
      </c>
      <c r="G483" s="451">
        <f>'Пр.4 ведом.21'!H1085</f>
        <v>0</v>
      </c>
      <c r="H483" s="451" t="e">
        <f t="shared" si="217"/>
        <v>#DIV/0!</v>
      </c>
    </row>
    <row r="484" spans="1:8" ht="31.5" x14ac:dyDescent="0.25">
      <c r="A484" s="458" t="s">
        <v>1710</v>
      </c>
      <c r="B484" s="454" t="s">
        <v>234</v>
      </c>
      <c r="C484" s="454" t="s">
        <v>234</v>
      </c>
      <c r="D484" s="454" t="s">
        <v>1711</v>
      </c>
      <c r="E484" s="454"/>
      <c r="F484" s="360">
        <f>F485+F487</f>
        <v>9100</v>
      </c>
      <c r="G484" s="360">
        <f t="shared" ref="G484" si="231">G485+G487</f>
        <v>6100</v>
      </c>
      <c r="H484" s="451">
        <f t="shared" si="217"/>
        <v>67.032967032967022</v>
      </c>
    </row>
    <row r="485" spans="1:8" ht="15.75" x14ac:dyDescent="0.25">
      <c r="A485" s="458" t="s">
        <v>1713</v>
      </c>
      <c r="B485" s="454" t="s">
        <v>234</v>
      </c>
      <c r="C485" s="454" t="s">
        <v>234</v>
      </c>
      <c r="D485" s="454" t="s">
        <v>1711</v>
      </c>
      <c r="E485" s="454" t="s">
        <v>837</v>
      </c>
      <c r="F485" s="360">
        <f>F486</f>
        <v>100</v>
      </c>
      <c r="G485" s="360">
        <f t="shared" ref="G485" si="232">G486</f>
        <v>100</v>
      </c>
      <c r="H485" s="451">
        <f t="shared" si="217"/>
        <v>100</v>
      </c>
    </row>
    <row r="486" spans="1:8" ht="31.5" x14ac:dyDescent="0.25">
      <c r="A486" s="458" t="s">
        <v>838</v>
      </c>
      <c r="B486" s="454" t="s">
        <v>234</v>
      </c>
      <c r="C486" s="454" t="s">
        <v>234</v>
      </c>
      <c r="D486" s="454" t="s">
        <v>1711</v>
      </c>
      <c r="E486" s="454" t="s">
        <v>1714</v>
      </c>
      <c r="F486" s="360">
        <f>'Пр.4 ведом.21'!G1090</f>
        <v>100</v>
      </c>
      <c r="G486" s="360">
        <f>'Пр.4 ведом.21'!H1090</f>
        <v>100</v>
      </c>
      <c r="H486" s="451">
        <f t="shared" si="217"/>
        <v>100</v>
      </c>
    </row>
    <row r="487" spans="1:8" s="449" customFormat="1" ht="15.75" x14ac:dyDescent="0.25">
      <c r="A487" s="458" t="s">
        <v>135</v>
      </c>
      <c r="B487" s="454" t="s">
        <v>234</v>
      </c>
      <c r="C487" s="454" t="s">
        <v>234</v>
      </c>
      <c r="D487" s="454" t="s">
        <v>1711</v>
      </c>
      <c r="E487" s="454" t="s">
        <v>145</v>
      </c>
      <c r="F487" s="360">
        <f>F488</f>
        <v>9000</v>
      </c>
      <c r="G487" s="360">
        <f t="shared" ref="G487" si="233">G488</f>
        <v>6000</v>
      </c>
      <c r="H487" s="451">
        <f t="shared" si="217"/>
        <v>66.666666666666657</v>
      </c>
    </row>
    <row r="488" spans="1:8" s="449" customFormat="1" ht="47.25" x14ac:dyDescent="0.25">
      <c r="A488" s="458" t="s">
        <v>184</v>
      </c>
      <c r="B488" s="454" t="s">
        <v>234</v>
      </c>
      <c r="C488" s="454" t="s">
        <v>234</v>
      </c>
      <c r="D488" s="454" t="s">
        <v>1711</v>
      </c>
      <c r="E488" s="454" t="s">
        <v>160</v>
      </c>
      <c r="F488" s="360">
        <f>'Пр.4 ведом.21'!G1092</f>
        <v>9000</v>
      </c>
      <c r="G488" s="360">
        <f>'Пр.4 ведом.21'!H1092</f>
        <v>6000</v>
      </c>
      <c r="H488" s="451">
        <f t="shared" si="217"/>
        <v>66.666666666666657</v>
      </c>
    </row>
    <row r="489" spans="1:8" ht="31.5" x14ac:dyDescent="0.25">
      <c r="A489" s="456" t="s">
        <v>929</v>
      </c>
      <c r="B489" s="457" t="s">
        <v>234</v>
      </c>
      <c r="C489" s="457" t="s">
        <v>234</v>
      </c>
      <c r="D489" s="457" t="s">
        <v>914</v>
      </c>
      <c r="E489" s="457"/>
      <c r="F489" s="362">
        <f>F490+F495</f>
        <v>10310</v>
      </c>
      <c r="G489" s="362">
        <f t="shared" ref="G489" si="234">G490+G495</f>
        <v>7825.6032599999999</v>
      </c>
      <c r="H489" s="450">
        <f t="shared" si="217"/>
        <v>75.90303840931135</v>
      </c>
    </row>
    <row r="490" spans="1:8" ht="31.5" x14ac:dyDescent="0.25">
      <c r="A490" s="458" t="s">
        <v>903</v>
      </c>
      <c r="B490" s="454" t="s">
        <v>234</v>
      </c>
      <c r="C490" s="454" t="s">
        <v>234</v>
      </c>
      <c r="D490" s="454" t="s">
        <v>915</v>
      </c>
      <c r="E490" s="454"/>
      <c r="F490" s="360">
        <f>F491+F493</f>
        <v>9712</v>
      </c>
      <c r="G490" s="360">
        <f t="shared" ref="G490" si="235">G491+G493</f>
        <v>7482.0904499999997</v>
      </c>
      <c r="H490" s="451">
        <f t="shared" si="217"/>
        <v>77.039646313838546</v>
      </c>
    </row>
    <row r="491" spans="1:8" ht="78.75" x14ac:dyDescent="0.25">
      <c r="A491" s="458" t="s">
        <v>127</v>
      </c>
      <c r="B491" s="454" t="s">
        <v>234</v>
      </c>
      <c r="C491" s="454" t="s">
        <v>234</v>
      </c>
      <c r="D491" s="454" t="s">
        <v>915</v>
      </c>
      <c r="E491" s="454" t="s">
        <v>128</v>
      </c>
      <c r="F491" s="360">
        <f>F492</f>
        <v>7850.6</v>
      </c>
      <c r="G491" s="360">
        <f t="shared" ref="G491" si="236">G492</f>
        <v>6176.2529100000002</v>
      </c>
      <c r="H491" s="451">
        <f t="shared" si="217"/>
        <v>78.672367844495966</v>
      </c>
    </row>
    <row r="492" spans="1:8" ht="21.75" customHeight="1" x14ac:dyDescent="0.25">
      <c r="A492" s="458" t="s">
        <v>342</v>
      </c>
      <c r="B492" s="454" t="s">
        <v>234</v>
      </c>
      <c r="C492" s="454" t="s">
        <v>234</v>
      </c>
      <c r="D492" s="454" t="s">
        <v>915</v>
      </c>
      <c r="E492" s="454" t="s">
        <v>209</v>
      </c>
      <c r="F492" s="360">
        <f>'Пр.4 ведом.21'!G1096</f>
        <v>7850.6</v>
      </c>
      <c r="G492" s="360">
        <f>'Пр.4 ведом.21'!H1096</f>
        <v>6176.2529100000002</v>
      </c>
      <c r="H492" s="451">
        <f t="shared" si="217"/>
        <v>78.672367844495966</v>
      </c>
    </row>
    <row r="493" spans="1:8" s="200" customFormat="1" ht="31.5" x14ac:dyDescent="0.25">
      <c r="A493" s="458" t="s">
        <v>131</v>
      </c>
      <c r="B493" s="454" t="s">
        <v>234</v>
      </c>
      <c r="C493" s="454" t="s">
        <v>234</v>
      </c>
      <c r="D493" s="454" t="s">
        <v>915</v>
      </c>
      <c r="E493" s="454" t="s">
        <v>132</v>
      </c>
      <c r="F493" s="360">
        <f>F494</f>
        <v>1861.4</v>
      </c>
      <c r="G493" s="360">
        <f t="shared" ref="G493" si="237">G494</f>
        <v>1305.83754</v>
      </c>
      <c r="H493" s="451">
        <f t="shared" si="217"/>
        <v>70.153515633394221</v>
      </c>
    </row>
    <row r="494" spans="1:8" s="200" customFormat="1" ht="47.25" x14ac:dyDescent="0.25">
      <c r="A494" s="458" t="s">
        <v>133</v>
      </c>
      <c r="B494" s="454" t="s">
        <v>234</v>
      </c>
      <c r="C494" s="454" t="s">
        <v>234</v>
      </c>
      <c r="D494" s="454" t="s">
        <v>915</v>
      </c>
      <c r="E494" s="454" t="s">
        <v>134</v>
      </c>
      <c r="F494" s="360">
        <f>'Пр.4 ведом.21'!G1098</f>
        <v>1861.4</v>
      </c>
      <c r="G494" s="360">
        <f>'Пр.4 ведом.21'!H1098</f>
        <v>1305.83754</v>
      </c>
      <c r="H494" s="451">
        <f t="shared" si="217"/>
        <v>70.153515633394221</v>
      </c>
    </row>
    <row r="495" spans="1:8" s="200" customFormat="1" ht="47.25" x14ac:dyDescent="0.25">
      <c r="A495" s="458" t="s">
        <v>839</v>
      </c>
      <c r="B495" s="454" t="s">
        <v>234</v>
      </c>
      <c r="C495" s="454" t="s">
        <v>234</v>
      </c>
      <c r="D495" s="454" t="s">
        <v>916</v>
      </c>
      <c r="E495" s="454"/>
      <c r="F495" s="360">
        <f>F496</f>
        <v>598</v>
      </c>
      <c r="G495" s="360">
        <f t="shared" ref="G495:G496" si="238">G496</f>
        <v>343.51281</v>
      </c>
      <c r="H495" s="451">
        <f t="shared" si="217"/>
        <v>57.443613712374585</v>
      </c>
    </row>
    <row r="496" spans="1:8" s="200" customFormat="1" ht="78.75" x14ac:dyDescent="0.25">
      <c r="A496" s="458" t="s">
        <v>127</v>
      </c>
      <c r="B496" s="454" t="s">
        <v>234</v>
      </c>
      <c r="C496" s="454" t="s">
        <v>234</v>
      </c>
      <c r="D496" s="454" t="s">
        <v>916</v>
      </c>
      <c r="E496" s="454" t="s">
        <v>128</v>
      </c>
      <c r="F496" s="360">
        <f>F497</f>
        <v>598</v>
      </c>
      <c r="G496" s="360">
        <f t="shared" si="238"/>
        <v>343.51281</v>
      </c>
      <c r="H496" s="451">
        <f t="shared" si="217"/>
        <v>57.443613712374585</v>
      </c>
    </row>
    <row r="497" spans="1:12" s="200" customFormat="1" ht="31.5" x14ac:dyDescent="0.25">
      <c r="A497" s="458" t="s">
        <v>129</v>
      </c>
      <c r="B497" s="454" t="s">
        <v>234</v>
      </c>
      <c r="C497" s="454" t="s">
        <v>234</v>
      </c>
      <c r="D497" s="454" t="s">
        <v>916</v>
      </c>
      <c r="E497" s="454" t="s">
        <v>130</v>
      </c>
      <c r="F497" s="360">
        <f>'Пр.4 ведом.21'!G1101</f>
        <v>598</v>
      </c>
      <c r="G497" s="360">
        <f>'Пр.4 ведом.21'!H1101</f>
        <v>343.51281</v>
      </c>
      <c r="H497" s="451">
        <f t="shared" si="217"/>
        <v>57.443613712374585</v>
      </c>
    </row>
    <row r="498" spans="1:12" s="200" customFormat="1" ht="47.25" hidden="1" x14ac:dyDescent="0.25">
      <c r="A498" s="34" t="s">
        <v>1379</v>
      </c>
      <c r="B498" s="457" t="s">
        <v>234</v>
      </c>
      <c r="C498" s="457" t="s">
        <v>234</v>
      </c>
      <c r="D498" s="457" t="s">
        <v>324</v>
      </c>
      <c r="E498" s="457"/>
      <c r="F498" s="455">
        <f>F499</f>
        <v>0</v>
      </c>
      <c r="G498" s="455">
        <f t="shared" ref="G498:G501" si="239">G499</f>
        <v>0</v>
      </c>
      <c r="H498" s="451" t="e">
        <f t="shared" si="217"/>
        <v>#DIV/0!</v>
      </c>
    </row>
    <row r="499" spans="1:12" s="200" customFormat="1" ht="63" hidden="1" x14ac:dyDescent="0.25">
      <c r="A499" s="34" t="s">
        <v>1009</v>
      </c>
      <c r="B499" s="457" t="s">
        <v>234</v>
      </c>
      <c r="C499" s="457" t="s">
        <v>234</v>
      </c>
      <c r="D499" s="457" t="s">
        <v>934</v>
      </c>
      <c r="E499" s="457"/>
      <c r="F499" s="455">
        <f>F500</f>
        <v>0</v>
      </c>
      <c r="G499" s="455">
        <f t="shared" si="239"/>
        <v>0</v>
      </c>
      <c r="H499" s="451" t="e">
        <f t="shared" si="217"/>
        <v>#DIV/0!</v>
      </c>
    </row>
    <row r="500" spans="1:12" s="200" customFormat="1" ht="47.25" hidden="1" x14ac:dyDescent="0.25">
      <c r="A500" s="31" t="s">
        <v>1081</v>
      </c>
      <c r="B500" s="454" t="s">
        <v>234</v>
      </c>
      <c r="C500" s="454" t="s">
        <v>234</v>
      </c>
      <c r="D500" s="454" t="s">
        <v>1026</v>
      </c>
      <c r="E500" s="454"/>
      <c r="F500" s="459">
        <f>F501</f>
        <v>0</v>
      </c>
      <c r="G500" s="459">
        <f t="shared" si="239"/>
        <v>0</v>
      </c>
      <c r="H500" s="451" t="e">
        <f t="shared" si="217"/>
        <v>#DIV/0!</v>
      </c>
    </row>
    <row r="501" spans="1:12" s="200" customFormat="1" ht="31.5" hidden="1" x14ac:dyDescent="0.25">
      <c r="A501" s="458" t="s">
        <v>131</v>
      </c>
      <c r="B501" s="454" t="s">
        <v>234</v>
      </c>
      <c r="C501" s="454" t="s">
        <v>234</v>
      </c>
      <c r="D501" s="454" t="s">
        <v>1026</v>
      </c>
      <c r="E501" s="454" t="s">
        <v>132</v>
      </c>
      <c r="F501" s="459">
        <f>F502</f>
        <v>0</v>
      </c>
      <c r="G501" s="459">
        <f t="shared" si="239"/>
        <v>0</v>
      </c>
      <c r="H501" s="451" t="e">
        <f t="shared" si="217"/>
        <v>#DIV/0!</v>
      </c>
    </row>
    <row r="502" spans="1:12" s="200" customFormat="1" ht="47.25" hidden="1" x14ac:dyDescent="0.25">
      <c r="A502" s="458" t="s">
        <v>133</v>
      </c>
      <c r="B502" s="454" t="s">
        <v>234</v>
      </c>
      <c r="C502" s="454" t="s">
        <v>234</v>
      </c>
      <c r="D502" s="454" t="s">
        <v>1026</v>
      </c>
      <c r="E502" s="454" t="s">
        <v>134</v>
      </c>
      <c r="F502" s="459">
        <f>'Пр.4 ведом.21'!G1106</f>
        <v>0</v>
      </c>
      <c r="G502" s="459">
        <f>'Пр.4 ведом.21'!H1106</f>
        <v>0</v>
      </c>
      <c r="H502" s="451" t="e">
        <f t="shared" si="217"/>
        <v>#DIV/0!</v>
      </c>
    </row>
    <row r="503" spans="1:12" ht="15.75" x14ac:dyDescent="0.25">
      <c r="A503" s="462" t="s">
        <v>263</v>
      </c>
      <c r="B503" s="7" t="s">
        <v>264</v>
      </c>
      <c r="C503" s="461"/>
      <c r="D503" s="461"/>
      <c r="E503" s="461"/>
      <c r="F503" s="450">
        <f>F504+F569+F760+F660+F735</f>
        <v>411387.5</v>
      </c>
      <c r="G503" s="450">
        <f t="shared" ref="G503" si="240">G504+G569+G760+G660+G735</f>
        <v>292392.85154</v>
      </c>
      <c r="H503" s="450">
        <f t="shared" si="217"/>
        <v>71.074802112363642</v>
      </c>
      <c r="K503" s="227">
        <f>F503-F510-F575-F669-F712-'Пр.4 ведом.21'!P1148-'Пр.4 ведом.21'!R1148-'Пр.4 ведом.21'!S1148-'Пр.4 ведом.21'!L1158-'Пр.4 ведом.21'!M1158-'Пр.4 ведом.21'!N1158-'Пр.4 ведом.21'!O1158-'Пр.4 ведом.21'!P1158-'Пр.4 ведом.21'!Q1158-'Пр.4 ведом.21'!R1158-'Пр.4 ведом.21'!S1158-'Пр.4 ведом.21'!T1158</f>
        <v>148209.25999999998</v>
      </c>
      <c r="L503" s="227">
        <f>F510+F544+F548+F575+F615+F619+F623+F627+F631+F643+F647+F666+F669+F696+F712+F757-'Пр.4 ведом.21'!P1147-'Пр.4 ведом.21'!R1147-'Пр.4 ведом.21'!S1147-'Пр.4 ведом.21'!L1157-'Пр.4 ведом.21'!M1157-'Пр.4 ведом.21'!N1157-'Пр.4 ведом.21'!O1157-'Пр.4 ведом.21'!P1157-'Пр.4 ведом.21'!Q1157-'Пр.4 ведом.21'!R1157-'Пр.4 ведом.21'!S1157-'Пр.4 ведом.21'!T1157</f>
        <v>263178.23999999987</v>
      </c>
    </row>
    <row r="504" spans="1:12" ht="15.75" x14ac:dyDescent="0.25">
      <c r="A504" s="462" t="s">
        <v>404</v>
      </c>
      <c r="B504" s="7" t="s">
        <v>264</v>
      </c>
      <c r="C504" s="7" t="s">
        <v>118</v>
      </c>
      <c r="D504" s="7"/>
      <c r="E504" s="7"/>
      <c r="F504" s="450">
        <f>F505+F559+F564</f>
        <v>124425.075</v>
      </c>
      <c r="G504" s="450">
        <f t="shared" ref="G504" si="241">G505+G559+G564</f>
        <v>86911.696700000015</v>
      </c>
      <c r="H504" s="450">
        <f t="shared" si="217"/>
        <v>69.850628339986955</v>
      </c>
    </row>
    <row r="505" spans="1:12" ht="40.700000000000003" customHeight="1" x14ac:dyDescent="0.25">
      <c r="A505" s="456" t="s">
        <v>1380</v>
      </c>
      <c r="B505" s="457" t="s">
        <v>264</v>
      </c>
      <c r="C505" s="457" t="s">
        <v>118</v>
      </c>
      <c r="D505" s="457" t="s">
        <v>406</v>
      </c>
      <c r="E505" s="457"/>
      <c r="F505" s="450">
        <f>F506+F510+F523+F533+F543+F547+F551+F555</f>
        <v>123753.875</v>
      </c>
      <c r="G505" s="450">
        <f t="shared" ref="G505" si="242">G506+G510+G523+G533+G543+G547+G551+G555</f>
        <v>86424.681900000011</v>
      </c>
      <c r="H505" s="450">
        <f t="shared" si="217"/>
        <v>69.835940005919014</v>
      </c>
    </row>
    <row r="506" spans="1:12" s="200" customFormat="1" ht="31.5" x14ac:dyDescent="0.25">
      <c r="A506" s="456" t="s">
        <v>937</v>
      </c>
      <c r="B506" s="457" t="s">
        <v>264</v>
      </c>
      <c r="C506" s="457" t="s">
        <v>118</v>
      </c>
      <c r="D506" s="457" t="s">
        <v>1231</v>
      </c>
      <c r="E506" s="457"/>
      <c r="F506" s="450">
        <f>F507</f>
        <v>14838.4</v>
      </c>
      <c r="G506" s="450">
        <f t="shared" ref="G506:G508" si="243">G507</f>
        <v>8713.8919999999998</v>
      </c>
      <c r="H506" s="450">
        <f t="shared" si="217"/>
        <v>58.725280353676943</v>
      </c>
    </row>
    <row r="507" spans="1:12" ht="42.75" customHeight="1" x14ac:dyDescent="0.25">
      <c r="A507" s="458" t="s">
        <v>1230</v>
      </c>
      <c r="B507" s="454" t="s">
        <v>264</v>
      </c>
      <c r="C507" s="454" t="s">
        <v>118</v>
      </c>
      <c r="D507" s="454" t="s">
        <v>1232</v>
      </c>
      <c r="E507" s="454"/>
      <c r="F507" s="451">
        <f>F508</f>
        <v>14838.4</v>
      </c>
      <c r="G507" s="451">
        <f t="shared" si="243"/>
        <v>8713.8919999999998</v>
      </c>
      <c r="H507" s="451">
        <f t="shared" si="217"/>
        <v>58.725280353676943</v>
      </c>
    </row>
    <row r="508" spans="1:12" ht="40.700000000000003" customHeight="1" x14ac:dyDescent="0.25">
      <c r="A508" s="458" t="s">
        <v>272</v>
      </c>
      <c r="B508" s="454" t="s">
        <v>264</v>
      </c>
      <c r="C508" s="454" t="s">
        <v>118</v>
      </c>
      <c r="D508" s="454" t="s">
        <v>1232</v>
      </c>
      <c r="E508" s="454" t="s">
        <v>273</v>
      </c>
      <c r="F508" s="451">
        <f>F509</f>
        <v>14838.4</v>
      </c>
      <c r="G508" s="451">
        <f t="shared" si="243"/>
        <v>8713.8919999999998</v>
      </c>
      <c r="H508" s="451">
        <f t="shared" si="217"/>
        <v>58.725280353676943</v>
      </c>
    </row>
    <row r="509" spans="1:12" ht="15.75" x14ac:dyDescent="0.25">
      <c r="A509" s="458" t="s">
        <v>274</v>
      </c>
      <c r="B509" s="454" t="s">
        <v>264</v>
      </c>
      <c r="C509" s="454" t="s">
        <v>118</v>
      </c>
      <c r="D509" s="454" t="s">
        <v>1232</v>
      </c>
      <c r="E509" s="454" t="s">
        <v>275</v>
      </c>
      <c r="F509" s="360">
        <f>'Пр.4 ведом.21'!G575</f>
        <v>14838.4</v>
      </c>
      <c r="G509" s="360">
        <f>'Пр.4 ведом.21'!H575</f>
        <v>8713.8919999999998</v>
      </c>
      <c r="H509" s="451">
        <f t="shared" si="217"/>
        <v>58.725280353676943</v>
      </c>
    </row>
    <row r="510" spans="1:12" ht="47.25" x14ac:dyDescent="0.25">
      <c r="A510" s="456" t="s">
        <v>900</v>
      </c>
      <c r="B510" s="457" t="s">
        <v>264</v>
      </c>
      <c r="C510" s="457" t="s">
        <v>118</v>
      </c>
      <c r="D510" s="457" t="s">
        <v>1233</v>
      </c>
      <c r="E510" s="457"/>
      <c r="F510" s="450">
        <f>F514+F517+F520+F511</f>
        <v>95135.87</v>
      </c>
      <c r="G510" s="450">
        <f t="shared" ref="G510" si="244">G514+G517+G520+G511</f>
        <v>67566.053</v>
      </c>
      <c r="H510" s="450">
        <f t="shared" si="217"/>
        <v>71.020586662002458</v>
      </c>
    </row>
    <row r="511" spans="1:12" s="200" customFormat="1" ht="94.5" x14ac:dyDescent="0.25">
      <c r="A511" s="31" t="s">
        <v>293</v>
      </c>
      <c r="B511" s="454" t="s">
        <v>264</v>
      </c>
      <c r="C511" s="454" t="s">
        <v>118</v>
      </c>
      <c r="D511" s="454" t="s">
        <v>1393</v>
      </c>
      <c r="E511" s="454"/>
      <c r="F511" s="451">
        <f t="shared" ref="F511:G512" si="245">F512</f>
        <v>3230</v>
      </c>
      <c r="G511" s="451">
        <f t="shared" si="245"/>
        <v>2416</v>
      </c>
      <c r="H511" s="451">
        <f t="shared" si="217"/>
        <v>74.798761609907118</v>
      </c>
    </row>
    <row r="512" spans="1:12" s="200" customFormat="1" ht="47.25" x14ac:dyDescent="0.25">
      <c r="A512" s="458" t="s">
        <v>272</v>
      </c>
      <c r="B512" s="454" t="s">
        <v>264</v>
      </c>
      <c r="C512" s="454" t="s">
        <v>118</v>
      </c>
      <c r="D512" s="454" t="s">
        <v>1393</v>
      </c>
      <c r="E512" s="454" t="s">
        <v>273</v>
      </c>
      <c r="F512" s="451">
        <f t="shared" si="245"/>
        <v>3230</v>
      </c>
      <c r="G512" s="451">
        <f t="shared" si="245"/>
        <v>2416</v>
      </c>
      <c r="H512" s="451">
        <f t="shared" si="217"/>
        <v>74.798761609907118</v>
      </c>
    </row>
    <row r="513" spans="1:8" s="200" customFormat="1" ht="15.75" x14ac:dyDescent="0.25">
      <c r="A513" s="458" t="s">
        <v>274</v>
      </c>
      <c r="B513" s="454" t="s">
        <v>264</v>
      </c>
      <c r="C513" s="454" t="s">
        <v>118</v>
      </c>
      <c r="D513" s="454" t="s">
        <v>1393</v>
      </c>
      <c r="E513" s="454" t="s">
        <v>275</v>
      </c>
      <c r="F513" s="451">
        <f>'Пр.4 ведом.21'!G579</f>
        <v>3230</v>
      </c>
      <c r="G513" s="451">
        <f>'Пр.4 ведом.21'!H579</f>
        <v>2416</v>
      </c>
      <c r="H513" s="451">
        <f t="shared" si="217"/>
        <v>74.798761609907118</v>
      </c>
    </row>
    <row r="514" spans="1:8" ht="47.25" customHeight="1" x14ac:dyDescent="0.25">
      <c r="A514" s="31" t="s">
        <v>289</v>
      </c>
      <c r="B514" s="454" t="s">
        <v>264</v>
      </c>
      <c r="C514" s="454" t="s">
        <v>118</v>
      </c>
      <c r="D514" s="454" t="s">
        <v>1234</v>
      </c>
      <c r="E514" s="454"/>
      <c r="F514" s="451">
        <f t="shared" ref="F514:G515" si="246">F515</f>
        <v>589</v>
      </c>
      <c r="G514" s="451">
        <f t="shared" si="246"/>
        <v>372</v>
      </c>
      <c r="H514" s="451">
        <f t="shared" si="217"/>
        <v>63.157894736842103</v>
      </c>
    </row>
    <row r="515" spans="1:8" ht="39.75" customHeight="1" x14ac:dyDescent="0.25">
      <c r="A515" s="458" t="s">
        <v>272</v>
      </c>
      <c r="B515" s="454" t="s">
        <v>264</v>
      </c>
      <c r="C515" s="454" t="s">
        <v>118</v>
      </c>
      <c r="D515" s="454" t="s">
        <v>1234</v>
      </c>
      <c r="E515" s="454" t="s">
        <v>273</v>
      </c>
      <c r="F515" s="451">
        <f t="shared" si="246"/>
        <v>589</v>
      </c>
      <c r="G515" s="451">
        <f t="shared" si="246"/>
        <v>372</v>
      </c>
      <c r="H515" s="451">
        <f t="shared" si="217"/>
        <v>63.157894736842103</v>
      </c>
    </row>
    <row r="516" spans="1:8" ht="15.75" customHeight="1" x14ac:dyDescent="0.25">
      <c r="A516" s="458" t="s">
        <v>274</v>
      </c>
      <c r="B516" s="454" t="s">
        <v>264</v>
      </c>
      <c r="C516" s="454" t="s">
        <v>118</v>
      </c>
      <c r="D516" s="454" t="s">
        <v>1234</v>
      </c>
      <c r="E516" s="454" t="s">
        <v>275</v>
      </c>
      <c r="F516" s="451">
        <f>'Пр.4 ведом.21'!G582</f>
        <v>589</v>
      </c>
      <c r="G516" s="451">
        <f>'Пр.4 ведом.21'!H582</f>
        <v>372</v>
      </c>
      <c r="H516" s="451">
        <f t="shared" si="217"/>
        <v>63.157894736842103</v>
      </c>
    </row>
    <row r="517" spans="1:8" ht="71.45" customHeight="1" x14ac:dyDescent="0.25">
      <c r="A517" s="31" t="s">
        <v>291</v>
      </c>
      <c r="B517" s="454" t="s">
        <v>264</v>
      </c>
      <c r="C517" s="454" t="s">
        <v>118</v>
      </c>
      <c r="D517" s="454" t="s">
        <v>1235</v>
      </c>
      <c r="E517" s="454"/>
      <c r="F517" s="451">
        <f t="shared" ref="F517:G518" si="247">F518</f>
        <v>1497.5</v>
      </c>
      <c r="G517" s="451">
        <f t="shared" si="247"/>
        <v>1062.3800000000001</v>
      </c>
      <c r="H517" s="451">
        <f t="shared" si="217"/>
        <v>70.943572621035074</v>
      </c>
    </row>
    <row r="518" spans="1:8" ht="47.25" customHeight="1" x14ac:dyDescent="0.25">
      <c r="A518" s="458" t="s">
        <v>272</v>
      </c>
      <c r="B518" s="454" t="s">
        <v>264</v>
      </c>
      <c r="C518" s="454" t="s">
        <v>118</v>
      </c>
      <c r="D518" s="454" t="s">
        <v>1235</v>
      </c>
      <c r="E518" s="454" t="s">
        <v>273</v>
      </c>
      <c r="F518" s="451">
        <f t="shared" si="247"/>
        <v>1497.5</v>
      </c>
      <c r="G518" s="451">
        <f t="shared" si="247"/>
        <v>1062.3800000000001</v>
      </c>
      <c r="H518" s="451">
        <f t="shared" si="217"/>
        <v>70.943572621035074</v>
      </c>
    </row>
    <row r="519" spans="1:8" ht="15.75" customHeight="1" x14ac:dyDescent="0.25">
      <c r="A519" s="458" t="s">
        <v>274</v>
      </c>
      <c r="B519" s="454" t="s">
        <v>264</v>
      </c>
      <c r="C519" s="454" t="s">
        <v>118</v>
      </c>
      <c r="D519" s="454" t="s">
        <v>1235</v>
      </c>
      <c r="E519" s="454" t="s">
        <v>275</v>
      </c>
      <c r="F519" s="451">
        <f>'Пр.4 ведом.21'!G585</f>
        <v>1497.5</v>
      </c>
      <c r="G519" s="451">
        <f>'Пр.4 ведом.21'!H585</f>
        <v>1062.3800000000001</v>
      </c>
      <c r="H519" s="451">
        <f t="shared" si="217"/>
        <v>70.943572621035074</v>
      </c>
    </row>
    <row r="520" spans="1:8" ht="94.5" x14ac:dyDescent="0.25">
      <c r="A520" s="31" t="s">
        <v>1184</v>
      </c>
      <c r="B520" s="454" t="s">
        <v>264</v>
      </c>
      <c r="C520" s="454" t="s">
        <v>118</v>
      </c>
      <c r="D520" s="454" t="s">
        <v>1236</v>
      </c>
      <c r="E520" s="454"/>
      <c r="F520" s="451">
        <f t="shared" ref="F520:G521" si="248">F521</f>
        <v>89819.37</v>
      </c>
      <c r="G520" s="451">
        <f t="shared" si="248"/>
        <v>63715.673000000003</v>
      </c>
      <c r="H520" s="451">
        <f t="shared" si="217"/>
        <v>70.937563912995614</v>
      </c>
    </row>
    <row r="521" spans="1:8" ht="47.25" x14ac:dyDescent="0.25">
      <c r="A521" s="458" t="s">
        <v>272</v>
      </c>
      <c r="B521" s="454" t="s">
        <v>264</v>
      </c>
      <c r="C521" s="454" t="s">
        <v>118</v>
      </c>
      <c r="D521" s="454" t="s">
        <v>1236</v>
      </c>
      <c r="E521" s="454" t="s">
        <v>273</v>
      </c>
      <c r="F521" s="451">
        <f t="shared" si="248"/>
        <v>89819.37</v>
      </c>
      <c r="G521" s="451">
        <f t="shared" si="248"/>
        <v>63715.673000000003</v>
      </c>
      <c r="H521" s="451">
        <f t="shared" si="217"/>
        <v>70.937563912995614</v>
      </c>
    </row>
    <row r="522" spans="1:8" ht="15.75" x14ac:dyDescent="0.25">
      <c r="A522" s="458" t="s">
        <v>274</v>
      </c>
      <c r="B522" s="454" t="s">
        <v>264</v>
      </c>
      <c r="C522" s="454" t="s">
        <v>118</v>
      </c>
      <c r="D522" s="454" t="s">
        <v>1236</v>
      </c>
      <c r="E522" s="454" t="s">
        <v>275</v>
      </c>
      <c r="F522" s="451">
        <f>'Пр.4 ведом.21'!G588</f>
        <v>89819.37</v>
      </c>
      <c r="G522" s="451">
        <f>'Пр.4 ведом.21'!H588</f>
        <v>63715.673000000003</v>
      </c>
      <c r="H522" s="451">
        <f t="shared" si="217"/>
        <v>70.937563912995614</v>
      </c>
    </row>
    <row r="523" spans="1:8" ht="36" customHeight="1" x14ac:dyDescent="0.25">
      <c r="A523" s="456" t="s">
        <v>1293</v>
      </c>
      <c r="B523" s="457" t="s">
        <v>264</v>
      </c>
      <c r="C523" s="457" t="s">
        <v>118</v>
      </c>
      <c r="D523" s="457" t="s">
        <v>1238</v>
      </c>
      <c r="E523" s="457"/>
      <c r="F523" s="450">
        <f>F524+F527+F530</f>
        <v>4557</v>
      </c>
      <c r="G523" s="450">
        <f t="shared" ref="G523" si="249">G524+G527+G530</f>
        <v>3943.4429999999998</v>
      </c>
      <c r="H523" s="450">
        <f t="shared" ref="H523:H586" si="250">G523/F523*100</f>
        <v>86.535944700460817</v>
      </c>
    </row>
    <row r="524" spans="1:8" ht="40.700000000000003" customHeight="1" x14ac:dyDescent="0.25">
      <c r="A524" s="458" t="s">
        <v>278</v>
      </c>
      <c r="B524" s="454" t="s">
        <v>264</v>
      </c>
      <c r="C524" s="454" t="s">
        <v>118</v>
      </c>
      <c r="D524" s="454" t="s">
        <v>1319</v>
      </c>
      <c r="E524" s="454"/>
      <c r="F524" s="451">
        <f>F525</f>
        <v>200</v>
      </c>
      <c r="G524" s="451">
        <f t="shared" ref="G524" si="251">G525</f>
        <v>61.357999999999997</v>
      </c>
      <c r="H524" s="451">
        <f t="shared" si="250"/>
        <v>30.679000000000002</v>
      </c>
    </row>
    <row r="525" spans="1:8" ht="42" customHeight="1" x14ac:dyDescent="0.25">
      <c r="A525" s="458" t="s">
        <v>272</v>
      </c>
      <c r="B525" s="454" t="s">
        <v>264</v>
      </c>
      <c r="C525" s="454" t="s">
        <v>118</v>
      </c>
      <c r="D525" s="454" t="s">
        <v>1319</v>
      </c>
      <c r="E525" s="454" t="s">
        <v>273</v>
      </c>
      <c r="F525" s="451">
        <f t="shared" ref="F525:G525" si="252">F526</f>
        <v>200</v>
      </c>
      <c r="G525" s="451">
        <f t="shared" si="252"/>
        <v>61.357999999999997</v>
      </c>
      <c r="H525" s="451">
        <f t="shared" si="250"/>
        <v>30.679000000000002</v>
      </c>
    </row>
    <row r="526" spans="1:8" ht="20.25" customHeight="1" x14ac:dyDescent="0.25">
      <c r="A526" s="458" t="s">
        <v>274</v>
      </c>
      <c r="B526" s="454" t="s">
        <v>264</v>
      </c>
      <c r="C526" s="454" t="s">
        <v>118</v>
      </c>
      <c r="D526" s="454" t="s">
        <v>1319</v>
      </c>
      <c r="E526" s="454" t="s">
        <v>275</v>
      </c>
      <c r="F526" s="451">
        <f>'Пр.4 ведом.21'!G592</f>
        <v>200</v>
      </c>
      <c r="G526" s="451">
        <f>'Пр.4 ведом.21'!H592</f>
        <v>61.357999999999997</v>
      </c>
      <c r="H526" s="451">
        <f t="shared" si="250"/>
        <v>30.679000000000002</v>
      </c>
    </row>
    <row r="527" spans="1:8" ht="39.200000000000003" customHeight="1" x14ac:dyDescent="0.25">
      <c r="A527" s="458" t="s">
        <v>280</v>
      </c>
      <c r="B527" s="454" t="s">
        <v>264</v>
      </c>
      <c r="C527" s="454" t="s">
        <v>118</v>
      </c>
      <c r="D527" s="454" t="s">
        <v>1320</v>
      </c>
      <c r="E527" s="454"/>
      <c r="F527" s="451">
        <f>F528</f>
        <v>357</v>
      </c>
      <c r="G527" s="451">
        <f t="shared" ref="G527" si="253">G528</f>
        <v>356.19099999999997</v>
      </c>
      <c r="H527" s="451">
        <f t="shared" si="250"/>
        <v>99.773389355742296</v>
      </c>
    </row>
    <row r="528" spans="1:8" ht="35.450000000000003" customHeight="1" x14ac:dyDescent="0.25">
      <c r="A528" s="458" t="s">
        <v>272</v>
      </c>
      <c r="B528" s="454" t="s">
        <v>264</v>
      </c>
      <c r="C528" s="454" t="s">
        <v>118</v>
      </c>
      <c r="D528" s="454" t="s">
        <v>1320</v>
      </c>
      <c r="E528" s="454" t="s">
        <v>273</v>
      </c>
      <c r="F528" s="451">
        <f t="shared" ref="F528:G528" si="254">F529</f>
        <v>357</v>
      </c>
      <c r="G528" s="451">
        <f t="shared" si="254"/>
        <v>356.19099999999997</v>
      </c>
      <c r="H528" s="451">
        <f t="shared" si="250"/>
        <v>99.773389355742296</v>
      </c>
    </row>
    <row r="529" spans="1:8" ht="17.45" customHeight="1" x14ac:dyDescent="0.25">
      <c r="A529" s="458" t="s">
        <v>274</v>
      </c>
      <c r="B529" s="454" t="s">
        <v>264</v>
      </c>
      <c r="C529" s="454" t="s">
        <v>118</v>
      </c>
      <c r="D529" s="454" t="s">
        <v>1320</v>
      </c>
      <c r="E529" s="454" t="s">
        <v>275</v>
      </c>
      <c r="F529" s="451">
        <f>'Пр.4 ведом.21'!G595</f>
        <v>357</v>
      </c>
      <c r="G529" s="451">
        <f>'Пр.4 ведом.21'!H595</f>
        <v>356.19099999999997</v>
      </c>
      <c r="H529" s="451">
        <f t="shared" si="250"/>
        <v>99.773389355742296</v>
      </c>
    </row>
    <row r="530" spans="1:8" ht="38.25" customHeight="1" x14ac:dyDescent="0.25">
      <c r="A530" s="29" t="s">
        <v>415</v>
      </c>
      <c r="B530" s="454" t="s">
        <v>264</v>
      </c>
      <c r="C530" s="454" t="s">
        <v>118</v>
      </c>
      <c r="D530" s="454" t="s">
        <v>1239</v>
      </c>
      <c r="E530" s="454"/>
      <c r="F530" s="451">
        <f>F531</f>
        <v>4000</v>
      </c>
      <c r="G530" s="451">
        <f t="shared" ref="G530:G531" si="255">G531</f>
        <v>3525.8939999999998</v>
      </c>
      <c r="H530" s="451">
        <f t="shared" si="250"/>
        <v>88.147349999999989</v>
      </c>
    </row>
    <row r="531" spans="1:8" ht="34.5" customHeight="1" x14ac:dyDescent="0.25">
      <c r="A531" s="458" t="s">
        <v>272</v>
      </c>
      <c r="B531" s="454" t="s">
        <v>264</v>
      </c>
      <c r="C531" s="454" t="s">
        <v>118</v>
      </c>
      <c r="D531" s="454" t="s">
        <v>1239</v>
      </c>
      <c r="E531" s="454" t="s">
        <v>273</v>
      </c>
      <c r="F531" s="451">
        <f>F532</f>
        <v>4000</v>
      </c>
      <c r="G531" s="451">
        <f t="shared" si="255"/>
        <v>3525.8939999999998</v>
      </c>
      <c r="H531" s="451">
        <f t="shared" si="250"/>
        <v>88.147349999999989</v>
      </c>
    </row>
    <row r="532" spans="1:8" ht="15.75" x14ac:dyDescent="0.25">
      <c r="A532" s="458" t="s">
        <v>274</v>
      </c>
      <c r="B532" s="454" t="s">
        <v>264</v>
      </c>
      <c r="C532" s="454" t="s">
        <v>118</v>
      </c>
      <c r="D532" s="454" t="s">
        <v>1239</v>
      </c>
      <c r="E532" s="454" t="s">
        <v>275</v>
      </c>
      <c r="F532" s="451">
        <f>'Пр.4 ведом.21'!G598</f>
        <v>4000</v>
      </c>
      <c r="G532" s="451">
        <f>'Пр.4 ведом.21'!H598</f>
        <v>3525.8939999999998</v>
      </c>
      <c r="H532" s="451">
        <f t="shared" si="250"/>
        <v>88.147349999999989</v>
      </c>
    </row>
    <row r="533" spans="1:8" ht="31.5" x14ac:dyDescent="0.25">
      <c r="A533" s="214" t="s">
        <v>948</v>
      </c>
      <c r="B533" s="457" t="s">
        <v>264</v>
      </c>
      <c r="C533" s="457" t="s">
        <v>118</v>
      </c>
      <c r="D533" s="457" t="s">
        <v>1241</v>
      </c>
      <c r="E533" s="457"/>
      <c r="F533" s="450">
        <f>F534+F537+F540</f>
        <v>4348</v>
      </c>
      <c r="G533" s="450">
        <f t="shared" ref="G533" si="256">G534+G537+G540</f>
        <v>3958</v>
      </c>
      <c r="H533" s="450">
        <f t="shared" si="250"/>
        <v>91.030358785648573</v>
      </c>
    </row>
    <row r="534" spans="1:8" ht="31.5" hidden="1" x14ac:dyDescent="0.25">
      <c r="A534" s="458" t="s">
        <v>284</v>
      </c>
      <c r="B534" s="454" t="s">
        <v>264</v>
      </c>
      <c r="C534" s="454" t="s">
        <v>118</v>
      </c>
      <c r="D534" s="454" t="s">
        <v>1259</v>
      </c>
      <c r="E534" s="454"/>
      <c r="F534" s="451">
        <f>F535</f>
        <v>0</v>
      </c>
      <c r="G534" s="451">
        <f t="shared" ref="G534:G535" si="257">G535</f>
        <v>0</v>
      </c>
      <c r="H534" s="451" t="e">
        <f t="shared" si="250"/>
        <v>#DIV/0!</v>
      </c>
    </row>
    <row r="535" spans="1:8" ht="47.25" hidden="1" x14ac:dyDescent="0.25">
      <c r="A535" s="458" t="s">
        <v>272</v>
      </c>
      <c r="B535" s="454" t="s">
        <v>264</v>
      </c>
      <c r="C535" s="454" t="s">
        <v>118</v>
      </c>
      <c r="D535" s="454" t="s">
        <v>1259</v>
      </c>
      <c r="E535" s="454" t="s">
        <v>273</v>
      </c>
      <c r="F535" s="451">
        <f>F536</f>
        <v>0</v>
      </c>
      <c r="G535" s="451">
        <f t="shared" si="257"/>
        <v>0</v>
      </c>
      <c r="H535" s="451" t="e">
        <f t="shared" si="250"/>
        <v>#DIV/0!</v>
      </c>
    </row>
    <row r="536" spans="1:8" ht="15.75" hidden="1" x14ac:dyDescent="0.25">
      <c r="A536" s="458" t="s">
        <v>274</v>
      </c>
      <c r="B536" s="454" t="s">
        <v>264</v>
      </c>
      <c r="C536" s="454" t="s">
        <v>118</v>
      </c>
      <c r="D536" s="454" t="s">
        <v>1259</v>
      </c>
      <c r="E536" s="454" t="s">
        <v>275</v>
      </c>
      <c r="F536" s="451">
        <f>'Пр.4 ведом.21'!G602</f>
        <v>0</v>
      </c>
      <c r="G536" s="451">
        <f>'Пр.4 ведом.21'!H602</f>
        <v>0</v>
      </c>
      <c r="H536" s="451" t="e">
        <f t="shared" si="250"/>
        <v>#DIV/0!</v>
      </c>
    </row>
    <row r="537" spans="1:8" ht="31.5" x14ac:dyDescent="0.25">
      <c r="A537" s="60" t="s">
        <v>764</v>
      </c>
      <c r="B537" s="454" t="s">
        <v>264</v>
      </c>
      <c r="C537" s="454" t="s">
        <v>118</v>
      </c>
      <c r="D537" s="454" t="s">
        <v>1242</v>
      </c>
      <c r="E537" s="454"/>
      <c r="F537" s="451">
        <f>F538</f>
        <v>3088</v>
      </c>
      <c r="G537" s="451">
        <f t="shared" ref="G537:G538" si="258">G538</f>
        <v>3088</v>
      </c>
      <c r="H537" s="451">
        <f t="shared" si="250"/>
        <v>100</v>
      </c>
    </row>
    <row r="538" spans="1:8" ht="47.25" x14ac:dyDescent="0.25">
      <c r="A538" s="29" t="s">
        <v>272</v>
      </c>
      <c r="B538" s="454" t="s">
        <v>264</v>
      </c>
      <c r="C538" s="454" t="s">
        <v>118</v>
      </c>
      <c r="D538" s="454" t="s">
        <v>1242</v>
      </c>
      <c r="E538" s="454" t="s">
        <v>273</v>
      </c>
      <c r="F538" s="451">
        <f>F539</f>
        <v>3088</v>
      </c>
      <c r="G538" s="451">
        <f t="shared" si="258"/>
        <v>3088</v>
      </c>
      <c r="H538" s="451">
        <f t="shared" si="250"/>
        <v>100</v>
      </c>
    </row>
    <row r="539" spans="1:8" ht="15.75" x14ac:dyDescent="0.25">
      <c r="A539" s="182" t="s">
        <v>274</v>
      </c>
      <c r="B539" s="454" t="s">
        <v>264</v>
      </c>
      <c r="C539" s="454" t="s">
        <v>118</v>
      </c>
      <c r="D539" s="454" t="s">
        <v>1242</v>
      </c>
      <c r="E539" s="454" t="s">
        <v>275</v>
      </c>
      <c r="F539" s="451">
        <f>'Пр.4 ведом.21'!G605</f>
        <v>3088</v>
      </c>
      <c r="G539" s="451">
        <f>'Пр.4 ведом.21'!H605</f>
        <v>3088</v>
      </c>
      <c r="H539" s="451">
        <f t="shared" si="250"/>
        <v>100</v>
      </c>
    </row>
    <row r="540" spans="1:8" ht="47.25" x14ac:dyDescent="0.25">
      <c r="A540" s="60" t="s">
        <v>765</v>
      </c>
      <c r="B540" s="454" t="s">
        <v>264</v>
      </c>
      <c r="C540" s="454" t="s">
        <v>118</v>
      </c>
      <c r="D540" s="454" t="s">
        <v>1243</v>
      </c>
      <c r="E540" s="454"/>
      <c r="F540" s="451">
        <f>F541</f>
        <v>1260</v>
      </c>
      <c r="G540" s="451">
        <f t="shared" ref="G540:G541" si="259">G541</f>
        <v>870</v>
      </c>
      <c r="H540" s="451">
        <f t="shared" si="250"/>
        <v>69.047619047619051</v>
      </c>
    </row>
    <row r="541" spans="1:8" ht="47.25" x14ac:dyDescent="0.25">
      <c r="A541" s="29" t="s">
        <v>272</v>
      </c>
      <c r="B541" s="454" t="s">
        <v>264</v>
      </c>
      <c r="C541" s="454" t="s">
        <v>118</v>
      </c>
      <c r="D541" s="454" t="s">
        <v>1243</v>
      </c>
      <c r="E541" s="454" t="s">
        <v>273</v>
      </c>
      <c r="F541" s="451">
        <f>F542</f>
        <v>1260</v>
      </c>
      <c r="G541" s="451">
        <f t="shared" si="259"/>
        <v>870</v>
      </c>
      <c r="H541" s="451">
        <f t="shared" si="250"/>
        <v>69.047619047619051</v>
      </c>
    </row>
    <row r="542" spans="1:8" ht="15.75" x14ac:dyDescent="0.25">
      <c r="A542" s="182" t="s">
        <v>274</v>
      </c>
      <c r="B542" s="454" t="s">
        <v>264</v>
      </c>
      <c r="C542" s="454" t="s">
        <v>118</v>
      </c>
      <c r="D542" s="454" t="s">
        <v>1243</v>
      </c>
      <c r="E542" s="454" t="s">
        <v>275</v>
      </c>
      <c r="F542" s="451">
        <f>'Пр.4 ведом.21'!G608</f>
        <v>1260</v>
      </c>
      <c r="G542" s="451">
        <f>'Пр.4 ведом.21'!H608</f>
        <v>870</v>
      </c>
      <c r="H542" s="451">
        <f t="shared" si="250"/>
        <v>69.047619047619051</v>
      </c>
    </row>
    <row r="543" spans="1:8" ht="65.25" customHeight="1" x14ac:dyDescent="0.25">
      <c r="A543" s="456" t="s">
        <v>933</v>
      </c>
      <c r="B543" s="457" t="s">
        <v>264</v>
      </c>
      <c r="C543" s="457" t="s">
        <v>118</v>
      </c>
      <c r="D543" s="457" t="s">
        <v>1244</v>
      </c>
      <c r="E543" s="457"/>
      <c r="F543" s="450">
        <f>F544</f>
        <v>291.10000000000002</v>
      </c>
      <c r="G543" s="450">
        <f t="shared" ref="G543:G545" si="260">G544</f>
        <v>0</v>
      </c>
      <c r="H543" s="450">
        <f t="shared" si="250"/>
        <v>0</v>
      </c>
    </row>
    <row r="544" spans="1:8" ht="110.25" x14ac:dyDescent="0.25">
      <c r="A544" s="458" t="s">
        <v>1515</v>
      </c>
      <c r="B544" s="454" t="s">
        <v>264</v>
      </c>
      <c r="C544" s="454" t="s">
        <v>118</v>
      </c>
      <c r="D544" s="454" t="s">
        <v>1245</v>
      </c>
      <c r="E544" s="454"/>
      <c r="F544" s="451">
        <f>F545</f>
        <v>291.10000000000002</v>
      </c>
      <c r="G544" s="451">
        <f t="shared" si="260"/>
        <v>0</v>
      </c>
      <c r="H544" s="451">
        <f t="shared" si="250"/>
        <v>0</v>
      </c>
    </row>
    <row r="545" spans="1:8" ht="47.25" x14ac:dyDescent="0.25">
      <c r="A545" s="29" t="s">
        <v>272</v>
      </c>
      <c r="B545" s="454" t="s">
        <v>264</v>
      </c>
      <c r="C545" s="454" t="s">
        <v>118</v>
      </c>
      <c r="D545" s="454" t="s">
        <v>1245</v>
      </c>
      <c r="E545" s="454" t="s">
        <v>273</v>
      </c>
      <c r="F545" s="451">
        <f>F546</f>
        <v>291.10000000000002</v>
      </c>
      <c r="G545" s="451">
        <f t="shared" si="260"/>
        <v>0</v>
      </c>
      <c r="H545" s="451">
        <f t="shared" si="250"/>
        <v>0</v>
      </c>
    </row>
    <row r="546" spans="1:8" ht="15.75" x14ac:dyDescent="0.25">
      <c r="A546" s="182" t="s">
        <v>274</v>
      </c>
      <c r="B546" s="454" t="s">
        <v>264</v>
      </c>
      <c r="C546" s="454" t="s">
        <v>118</v>
      </c>
      <c r="D546" s="454" t="s">
        <v>1245</v>
      </c>
      <c r="E546" s="454" t="s">
        <v>275</v>
      </c>
      <c r="F546" s="451">
        <f>'Пр.4 ведом.21'!G612</f>
        <v>291.10000000000002</v>
      </c>
      <c r="G546" s="451">
        <f>'Пр.4 ведом.21'!H612</f>
        <v>0</v>
      </c>
      <c r="H546" s="451">
        <f t="shared" si="250"/>
        <v>0</v>
      </c>
    </row>
    <row r="547" spans="1:8" s="200" customFormat="1" ht="94.5" x14ac:dyDescent="0.25">
      <c r="A547" s="456" t="s">
        <v>1167</v>
      </c>
      <c r="B547" s="457" t="s">
        <v>264</v>
      </c>
      <c r="C547" s="457" t="s">
        <v>118</v>
      </c>
      <c r="D547" s="457" t="s">
        <v>1247</v>
      </c>
      <c r="E547" s="457"/>
      <c r="F547" s="455">
        <f>F548</f>
        <v>1738</v>
      </c>
      <c r="G547" s="455">
        <f t="shared" ref="G547:G549" si="261">G548</f>
        <v>593.89490000000001</v>
      </c>
      <c r="H547" s="450">
        <f t="shared" si="250"/>
        <v>34.171168009205985</v>
      </c>
    </row>
    <row r="548" spans="1:8" s="200" customFormat="1" ht="94.5" x14ac:dyDescent="0.25">
      <c r="A548" s="149" t="s">
        <v>1498</v>
      </c>
      <c r="B548" s="454" t="s">
        <v>264</v>
      </c>
      <c r="C548" s="454" t="s">
        <v>118</v>
      </c>
      <c r="D548" s="454" t="s">
        <v>1248</v>
      </c>
      <c r="E548" s="454"/>
      <c r="F548" s="459">
        <f>F549</f>
        <v>1738</v>
      </c>
      <c r="G548" s="459">
        <f t="shared" si="261"/>
        <v>593.89490000000001</v>
      </c>
      <c r="H548" s="451">
        <f t="shared" si="250"/>
        <v>34.171168009205985</v>
      </c>
    </row>
    <row r="549" spans="1:8" s="200" customFormat="1" ht="47.25" x14ac:dyDescent="0.25">
      <c r="A549" s="458" t="s">
        <v>272</v>
      </c>
      <c r="B549" s="454" t="s">
        <v>264</v>
      </c>
      <c r="C549" s="454" t="s">
        <v>118</v>
      </c>
      <c r="D549" s="454" t="s">
        <v>1248</v>
      </c>
      <c r="E549" s="454" t="s">
        <v>273</v>
      </c>
      <c r="F549" s="459">
        <f>F550</f>
        <v>1738</v>
      </c>
      <c r="G549" s="459">
        <f t="shared" si="261"/>
        <v>593.89490000000001</v>
      </c>
      <c r="H549" s="451">
        <f t="shared" si="250"/>
        <v>34.171168009205985</v>
      </c>
    </row>
    <row r="550" spans="1:8" s="200" customFormat="1" ht="15.75" x14ac:dyDescent="0.25">
      <c r="A550" s="458" t="s">
        <v>274</v>
      </c>
      <c r="B550" s="454" t="s">
        <v>264</v>
      </c>
      <c r="C550" s="454" t="s">
        <v>118</v>
      </c>
      <c r="D550" s="454" t="s">
        <v>1248</v>
      </c>
      <c r="E550" s="454" t="s">
        <v>275</v>
      </c>
      <c r="F550" s="459">
        <f>'Пр.4 ведом.21'!G616</f>
        <v>1738</v>
      </c>
      <c r="G550" s="459">
        <f>'Пр.4 ведом.21'!H616</f>
        <v>593.89490000000001</v>
      </c>
      <c r="H550" s="451">
        <f t="shared" si="250"/>
        <v>34.171168009205985</v>
      </c>
    </row>
    <row r="551" spans="1:8" s="436" customFormat="1" ht="31.5" x14ac:dyDescent="0.25">
      <c r="A551" s="288" t="s">
        <v>1661</v>
      </c>
      <c r="B551" s="457" t="s">
        <v>264</v>
      </c>
      <c r="C551" s="457" t="s">
        <v>118</v>
      </c>
      <c r="D551" s="457" t="s">
        <v>1663</v>
      </c>
      <c r="E551" s="457"/>
      <c r="F551" s="455">
        <f>F552</f>
        <v>238.61500000000001</v>
      </c>
      <c r="G551" s="455">
        <f t="shared" ref="G551:G553" si="262">G552</f>
        <v>0</v>
      </c>
      <c r="H551" s="450">
        <f t="shared" si="250"/>
        <v>0</v>
      </c>
    </row>
    <row r="552" spans="1:8" s="436" customFormat="1" ht="31.5" x14ac:dyDescent="0.25">
      <c r="A552" s="287" t="s">
        <v>1662</v>
      </c>
      <c r="B552" s="454" t="s">
        <v>264</v>
      </c>
      <c r="C552" s="454" t="s">
        <v>118</v>
      </c>
      <c r="D552" s="454" t="s">
        <v>1664</v>
      </c>
      <c r="E552" s="454"/>
      <c r="F552" s="459">
        <f>F553</f>
        <v>238.61500000000001</v>
      </c>
      <c r="G552" s="459">
        <f t="shared" si="262"/>
        <v>0</v>
      </c>
      <c r="H552" s="451">
        <f t="shared" si="250"/>
        <v>0</v>
      </c>
    </row>
    <row r="553" spans="1:8" s="436" customFormat="1" ht="47.25" x14ac:dyDescent="0.25">
      <c r="A553" s="31" t="s">
        <v>272</v>
      </c>
      <c r="B553" s="454" t="s">
        <v>264</v>
      </c>
      <c r="C553" s="454" t="s">
        <v>118</v>
      </c>
      <c r="D553" s="454" t="s">
        <v>1664</v>
      </c>
      <c r="E553" s="454" t="s">
        <v>273</v>
      </c>
      <c r="F553" s="459">
        <f>F554</f>
        <v>238.61500000000001</v>
      </c>
      <c r="G553" s="459">
        <f t="shared" si="262"/>
        <v>0</v>
      </c>
      <c r="H553" s="451">
        <f t="shared" si="250"/>
        <v>0</v>
      </c>
    </row>
    <row r="554" spans="1:8" s="436" customFormat="1" ht="15.75" x14ac:dyDescent="0.25">
      <c r="A554" s="31" t="s">
        <v>274</v>
      </c>
      <c r="B554" s="454" t="s">
        <v>264</v>
      </c>
      <c r="C554" s="454" t="s">
        <v>118</v>
      </c>
      <c r="D554" s="454" t="s">
        <v>1664</v>
      </c>
      <c r="E554" s="454" t="s">
        <v>275</v>
      </c>
      <c r="F554" s="459">
        <f>'Пр.4 ведом.21'!G623</f>
        <v>238.61500000000001</v>
      </c>
      <c r="G554" s="459">
        <f>'Пр.4 ведом.21'!H623</f>
        <v>0</v>
      </c>
      <c r="H554" s="451">
        <f t="shared" si="250"/>
        <v>0</v>
      </c>
    </row>
    <row r="555" spans="1:8" s="449" customFormat="1" ht="47.25" x14ac:dyDescent="0.25">
      <c r="A555" s="288" t="s">
        <v>1669</v>
      </c>
      <c r="B555" s="457" t="s">
        <v>264</v>
      </c>
      <c r="C555" s="457" t="s">
        <v>118</v>
      </c>
      <c r="D555" s="457" t="s">
        <v>1672</v>
      </c>
      <c r="E555" s="457"/>
      <c r="F555" s="455">
        <f>F556</f>
        <v>2606.89</v>
      </c>
      <c r="G555" s="455">
        <f t="shared" ref="G555:G557" si="263">G556</f>
        <v>1649.3989999999999</v>
      </c>
      <c r="H555" s="450">
        <f t="shared" si="250"/>
        <v>63.270755574650252</v>
      </c>
    </row>
    <row r="556" spans="1:8" s="449" customFormat="1" ht="47.25" x14ac:dyDescent="0.25">
      <c r="A556" s="287" t="s">
        <v>1670</v>
      </c>
      <c r="B556" s="454" t="s">
        <v>264</v>
      </c>
      <c r="C556" s="454" t="s">
        <v>118</v>
      </c>
      <c r="D556" s="454" t="s">
        <v>1671</v>
      </c>
      <c r="E556" s="454"/>
      <c r="F556" s="459">
        <f>F557</f>
        <v>2606.89</v>
      </c>
      <c r="G556" s="459">
        <f t="shared" si="263"/>
        <v>1649.3989999999999</v>
      </c>
      <c r="H556" s="451">
        <f t="shared" si="250"/>
        <v>63.270755574650252</v>
      </c>
    </row>
    <row r="557" spans="1:8" s="449" customFormat="1" ht="47.25" x14ac:dyDescent="0.25">
      <c r="A557" s="31" t="s">
        <v>272</v>
      </c>
      <c r="B557" s="454" t="s">
        <v>264</v>
      </c>
      <c r="C557" s="454" t="s">
        <v>118</v>
      </c>
      <c r="D557" s="454" t="s">
        <v>1671</v>
      </c>
      <c r="E557" s="454" t="s">
        <v>273</v>
      </c>
      <c r="F557" s="459">
        <f>F558</f>
        <v>2606.89</v>
      </c>
      <c r="G557" s="459">
        <f t="shared" si="263"/>
        <v>1649.3989999999999</v>
      </c>
      <c r="H557" s="451">
        <f t="shared" si="250"/>
        <v>63.270755574650252</v>
      </c>
    </row>
    <row r="558" spans="1:8" s="449" customFormat="1" ht="15.75" x14ac:dyDescent="0.25">
      <c r="A558" s="31" t="s">
        <v>274</v>
      </c>
      <c r="B558" s="454" t="s">
        <v>264</v>
      </c>
      <c r="C558" s="454" t="s">
        <v>118</v>
      </c>
      <c r="D558" s="454" t="s">
        <v>1671</v>
      </c>
      <c r="E558" s="454" t="s">
        <v>275</v>
      </c>
      <c r="F558" s="459">
        <f>'Пр.4 ведом.21'!G627</f>
        <v>2606.89</v>
      </c>
      <c r="G558" s="459">
        <f>'Пр.4 ведом.21'!H627</f>
        <v>1649.3989999999999</v>
      </c>
      <c r="H558" s="451">
        <f t="shared" si="250"/>
        <v>63.270755574650252</v>
      </c>
    </row>
    <row r="559" spans="1:8" ht="53.65" customHeight="1" x14ac:dyDescent="0.25">
      <c r="A559" s="34" t="s">
        <v>1360</v>
      </c>
      <c r="B559" s="457" t="s">
        <v>264</v>
      </c>
      <c r="C559" s="457" t="s">
        <v>118</v>
      </c>
      <c r="D559" s="457" t="s">
        <v>324</v>
      </c>
      <c r="E559" s="457"/>
      <c r="F559" s="450">
        <f>F560</f>
        <v>95</v>
      </c>
      <c r="G559" s="450">
        <f t="shared" ref="G559:G561" si="264">G560</f>
        <v>94.78</v>
      </c>
      <c r="H559" s="450">
        <f t="shared" si="250"/>
        <v>99.768421052631581</v>
      </c>
    </row>
    <row r="560" spans="1:8" ht="63" x14ac:dyDescent="0.25">
      <c r="A560" s="34" t="s">
        <v>1009</v>
      </c>
      <c r="B560" s="457" t="s">
        <v>264</v>
      </c>
      <c r="C560" s="457" t="s">
        <v>118</v>
      </c>
      <c r="D560" s="457" t="s">
        <v>934</v>
      </c>
      <c r="E560" s="457"/>
      <c r="F560" s="450">
        <f>F561</f>
        <v>95</v>
      </c>
      <c r="G560" s="450">
        <f t="shared" si="264"/>
        <v>94.78</v>
      </c>
      <c r="H560" s="450">
        <f t="shared" si="250"/>
        <v>99.768421052631581</v>
      </c>
    </row>
    <row r="561" spans="1:8" ht="47.25" x14ac:dyDescent="0.25">
      <c r="A561" s="31" t="s">
        <v>1008</v>
      </c>
      <c r="B561" s="454" t="s">
        <v>264</v>
      </c>
      <c r="C561" s="454" t="s">
        <v>118</v>
      </c>
      <c r="D561" s="454" t="s">
        <v>935</v>
      </c>
      <c r="E561" s="454"/>
      <c r="F561" s="451">
        <f>F562</f>
        <v>95</v>
      </c>
      <c r="G561" s="451">
        <f t="shared" si="264"/>
        <v>94.78</v>
      </c>
      <c r="H561" s="451">
        <f t="shared" si="250"/>
        <v>99.768421052631581</v>
      </c>
    </row>
    <row r="562" spans="1:8" ht="47.25" x14ac:dyDescent="0.25">
      <c r="A562" s="31" t="s">
        <v>272</v>
      </c>
      <c r="B562" s="454" t="s">
        <v>264</v>
      </c>
      <c r="C562" s="454" t="s">
        <v>118</v>
      </c>
      <c r="D562" s="454" t="s">
        <v>935</v>
      </c>
      <c r="E562" s="454" t="s">
        <v>273</v>
      </c>
      <c r="F562" s="451">
        <f t="shared" ref="F562:G562" si="265">F563</f>
        <v>95</v>
      </c>
      <c r="G562" s="451">
        <f t="shared" si="265"/>
        <v>94.78</v>
      </c>
      <c r="H562" s="451">
        <f t="shared" si="250"/>
        <v>99.768421052631581</v>
      </c>
    </row>
    <row r="563" spans="1:8" ht="15.75" x14ac:dyDescent="0.25">
      <c r="A563" s="31" t="s">
        <v>274</v>
      </c>
      <c r="B563" s="454" t="s">
        <v>264</v>
      </c>
      <c r="C563" s="454" t="s">
        <v>118</v>
      </c>
      <c r="D563" s="454" t="s">
        <v>935</v>
      </c>
      <c r="E563" s="454" t="s">
        <v>275</v>
      </c>
      <c r="F563" s="451">
        <f>'Пр.4 ведом.21'!G632</f>
        <v>95</v>
      </c>
      <c r="G563" s="451">
        <f>'Пр.4 ведом.21'!H632</f>
        <v>94.78</v>
      </c>
      <c r="H563" s="451">
        <f t="shared" si="250"/>
        <v>99.768421052631581</v>
      </c>
    </row>
    <row r="564" spans="1:8" ht="47.25" x14ac:dyDescent="0.25">
      <c r="A564" s="462" t="s">
        <v>1355</v>
      </c>
      <c r="B564" s="457" t="s">
        <v>264</v>
      </c>
      <c r="C564" s="457" t="s">
        <v>118</v>
      </c>
      <c r="D564" s="457" t="s">
        <v>705</v>
      </c>
      <c r="E564" s="465"/>
      <c r="F564" s="450">
        <f>F565</f>
        <v>576.20000000000005</v>
      </c>
      <c r="G564" s="450">
        <f t="shared" ref="G564" si="266">G565</f>
        <v>392.23480000000001</v>
      </c>
      <c r="H564" s="450">
        <f t="shared" si="250"/>
        <v>68.072683096147173</v>
      </c>
    </row>
    <row r="565" spans="1:8" ht="47.25" x14ac:dyDescent="0.25">
      <c r="A565" s="462" t="s">
        <v>890</v>
      </c>
      <c r="B565" s="457" t="s">
        <v>264</v>
      </c>
      <c r="C565" s="457" t="s">
        <v>118</v>
      </c>
      <c r="D565" s="457" t="s">
        <v>888</v>
      </c>
      <c r="E565" s="465"/>
      <c r="F565" s="450">
        <f t="shared" ref="F565:G567" si="267">F566</f>
        <v>576.20000000000005</v>
      </c>
      <c r="G565" s="450">
        <f t="shared" si="267"/>
        <v>392.23480000000001</v>
      </c>
      <c r="H565" s="450">
        <f t="shared" si="250"/>
        <v>68.072683096147173</v>
      </c>
    </row>
    <row r="566" spans="1:8" ht="47.25" x14ac:dyDescent="0.25">
      <c r="A566" s="98" t="s">
        <v>780</v>
      </c>
      <c r="B566" s="454" t="s">
        <v>264</v>
      </c>
      <c r="C566" s="454" t="s">
        <v>118</v>
      </c>
      <c r="D566" s="454" t="s">
        <v>936</v>
      </c>
      <c r="E566" s="460"/>
      <c r="F566" s="451">
        <f t="shared" si="267"/>
        <v>576.20000000000005</v>
      </c>
      <c r="G566" s="451">
        <f t="shared" si="267"/>
        <v>392.23480000000001</v>
      </c>
      <c r="H566" s="451">
        <f t="shared" si="250"/>
        <v>68.072683096147173</v>
      </c>
    </row>
    <row r="567" spans="1:8" ht="47.25" x14ac:dyDescent="0.25">
      <c r="A567" s="29" t="s">
        <v>272</v>
      </c>
      <c r="B567" s="454" t="s">
        <v>264</v>
      </c>
      <c r="C567" s="454" t="s">
        <v>118</v>
      </c>
      <c r="D567" s="454" t="s">
        <v>936</v>
      </c>
      <c r="E567" s="460" t="s">
        <v>273</v>
      </c>
      <c r="F567" s="451">
        <f>F568</f>
        <v>576.20000000000005</v>
      </c>
      <c r="G567" s="451">
        <f t="shared" si="267"/>
        <v>392.23480000000001</v>
      </c>
      <c r="H567" s="451">
        <f t="shared" si="250"/>
        <v>68.072683096147173</v>
      </c>
    </row>
    <row r="568" spans="1:8" ht="24.75" customHeight="1" x14ac:dyDescent="0.25">
      <c r="A568" s="182" t="s">
        <v>274</v>
      </c>
      <c r="B568" s="454" t="s">
        <v>264</v>
      </c>
      <c r="C568" s="454" t="s">
        <v>118</v>
      </c>
      <c r="D568" s="454" t="s">
        <v>936</v>
      </c>
      <c r="E568" s="460" t="s">
        <v>275</v>
      </c>
      <c r="F568" s="451">
        <f>'Пр.4 ведом.21'!G637</f>
        <v>576.20000000000005</v>
      </c>
      <c r="G568" s="451">
        <f>'Пр.4 ведом.21'!H637</f>
        <v>392.23480000000001</v>
      </c>
      <c r="H568" s="451">
        <f t="shared" si="250"/>
        <v>68.072683096147173</v>
      </c>
    </row>
    <row r="569" spans="1:8" ht="15.75" x14ac:dyDescent="0.25">
      <c r="A569" s="462" t="s">
        <v>425</v>
      </c>
      <c r="B569" s="7" t="s">
        <v>264</v>
      </c>
      <c r="C569" s="7" t="s">
        <v>213</v>
      </c>
      <c r="D569" s="7"/>
      <c r="E569" s="7"/>
      <c r="F569" s="450">
        <f>F570+F650+F655</f>
        <v>198479.35500000001</v>
      </c>
      <c r="G569" s="450">
        <f t="shared" ref="G569" si="268">G570+G650+G655</f>
        <v>145652.90815</v>
      </c>
      <c r="H569" s="450">
        <f t="shared" si="250"/>
        <v>73.384412273004401</v>
      </c>
    </row>
    <row r="570" spans="1:8" ht="34.700000000000003" customHeight="1" x14ac:dyDescent="0.25">
      <c r="A570" s="456" t="s">
        <v>1361</v>
      </c>
      <c r="B570" s="457" t="s">
        <v>264</v>
      </c>
      <c r="C570" s="457" t="s">
        <v>213</v>
      </c>
      <c r="D570" s="457" t="s">
        <v>406</v>
      </c>
      <c r="E570" s="457"/>
      <c r="F570" s="450">
        <f>F571+F575+F594+F607+F614+F618+F622+F626+F630+F646+F642+F634+F638</f>
        <v>197642.35500000001</v>
      </c>
      <c r="G570" s="450">
        <f t="shared" ref="G570" si="269">G571+G575+G594+G607+G614+G618+G622+G626+G630+G646+G642+G634+G638</f>
        <v>145130.74015</v>
      </c>
      <c r="H570" s="450">
        <f t="shared" si="250"/>
        <v>73.430991120299083</v>
      </c>
    </row>
    <row r="571" spans="1:8" ht="31.5" x14ac:dyDescent="0.25">
      <c r="A571" s="456" t="s">
        <v>937</v>
      </c>
      <c r="B571" s="457" t="s">
        <v>264</v>
      </c>
      <c r="C571" s="457" t="s">
        <v>213</v>
      </c>
      <c r="D571" s="457" t="s">
        <v>1231</v>
      </c>
      <c r="E571" s="457"/>
      <c r="F571" s="450">
        <f>F572</f>
        <v>31571.8</v>
      </c>
      <c r="G571" s="450">
        <f t="shared" ref="G571" si="270">G572</f>
        <v>18895.798999999999</v>
      </c>
      <c r="H571" s="450">
        <f t="shared" si="250"/>
        <v>59.850242938318374</v>
      </c>
    </row>
    <row r="572" spans="1:8" ht="47.25" x14ac:dyDescent="0.25">
      <c r="A572" s="458" t="s">
        <v>1237</v>
      </c>
      <c r="B572" s="454" t="s">
        <v>264</v>
      </c>
      <c r="C572" s="454" t="s">
        <v>213</v>
      </c>
      <c r="D572" s="454" t="s">
        <v>1250</v>
      </c>
      <c r="E572" s="454"/>
      <c r="F572" s="360">
        <f t="shared" ref="F572:G572" si="271">F573</f>
        <v>31571.8</v>
      </c>
      <c r="G572" s="360">
        <f t="shared" si="271"/>
        <v>18895.798999999999</v>
      </c>
      <c r="H572" s="451">
        <f t="shared" si="250"/>
        <v>59.850242938318374</v>
      </c>
    </row>
    <row r="573" spans="1:8" ht="39.75" customHeight="1" x14ac:dyDescent="0.25">
      <c r="A573" s="458" t="s">
        <v>272</v>
      </c>
      <c r="B573" s="454" t="s">
        <v>264</v>
      </c>
      <c r="C573" s="454" t="s">
        <v>213</v>
      </c>
      <c r="D573" s="454" t="s">
        <v>1250</v>
      </c>
      <c r="E573" s="454" t="s">
        <v>273</v>
      </c>
      <c r="F573" s="360">
        <f>'Пр.4 ведом.21'!G643</f>
        <v>31571.8</v>
      </c>
      <c r="G573" s="360">
        <f>'Пр.4 ведом.21'!H643</f>
        <v>18895.798999999999</v>
      </c>
      <c r="H573" s="451">
        <f t="shared" si="250"/>
        <v>59.850242938318374</v>
      </c>
    </row>
    <row r="574" spans="1:8" ht="15.75" x14ac:dyDescent="0.25">
      <c r="A574" s="458" t="s">
        <v>274</v>
      </c>
      <c r="B574" s="454" t="s">
        <v>264</v>
      </c>
      <c r="C574" s="454" t="s">
        <v>213</v>
      </c>
      <c r="D574" s="454" t="s">
        <v>1250</v>
      </c>
      <c r="E574" s="454" t="s">
        <v>275</v>
      </c>
      <c r="F574" s="451">
        <f>'Пр.4 ведом.21'!G643</f>
        <v>31571.8</v>
      </c>
      <c r="G574" s="451">
        <f>'Пр.4 ведом.21'!H643</f>
        <v>18895.798999999999</v>
      </c>
      <c r="H574" s="451">
        <f t="shared" si="250"/>
        <v>59.850242938318374</v>
      </c>
    </row>
    <row r="575" spans="1:8" ht="48.95" customHeight="1" x14ac:dyDescent="0.25">
      <c r="A575" s="456" t="s">
        <v>900</v>
      </c>
      <c r="B575" s="457" t="s">
        <v>264</v>
      </c>
      <c r="C575" s="457" t="s">
        <v>213</v>
      </c>
      <c r="D575" s="457" t="s">
        <v>1233</v>
      </c>
      <c r="E575" s="457"/>
      <c r="F575" s="450">
        <f>F582+F585+F588+F591+F579+F576</f>
        <v>142613.37000000002</v>
      </c>
      <c r="G575" s="450">
        <f t="shared" ref="G575" si="272">G582+G585+G588+G591+G579+G576</f>
        <v>110855.711</v>
      </c>
      <c r="H575" s="450">
        <f t="shared" si="250"/>
        <v>77.731639747381308</v>
      </c>
    </row>
    <row r="576" spans="1:8" s="200" customFormat="1" ht="67.7" customHeight="1" x14ac:dyDescent="0.25">
      <c r="A576" s="458" t="s">
        <v>1395</v>
      </c>
      <c r="B576" s="454" t="s">
        <v>264</v>
      </c>
      <c r="C576" s="454" t="s">
        <v>213</v>
      </c>
      <c r="D576" s="454" t="s">
        <v>1396</v>
      </c>
      <c r="E576" s="454"/>
      <c r="F576" s="27">
        <f>F577</f>
        <v>7226.1</v>
      </c>
      <c r="G576" s="27">
        <f t="shared" ref="G576:G577" si="273">G577</f>
        <v>4980.875</v>
      </c>
      <c r="H576" s="451">
        <f t="shared" si="250"/>
        <v>68.928951993468118</v>
      </c>
    </row>
    <row r="577" spans="1:8" s="200" customFormat="1" ht="36.75" customHeight="1" x14ac:dyDescent="0.25">
      <c r="A577" s="458" t="s">
        <v>272</v>
      </c>
      <c r="B577" s="454" t="s">
        <v>264</v>
      </c>
      <c r="C577" s="454" t="s">
        <v>213</v>
      </c>
      <c r="D577" s="454" t="s">
        <v>1396</v>
      </c>
      <c r="E577" s="454" t="s">
        <v>273</v>
      </c>
      <c r="F577" s="27">
        <f>F578</f>
        <v>7226.1</v>
      </c>
      <c r="G577" s="27">
        <f t="shared" si="273"/>
        <v>4980.875</v>
      </c>
      <c r="H577" s="451">
        <f t="shared" si="250"/>
        <v>68.928951993468118</v>
      </c>
    </row>
    <row r="578" spans="1:8" s="200" customFormat="1" ht="17.649999999999999" customHeight="1" x14ac:dyDescent="0.25">
      <c r="A578" s="458" t="s">
        <v>274</v>
      </c>
      <c r="B578" s="454" t="s">
        <v>264</v>
      </c>
      <c r="C578" s="454" t="s">
        <v>213</v>
      </c>
      <c r="D578" s="454" t="s">
        <v>1396</v>
      </c>
      <c r="E578" s="454" t="s">
        <v>275</v>
      </c>
      <c r="F578" s="27">
        <f>'Пр.4 ведом.21'!G647</f>
        <v>7226.1</v>
      </c>
      <c r="G578" s="27">
        <f>'Пр.4 ведом.21'!H647</f>
        <v>4980.875</v>
      </c>
      <c r="H578" s="451">
        <f t="shared" si="250"/>
        <v>68.928951993468118</v>
      </c>
    </row>
    <row r="579" spans="1:8" s="200" customFormat="1" ht="95.1" customHeight="1" x14ac:dyDescent="0.25">
      <c r="A579" s="31" t="s">
        <v>464</v>
      </c>
      <c r="B579" s="454" t="s">
        <v>264</v>
      </c>
      <c r="C579" s="454" t="s">
        <v>213</v>
      </c>
      <c r="D579" s="454" t="s">
        <v>1393</v>
      </c>
      <c r="E579" s="454"/>
      <c r="F579" s="451">
        <f>F580</f>
        <v>4610</v>
      </c>
      <c r="G579" s="451">
        <f t="shared" ref="G579:G580" si="274">G580</f>
        <v>3479.2</v>
      </c>
      <c r="H579" s="451">
        <f t="shared" si="250"/>
        <v>75.470715835140993</v>
      </c>
    </row>
    <row r="580" spans="1:8" s="200" customFormat="1" ht="40.15" customHeight="1" x14ac:dyDescent="0.25">
      <c r="A580" s="458" t="s">
        <v>272</v>
      </c>
      <c r="B580" s="454" t="s">
        <v>264</v>
      </c>
      <c r="C580" s="454" t="s">
        <v>213</v>
      </c>
      <c r="D580" s="454" t="s">
        <v>1393</v>
      </c>
      <c r="E580" s="454" t="s">
        <v>273</v>
      </c>
      <c r="F580" s="451">
        <f>F581</f>
        <v>4610</v>
      </c>
      <c r="G580" s="451">
        <f t="shared" si="274"/>
        <v>3479.2</v>
      </c>
      <c r="H580" s="451">
        <f t="shared" si="250"/>
        <v>75.470715835140993</v>
      </c>
    </row>
    <row r="581" spans="1:8" s="200" customFormat="1" ht="17.100000000000001" customHeight="1" x14ac:dyDescent="0.25">
      <c r="A581" s="458" t="s">
        <v>274</v>
      </c>
      <c r="B581" s="454" t="s">
        <v>264</v>
      </c>
      <c r="C581" s="454" t="s">
        <v>213</v>
      </c>
      <c r="D581" s="454" t="s">
        <v>1393</v>
      </c>
      <c r="E581" s="454" t="s">
        <v>275</v>
      </c>
      <c r="F581" s="451">
        <f>'Пр.4 ведом.21'!G650</f>
        <v>4610</v>
      </c>
      <c r="G581" s="451">
        <f>'Пр.4 ведом.21'!H650</f>
        <v>3479.2</v>
      </c>
      <c r="H581" s="451">
        <f t="shared" si="250"/>
        <v>75.470715835140993</v>
      </c>
    </row>
    <row r="582" spans="1:8" ht="79.5" customHeight="1" x14ac:dyDescent="0.25">
      <c r="A582" s="31" t="s">
        <v>1185</v>
      </c>
      <c r="B582" s="454" t="s">
        <v>264</v>
      </c>
      <c r="C582" s="454" t="s">
        <v>213</v>
      </c>
      <c r="D582" s="454" t="s">
        <v>1251</v>
      </c>
      <c r="E582" s="454"/>
      <c r="F582" s="451">
        <f>F583</f>
        <v>126248.67000000001</v>
      </c>
      <c r="G582" s="451">
        <f t="shared" ref="G582" si="275">G583</f>
        <v>99197.035999999993</v>
      </c>
      <c r="H582" s="451">
        <f t="shared" si="250"/>
        <v>78.572737439531039</v>
      </c>
    </row>
    <row r="583" spans="1:8" ht="35.450000000000003" customHeight="1" x14ac:dyDescent="0.25">
      <c r="A583" s="458" t="s">
        <v>272</v>
      </c>
      <c r="B583" s="454" t="s">
        <v>264</v>
      </c>
      <c r="C583" s="454" t="s">
        <v>213</v>
      </c>
      <c r="D583" s="454" t="s">
        <v>1251</v>
      </c>
      <c r="E583" s="454" t="s">
        <v>273</v>
      </c>
      <c r="F583" s="451">
        <f t="shared" ref="F583:G583" si="276">F584</f>
        <v>126248.67000000001</v>
      </c>
      <c r="G583" s="451">
        <f t="shared" si="276"/>
        <v>99197.035999999993</v>
      </c>
      <c r="H583" s="451">
        <f t="shared" si="250"/>
        <v>78.572737439531039</v>
      </c>
    </row>
    <row r="584" spans="1:8" ht="15.75" customHeight="1" x14ac:dyDescent="0.25">
      <c r="A584" s="458" t="s">
        <v>274</v>
      </c>
      <c r="B584" s="454" t="s">
        <v>264</v>
      </c>
      <c r="C584" s="454" t="s">
        <v>213</v>
      </c>
      <c r="D584" s="454" t="s">
        <v>1251</v>
      </c>
      <c r="E584" s="454" t="s">
        <v>275</v>
      </c>
      <c r="F584" s="451">
        <f>'Пр.4 ведом.21'!G653</f>
        <v>126248.67000000001</v>
      </c>
      <c r="G584" s="451">
        <f>'Пр.4 ведом.21'!H653</f>
        <v>99197.035999999993</v>
      </c>
      <c r="H584" s="451">
        <f t="shared" si="250"/>
        <v>78.572737439531039</v>
      </c>
    </row>
    <row r="585" spans="1:8" ht="72" customHeight="1" x14ac:dyDescent="0.25">
      <c r="A585" s="31" t="s">
        <v>289</v>
      </c>
      <c r="B585" s="454" t="s">
        <v>264</v>
      </c>
      <c r="C585" s="454" t="s">
        <v>213</v>
      </c>
      <c r="D585" s="454" t="s">
        <v>1234</v>
      </c>
      <c r="E585" s="454"/>
      <c r="F585" s="451">
        <f>F586</f>
        <v>1311</v>
      </c>
      <c r="G585" s="451">
        <f t="shared" ref="G585" si="277">G586</f>
        <v>831.8</v>
      </c>
      <c r="H585" s="451">
        <f t="shared" si="250"/>
        <v>63.447749809305861</v>
      </c>
    </row>
    <row r="586" spans="1:8" ht="31.7" customHeight="1" x14ac:dyDescent="0.25">
      <c r="A586" s="458" t="s">
        <v>272</v>
      </c>
      <c r="B586" s="454" t="s">
        <v>264</v>
      </c>
      <c r="C586" s="454" t="s">
        <v>213</v>
      </c>
      <c r="D586" s="454" t="s">
        <v>1234</v>
      </c>
      <c r="E586" s="454" t="s">
        <v>273</v>
      </c>
      <c r="F586" s="451">
        <f t="shared" ref="F586:G586" si="278">F587</f>
        <v>1311</v>
      </c>
      <c r="G586" s="451">
        <f t="shared" si="278"/>
        <v>831.8</v>
      </c>
      <c r="H586" s="451">
        <f t="shared" si="250"/>
        <v>63.447749809305861</v>
      </c>
    </row>
    <row r="587" spans="1:8" ht="18" customHeight="1" x14ac:dyDescent="0.25">
      <c r="A587" s="458" t="s">
        <v>274</v>
      </c>
      <c r="B587" s="454" t="s">
        <v>264</v>
      </c>
      <c r="C587" s="454" t="s">
        <v>213</v>
      </c>
      <c r="D587" s="454" t="s">
        <v>1234</v>
      </c>
      <c r="E587" s="454" t="s">
        <v>275</v>
      </c>
      <c r="F587" s="451">
        <f>'Пр.4 ведом.21'!G656</f>
        <v>1311</v>
      </c>
      <c r="G587" s="451">
        <f>'Пр.4 ведом.21'!H656</f>
        <v>831.8</v>
      </c>
      <c r="H587" s="451">
        <f t="shared" ref="H587:H650" si="279">G587/F587*100</f>
        <v>63.447749809305861</v>
      </c>
    </row>
    <row r="588" spans="1:8" ht="67.7" customHeight="1" x14ac:dyDescent="0.25">
      <c r="A588" s="31" t="s">
        <v>291</v>
      </c>
      <c r="B588" s="454" t="s">
        <v>264</v>
      </c>
      <c r="C588" s="454" t="s">
        <v>213</v>
      </c>
      <c r="D588" s="454" t="s">
        <v>1235</v>
      </c>
      <c r="E588" s="454"/>
      <c r="F588" s="451">
        <f>F589</f>
        <v>2317.6</v>
      </c>
      <c r="G588" s="451">
        <f t="shared" ref="G588" si="280">G589</f>
        <v>1702</v>
      </c>
      <c r="H588" s="451">
        <f t="shared" si="279"/>
        <v>73.438039351052822</v>
      </c>
    </row>
    <row r="589" spans="1:8" ht="34.5" customHeight="1" x14ac:dyDescent="0.25">
      <c r="A589" s="458" t="s">
        <v>272</v>
      </c>
      <c r="B589" s="454" t="s">
        <v>264</v>
      </c>
      <c r="C589" s="454" t="s">
        <v>213</v>
      </c>
      <c r="D589" s="454" t="s">
        <v>1235</v>
      </c>
      <c r="E589" s="454" t="s">
        <v>273</v>
      </c>
      <c r="F589" s="451">
        <f t="shared" ref="F589:G589" si="281">F590</f>
        <v>2317.6</v>
      </c>
      <c r="G589" s="451">
        <f t="shared" si="281"/>
        <v>1702</v>
      </c>
      <c r="H589" s="451">
        <f t="shared" si="279"/>
        <v>73.438039351052822</v>
      </c>
    </row>
    <row r="590" spans="1:8" ht="15.75" x14ac:dyDescent="0.25">
      <c r="A590" s="458" t="s">
        <v>274</v>
      </c>
      <c r="B590" s="454" t="s">
        <v>264</v>
      </c>
      <c r="C590" s="454" t="s">
        <v>213</v>
      </c>
      <c r="D590" s="454" t="s">
        <v>1235</v>
      </c>
      <c r="E590" s="454" t="s">
        <v>275</v>
      </c>
      <c r="F590" s="451">
        <f>'Пр.4 ведом.21'!G659</f>
        <v>2317.6</v>
      </c>
      <c r="G590" s="451">
        <f>'Пр.4 ведом.21'!H659</f>
        <v>1702</v>
      </c>
      <c r="H590" s="451">
        <f t="shared" si="279"/>
        <v>73.438039351052822</v>
      </c>
    </row>
    <row r="591" spans="1:8" ht="47.25" x14ac:dyDescent="0.25">
      <c r="A591" s="31" t="s">
        <v>462</v>
      </c>
      <c r="B591" s="454" t="s">
        <v>264</v>
      </c>
      <c r="C591" s="454" t="s">
        <v>213</v>
      </c>
      <c r="D591" s="454" t="s">
        <v>1252</v>
      </c>
      <c r="E591" s="454"/>
      <c r="F591" s="451">
        <f>F592</f>
        <v>900</v>
      </c>
      <c r="G591" s="451">
        <f t="shared" ref="G591" si="282">G592</f>
        <v>664.8</v>
      </c>
      <c r="H591" s="451">
        <f t="shared" si="279"/>
        <v>73.86666666666666</v>
      </c>
    </row>
    <row r="592" spans="1:8" ht="36" customHeight="1" x14ac:dyDescent="0.25">
      <c r="A592" s="458" t="s">
        <v>272</v>
      </c>
      <c r="B592" s="454" t="s">
        <v>264</v>
      </c>
      <c r="C592" s="454" t="s">
        <v>213</v>
      </c>
      <c r="D592" s="454" t="s">
        <v>1252</v>
      </c>
      <c r="E592" s="454" t="s">
        <v>273</v>
      </c>
      <c r="F592" s="451">
        <f t="shared" ref="F592:G592" si="283">F593</f>
        <v>900</v>
      </c>
      <c r="G592" s="451">
        <f t="shared" si="283"/>
        <v>664.8</v>
      </c>
      <c r="H592" s="451">
        <f t="shared" si="279"/>
        <v>73.86666666666666</v>
      </c>
    </row>
    <row r="593" spans="1:8" ht="15.75" x14ac:dyDescent="0.25">
      <c r="A593" s="458" t="s">
        <v>274</v>
      </c>
      <c r="B593" s="454" t="s">
        <v>264</v>
      </c>
      <c r="C593" s="454" t="s">
        <v>213</v>
      </c>
      <c r="D593" s="454" t="s">
        <v>1252</v>
      </c>
      <c r="E593" s="454" t="s">
        <v>275</v>
      </c>
      <c r="F593" s="451">
        <f>'Пр.4 ведом.21'!G662</f>
        <v>900</v>
      </c>
      <c r="G593" s="451">
        <f>'Пр.4 ведом.21'!H662</f>
        <v>664.8</v>
      </c>
      <c r="H593" s="451">
        <f t="shared" si="279"/>
        <v>73.86666666666666</v>
      </c>
    </row>
    <row r="594" spans="1:8" ht="31.5" x14ac:dyDescent="0.25">
      <c r="A594" s="456" t="s">
        <v>1305</v>
      </c>
      <c r="B594" s="457" t="s">
        <v>264</v>
      </c>
      <c r="C594" s="457" t="s">
        <v>213</v>
      </c>
      <c r="D594" s="457" t="s">
        <v>1238</v>
      </c>
      <c r="E594" s="457"/>
      <c r="F594" s="450">
        <f>F595+F598+F601+F604</f>
        <v>699</v>
      </c>
      <c r="G594" s="450">
        <f t="shared" ref="G594" si="284">G595+G598+G601+G604</f>
        <v>406.3</v>
      </c>
      <c r="H594" s="450">
        <f t="shared" si="279"/>
        <v>58.125894134477832</v>
      </c>
    </row>
    <row r="595" spans="1:8" ht="36" hidden="1" customHeight="1" x14ac:dyDescent="0.25">
      <c r="A595" s="458" t="s">
        <v>440</v>
      </c>
      <c r="B595" s="454" t="s">
        <v>264</v>
      </c>
      <c r="C595" s="454" t="s">
        <v>213</v>
      </c>
      <c r="D595" s="454" t="s">
        <v>1318</v>
      </c>
      <c r="E595" s="454"/>
      <c r="F595" s="451">
        <f t="shared" ref="F595:G596" si="285">F596</f>
        <v>0</v>
      </c>
      <c r="G595" s="451">
        <f t="shared" si="285"/>
        <v>0</v>
      </c>
      <c r="H595" s="451" t="e">
        <f t="shared" si="279"/>
        <v>#DIV/0!</v>
      </c>
    </row>
    <row r="596" spans="1:8" ht="35.450000000000003" hidden="1" customHeight="1" x14ac:dyDescent="0.25">
      <c r="A596" s="458" t="s">
        <v>272</v>
      </c>
      <c r="B596" s="454" t="s">
        <v>264</v>
      </c>
      <c r="C596" s="454" t="s">
        <v>213</v>
      </c>
      <c r="D596" s="454" t="s">
        <v>1318</v>
      </c>
      <c r="E596" s="454" t="s">
        <v>273</v>
      </c>
      <c r="F596" s="451">
        <f>F597</f>
        <v>0</v>
      </c>
      <c r="G596" s="451">
        <f t="shared" si="285"/>
        <v>0</v>
      </c>
      <c r="H596" s="451" t="e">
        <f t="shared" si="279"/>
        <v>#DIV/0!</v>
      </c>
    </row>
    <row r="597" spans="1:8" ht="15.75" hidden="1" x14ac:dyDescent="0.25">
      <c r="A597" s="458" t="s">
        <v>274</v>
      </c>
      <c r="B597" s="454" t="s">
        <v>264</v>
      </c>
      <c r="C597" s="454" t="s">
        <v>213</v>
      </c>
      <c r="D597" s="454" t="s">
        <v>1318</v>
      </c>
      <c r="E597" s="454" t="s">
        <v>275</v>
      </c>
      <c r="F597" s="451">
        <f>'Пр.4 ведом.21'!G666</f>
        <v>0</v>
      </c>
      <c r="G597" s="451">
        <f>'Пр.4 ведом.21'!H666</f>
        <v>0</v>
      </c>
      <c r="H597" s="451" t="e">
        <f t="shared" si="279"/>
        <v>#DIV/0!</v>
      </c>
    </row>
    <row r="598" spans="1:8" ht="31.5" x14ac:dyDescent="0.25">
      <c r="A598" s="458" t="s">
        <v>278</v>
      </c>
      <c r="B598" s="454" t="s">
        <v>264</v>
      </c>
      <c r="C598" s="454" t="s">
        <v>213</v>
      </c>
      <c r="D598" s="454" t="s">
        <v>1319</v>
      </c>
      <c r="E598" s="454"/>
      <c r="F598" s="451">
        <f t="shared" ref="F598:G599" si="286">F599</f>
        <v>355</v>
      </c>
      <c r="G598" s="451">
        <f t="shared" si="286"/>
        <v>200</v>
      </c>
      <c r="H598" s="451">
        <f t="shared" si="279"/>
        <v>56.338028169014088</v>
      </c>
    </row>
    <row r="599" spans="1:8" ht="37.5" customHeight="1" x14ac:dyDescent="0.25">
      <c r="A599" s="458" t="s">
        <v>272</v>
      </c>
      <c r="B599" s="454" t="s">
        <v>264</v>
      </c>
      <c r="C599" s="454" t="s">
        <v>213</v>
      </c>
      <c r="D599" s="454" t="s">
        <v>1319</v>
      </c>
      <c r="E599" s="454" t="s">
        <v>273</v>
      </c>
      <c r="F599" s="451">
        <f>F600</f>
        <v>355</v>
      </c>
      <c r="G599" s="451">
        <f t="shared" si="286"/>
        <v>200</v>
      </c>
      <c r="H599" s="451">
        <f t="shared" si="279"/>
        <v>56.338028169014088</v>
      </c>
    </row>
    <row r="600" spans="1:8" ht="15.75" x14ac:dyDescent="0.25">
      <c r="A600" s="458" t="s">
        <v>274</v>
      </c>
      <c r="B600" s="454" t="s">
        <v>264</v>
      </c>
      <c r="C600" s="454" t="s">
        <v>213</v>
      </c>
      <c r="D600" s="454" t="s">
        <v>1319</v>
      </c>
      <c r="E600" s="454" t="s">
        <v>275</v>
      </c>
      <c r="F600" s="451">
        <f>'Пр.4 ведом.21'!G669</f>
        <v>355</v>
      </c>
      <c r="G600" s="451">
        <f>'Пр.4 ведом.21'!H669</f>
        <v>200</v>
      </c>
      <c r="H600" s="451">
        <f t="shared" si="279"/>
        <v>56.338028169014088</v>
      </c>
    </row>
    <row r="601" spans="1:8" ht="31.5" x14ac:dyDescent="0.25">
      <c r="A601" s="458" t="s">
        <v>280</v>
      </c>
      <c r="B601" s="454" t="s">
        <v>264</v>
      </c>
      <c r="C601" s="454" t="s">
        <v>213</v>
      </c>
      <c r="D601" s="454" t="s">
        <v>1320</v>
      </c>
      <c r="E601" s="454"/>
      <c r="F601" s="451">
        <f t="shared" ref="F601:G602" si="287">F602</f>
        <v>120</v>
      </c>
      <c r="G601" s="451">
        <f t="shared" si="287"/>
        <v>105</v>
      </c>
      <c r="H601" s="451">
        <f t="shared" si="279"/>
        <v>87.5</v>
      </c>
    </row>
    <row r="602" spans="1:8" ht="31.7" customHeight="1" x14ac:dyDescent="0.25">
      <c r="A602" s="458" t="s">
        <v>272</v>
      </c>
      <c r="B602" s="454" t="s">
        <v>264</v>
      </c>
      <c r="C602" s="454" t="s">
        <v>213</v>
      </c>
      <c r="D602" s="454" t="s">
        <v>1320</v>
      </c>
      <c r="E602" s="454" t="s">
        <v>273</v>
      </c>
      <c r="F602" s="451">
        <f>F603</f>
        <v>120</v>
      </c>
      <c r="G602" s="451">
        <f t="shared" si="287"/>
        <v>105</v>
      </c>
      <c r="H602" s="451">
        <f t="shared" si="279"/>
        <v>87.5</v>
      </c>
    </row>
    <row r="603" spans="1:8" ht="15.75" x14ac:dyDescent="0.25">
      <c r="A603" s="458" t="s">
        <v>274</v>
      </c>
      <c r="B603" s="454" t="s">
        <v>264</v>
      </c>
      <c r="C603" s="454" t="s">
        <v>213</v>
      </c>
      <c r="D603" s="454" t="s">
        <v>1320</v>
      </c>
      <c r="E603" s="454" t="s">
        <v>275</v>
      </c>
      <c r="F603" s="451">
        <f>'Пр.4 ведом.21'!G672</f>
        <v>120</v>
      </c>
      <c r="G603" s="451">
        <f>'Пр.4 ведом.21'!H672</f>
        <v>105</v>
      </c>
      <c r="H603" s="451">
        <f t="shared" si="279"/>
        <v>87.5</v>
      </c>
    </row>
    <row r="604" spans="1:8" ht="31.5" x14ac:dyDescent="0.25">
      <c r="A604" s="458" t="s">
        <v>282</v>
      </c>
      <c r="B604" s="454" t="s">
        <v>264</v>
      </c>
      <c r="C604" s="454" t="s">
        <v>213</v>
      </c>
      <c r="D604" s="454" t="s">
        <v>1254</v>
      </c>
      <c r="E604" s="454"/>
      <c r="F604" s="451">
        <f t="shared" ref="F604:G605" si="288">F605</f>
        <v>224</v>
      </c>
      <c r="G604" s="451">
        <f t="shared" si="288"/>
        <v>101.3</v>
      </c>
      <c r="H604" s="451">
        <f t="shared" si="279"/>
        <v>45.223214285714285</v>
      </c>
    </row>
    <row r="605" spans="1:8" ht="36" customHeight="1" x14ac:dyDescent="0.25">
      <c r="A605" s="458" t="s">
        <v>272</v>
      </c>
      <c r="B605" s="454" t="s">
        <v>264</v>
      </c>
      <c r="C605" s="454" t="s">
        <v>213</v>
      </c>
      <c r="D605" s="454" t="s">
        <v>1254</v>
      </c>
      <c r="E605" s="454" t="s">
        <v>273</v>
      </c>
      <c r="F605" s="451">
        <f>F606</f>
        <v>224</v>
      </c>
      <c r="G605" s="451">
        <f t="shared" si="288"/>
        <v>101.3</v>
      </c>
      <c r="H605" s="451">
        <f t="shared" si="279"/>
        <v>45.223214285714285</v>
      </c>
    </row>
    <row r="606" spans="1:8" ht="15" customHeight="1" x14ac:dyDescent="0.25">
      <c r="A606" s="458" t="s">
        <v>274</v>
      </c>
      <c r="B606" s="454" t="s">
        <v>264</v>
      </c>
      <c r="C606" s="454" t="s">
        <v>213</v>
      </c>
      <c r="D606" s="454" t="s">
        <v>1254</v>
      </c>
      <c r="E606" s="454" t="s">
        <v>275</v>
      </c>
      <c r="F606" s="451">
        <f>'Пр.4 ведом.21'!G675</f>
        <v>224</v>
      </c>
      <c r="G606" s="451">
        <f>'Пр.4 ведом.21'!H675</f>
        <v>101.3</v>
      </c>
      <c r="H606" s="451">
        <f t="shared" si="279"/>
        <v>45.223214285714285</v>
      </c>
    </row>
    <row r="607" spans="1:8" s="200" customFormat="1" ht="36.75" customHeight="1" x14ac:dyDescent="0.25">
      <c r="A607" s="214" t="s">
        <v>948</v>
      </c>
      <c r="B607" s="457" t="s">
        <v>264</v>
      </c>
      <c r="C607" s="457" t="s">
        <v>213</v>
      </c>
      <c r="D607" s="457" t="s">
        <v>1241</v>
      </c>
      <c r="E607" s="457"/>
      <c r="F607" s="450">
        <f>F608+F611</f>
        <v>2744</v>
      </c>
      <c r="G607" s="450">
        <f t="shared" ref="G607" si="289">G608+G611</f>
        <v>2744</v>
      </c>
      <c r="H607" s="450">
        <f t="shared" si="279"/>
        <v>100</v>
      </c>
    </row>
    <row r="608" spans="1:8" s="200" customFormat="1" ht="34.5" customHeight="1" x14ac:dyDescent="0.25">
      <c r="A608" s="458" t="s">
        <v>284</v>
      </c>
      <c r="B608" s="454" t="s">
        <v>264</v>
      </c>
      <c r="C608" s="454" t="s">
        <v>213</v>
      </c>
      <c r="D608" s="454" t="s">
        <v>1259</v>
      </c>
      <c r="E608" s="454"/>
      <c r="F608" s="451">
        <f>F609</f>
        <v>44</v>
      </c>
      <c r="G608" s="451">
        <f t="shared" ref="G608:G609" si="290">G609</f>
        <v>44</v>
      </c>
      <c r="H608" s="451">
        <f t="shared" si="279"/>
        <v>100</v>
      </c>
    </row>
    <row r="609" spans="1:8" s="200" customFormat="1" ht="41.25" customHeight="1" x14ac:dyDescent="0.25">
      <c r="A609" s="458" t="s">
        <v>272</v>
      </c>
      <c r="B609" s="454" t="s">
        <v>264</v>
      </c>
      <c r="C609" s="454" t="s">
        <v>213</v>
      </c>
      <c r="D609" s="454" t="s">
        <v>1259</v>
      </c>
      <c r="E609" s="454" t="s">
        <v>273</v>
      </c>
      <c r="F609" s="451">
        <f>F610</f>
        <v>44</v>
      </c>
      <c r="G609" s="451">
        <f t="shared" si="290"/>
        <v>44</v>
      </c>
      <c r="H609" s="451">
        <f t="shared" si="279"/>
        <v>100</v>
      </c>
    </row>
    <row r="610" spans="1:8" s="200" customFormat="1" ht="15" customHeight="1" x14ac:dyDescent="0.25">
      <c r="A610" s="458" t="s">
        <v>274</v>
      </c>
      <c r="B610" s="454" t="s">
        <v>264</v>
      </c>
      <c r="C610" s="454" t="s">
        <v>213</v>
      </c>
      <c r="D610" s="454" t="s">
        <v>1259</v>
      </c>
      <c r="E610" s="454" t="s">
        <v>275</v>
      </c>
      <c r="F610" s="451">
        <f>'Пр.4 ведом.21'!G679</f>
        <v>44</v>
      </c>
      <c r="G610" s="451">
        <f>'Пр.4 ведом.21'!H679</f>
        <v>44</v>
      </c>
      <c r="H610" s="451">
        <f t="shared" si="279"/>
        <v>100</v>
      </c>
    </row>
    <row r="611" spans="1:8" s="200" customFormat="1" ht="36.75" customHeight="1" x14ac:dyDescent="0.25">
      <c r="A611" s="60" t="s">
        <v>764</v>
      </c>
      <c r="B611" s="454" t="s">
        <v>264</v>
      </c>
      <c r="C611" s="454" t="s">
        <v>213</v>
      </c>
      <c r="D611" s="454" t="s">
        <v>1242</v>
      </c>
      <c r="E611" s="454"/>
      <c r="F611" s="451">
        <f>F612</f>
        <v>2700</v>
      </c>
      <c r="G611" s="451">
        <f t="shared" ref="G611:G612" si="291">G612</f>
        <v>2700</v>
      </c>
      <c r="H611" s="451">
        <f t="shared" si="279"/>
        <v>100</v>
      </c>
    </row>
    <row r="612" spans="1:8" s="200" customFormat="1" ht="45.75" customHeight="1" x14ac:dyDescent="0.25">
      <c r="A612" s="29" t="s">
        <v>272</v>
      </c>
      <c r="B612" s="454" t="s">
        <v>264</v>
      </c>
      <c r="C612" s="454" t="s">
        <v>213</v>
      </c>
      <c r="D612" s="454" t="s">
        <v>1242</v>
      </c>
      <c r="E612" s="454" t="s">
        <v>273</v>
      </c>
      <c r="F612" s="451">
        <f>F613</f>
        <v>2700</v>
      </c>
      <c r="G612" s="451">
        <f t="shared" si="291"/>
        <v>2700</v>
      </c>
      <c r="H612" s="451">
        <f t="shared" si="279"/>
        <v>100</v>
      </c>
    </row>
    <row r="613" spans="1:8" s="200" customFormat="1" ht="15" customHeight="1" x14ac:dyDescent="0.25">
      <c r="A613" s="182" t="s">
        <v>274</v>
      </c>
      <c r="B613" s="454" t="s">
        <v>264</v>
      </c>
      <c r="C613" s="454" t="s">
        <v>213</v>
      </c>
      <c r="D613" s="454" t="s">
        <v>1242</v>
      </c>
      <c r="E613" s="454" t="s">
        <v>275</v>
      </c>
      <c r="F613" s="451">
        <f>'Пр.4 ведом.21'!G682</f>
        <v>2700</v>
      </c>
      <c r="G613" s="451">
        <f>'Пр.4 ведом.21'!H682</f>
        <v>2700</v>
      </c>
      <c r="H613" s="451">
        <f t="shared" si="279"/>
        <v>100</v>
      </c>
    </row>
    <row r="614" spans="1:8" ht="35.450000000000003" customHeight="1" x14ac:dyDescent="0.25">
      <c r="A614" s="456" t="s">
        <v>938</v>
      </c>
      <c r="B614" s="457" t="s">
        <v>264</v>
      </c>
      <c r="C614" s="457" t="s">
        <v>213</v>
      </c>
      <c r="D614" s="457" t="s">
        <v>1255</v>
      </c>
      <c r="E614" s="457"/>
      <c r="F614" s="450">
        <f>F615</f>
        <v>3001.8</v>
      </c>
      <c r="G614" s="450">
        <f t="shared" ref="G614:G616" si="292">G615</f>
        <v>1422.086</v>
      </c>
      <c r="H614" s="450">
        <f t="shared" si="279"/>
        <v>47.374442001465781</v>
      </c>
    </row>
    <row r="615" spans="1:8" s="200" customFormat="1" ht="49.7" customHeight="1" x14ac:dyDescent="0.25">
      <c r="A615" s="29" t="s">
        <v>602</v>
      </c>
      <c r="B615" s="454" t="s">
        <v>264</v>
      </c>
      <c r="C615" s="454" t="s">
        <v>213</v>
      </c>
      <c r="D615" s="454" t="s">
        <v>1256</v>
      </c>
      <c r="E615" s="454"/>
      <c r="F615" s="451">
        <f>F616</f>
        <v>3001.8</v>
      </c>
      <c r="G615" s="451">
        <f t="shared" si="292"/>
        <v>1422.086</v>
      </c>
      <c r="H615" s="451">
        <f t="shared" si="279"/>
        <v>47.374442001465781</v>
      </c>
    </row>
    <row r="616" spans="1:8" s="200" customFormat="1" ht="38.25" customHeight="1" x14ac:dyDescent="0.25">
      <c r="A616" s="458" t="s">
        <v>272</v>
      </c>
      <c r="B616" s="454" t="s">
        <v>264</v>
      </c>
      <c r="C616" s="454" t="s">
        <v>213</v>
      </c>
      <c r="D616" s="454" t="s">
        <v>1256</v>
      </c>
      <c r="E616" s="454" t="s">
        <v>273</v>
      </c>
      <c r="F616" s="451">
        <f>F617</f>
        <v>3001.8</v>
      </c>
      <c r="G616" s="451">
        <f t="shared" si="292"/>
        <v>1422.086</v>
      </c>
      <c r="H616" s="451">
        <f t="shared" si="279"/>
        <v>47.374442001465781</v>
      </c>
    </row>
    <row r="617" spans="1:8" s="200" customFormat="1" ht="14.25" customHeight="1" x14ac:dyDescent="0.25">
      <c r="A617" s="458" t="s">
        <v>274</v>
      </c>
      <c r="B617" s="454" t="s">
        <v>264</v>
      </c>
      <c r="C617" s="454" t="s">
        <v>213</v>
      </c>
      <c r="D617" s="454" t="s">
        <v>1256</v>
      </c>
      <c r="E617" s="454" t="s">
        <v>275</v>
      </c>
      <c r="F617" s="451">
        <f>'Пр.4 ведом.21'!G686</f>
        <v>3001.8</v>
      </c>
      <c r="G617" s="451">
        <f>'Пр.4 ведом.21'!H686</f>
        <v>1422.086</v>
      </c>
      <c r="H617" s="451">
        <f t="shared" si="279"/>
        <v>47.374442001465781</v>
      </c>
    </row>
    <row r="618" spans="1:8" ht="32.25" customHeight="1" x14ac:dyDescent="0.25">
      <c r="A618" s="456" t="s">
        <v>939</v>
      </c>
      <c r="B618" s="457" t="s">
        <v>264</v>
      </c>
      <c r="C618" s="457" t="s">
        <v>213</v>
      </c>
      <c r="D618" s="457" t="s">
        <v>1257</v>
      </c>
      <c r="E618" s="457"/>
      <c r="F618" s="450">
        <f>F619</f>
        <v>1384.6</v>
      </c>
      <c r="G618" s="450">
        <f t="shared" ref="G618:G620" si="293">G619</f>
        <v>500</v>
      </c>
      <c r="H618" s="450">
        <f t="shared" si="279"/>
        <v>36.111512350137225</v>
      </c>
    </row>
    <row r="619" spans="1:8" ht="48.75" customHeight="1" x14ac:dyDescent="0.25">
      <c r="A619" s="458" t="s">
        <v>438</v>
      </c>
      <c r="B619" s="454" t="s">
        <v>264</v>
      </c>
      <c r="C619" s="454" t="s">
        <v>213</v>
      </c>
      <c r="D619" s="454" t="s">
        <v>1258</v>
      </c>
      <c r="E619" s="454"/>
      <c r="F619" s="451">
        <f>F620</f>
        <v>1384.6</v>
      </c>
      <c r="G619" s="451">
        <f t="shared" si="293"/>
        <v>500</v>
      </c>
      <c r="H619" s="451">
        <f t="shared" si="279"/>
        <v>36.111512350137225</v>
      </c>
    </row>
    <row r="620" spans="1:8" ht="37.5" customHeight="1" x14ac:dyDescent="0.25">
      <c r="A620" s="458" t="s">
        <v>272</v>
      </c>
      <c r="B620" s="454" t="s">
        <v>264</v>
      </c>
      <c r="C620" s="454" t="s">
        <v>213</v>
      </c>
      <c r="D620" s="454" t="s">
        <v>1258</v>
      </c>
      <c r="E620" s="454" t="s">
        <v>273</v>
      </c>
      <c r="F620" s="451">
        <f>F621</f>
        <v>1384.6</v>
      </c>
      <c r="G620" s="451">
        <f t="shared" si="293"/>
        <v>500</v>
      </c>
      <c r="H620" s="451">
        <f t="shared" si="279"/>
        <v>36.111512350137225</v>
      </c>
    </row>
    <row r="621" spans="1:8" ht="15" customHeight="1" x14ac:dyDescent="0.25">
      <c r="A621" s="458" t="s">
        <v>274</v>
      </c>
      <c r="B621" s="454" t="s">
        <v>264</v>
      </c>
      <c r="C621" s="454" t="s">
        <v>213</v>
      </c>
      <c r="D621" s="454" t="s">
        <v>1258</v>
      </c>
      <c r="E621" s="454" t="s">
        <v>275</v>
      </c>
      <c r="F621" s="451">
        <f>'Пр.4 ведом.21'!G690</f>
        <v>1384.6</v>
      </c>
      <c r="G621" s="451">
        <f>'Пр.4 ведом.21'!H690</f>
        <v>500</v>
      </c>
      <c r="H621" s="451">
        <f t="shared" si="279"/>
        <v>36.111512350137225</v>
      </c>
    </row>
    <row r="622" spans="1:8" ht="31.7" customHeight="1" x14ac:dyDescent="0.25">
      <c r="A622" s="212" t="s">
        <v>940</v>
      </c>
      <c r="B622" s="457" t="s">
        <v>264</v>
      </c>
      <c r="C622" s="457" t="s">
        <v>213</v>
      </c>
      <c r="D622" s="457" t="s">
        <v>1260</v>
      </c>
      <c r="E622" s="457"/>
      <c r="F622" s="450">
        <f>F623</f>
        <v>752.9</v>
      </c>
      <c r="G622" s="450">
        <f t="shared" ref="G622" si="294">G623</f>
        <v>268.57029999999997</v>
      </c>
      <c r="H622" s="450">
        <f t="shared" si="279"/>
        <v>35.671443750830122</v>
      </c>
    </row>
    <row r="623" spans="1:8" ht="51" customHeight="1" x14ac:dyDescent="0.25">
      <c r="A623" s="182" t="s">
        <v>828</v>
      </c>
      <c r="B623" s="454" t="s">
        <v>264</v>
      </c>
      <c r="C623" s="454" t="s">
        <v>213</v>
      </c>
      <c r="D623" s="454" t="s">
        <v>1429</v>
      </c>
      <c r="E623" s="454"/>
      <c r="F623" s="451">
        <f t="shared" ref="F623:G624" si="295">F624</f>
        <v>752.9</v>
      </c>
      <c r="G623" s="451">
        <f t="shared" si="295"/>
        <v>268.57029999999997</v>
      </c>
      <c r="H623" s="451">
        <f t="shared" si="279"/>
        <v>35.671443750830122</v>
      </c>
    </row>
    <row r="624" spans="1:8" ht="33" customHeight="1" x14ac:dyDescent="0.25">
      <c r="A624" s="31" t="s">
        <v>272</v>
      </c>
      <c r="B624" s="454" t="s">
        <v>264</v>
      </c>
      <c r="C624" s="454" t="s">
        <v>213</v>
      </c>
      <c r="D624" s="454" t="s">
        <v>1429</v>
      </c>
      <c r="E624" s="454" t="s">
        <v>273</v>
      </c>
      <c r="F624" s="451">
        <f>F625</f>
        <v>752.9</v>
      </c>
      <c r="G624" s="451">
        <f t="shared" si="295"/>
        <v>268.57029999999997</v>
      </c>
      <c r="H624" s="451">
        <f t="shared" si="279"/>
        <v>35.671443750830122</v>
      </c>
    </row>
    <row r="625" spans="1:8" ht="15.75" x14ac:dyDescent="0.25">
      <c r="A625" s="31" t="s">
        <v>274</v>
      </c>
      <c r="B625" s="454" t="s">
        <v>264</v>
      </c>
      <c r="C625" s="454" t="s">
        <v>213</v>
      </c>
      <c r="D625" s="454" t="s">
        <v>1429</v>
      </c>
      <c r="E625" s="454" t="s">
        <v>275</v>
      </c>
      <c r="F625" s="451">
        <f>'Пр.4 ведом.21'!G694</f>
        <v>752.9</v>
      </c>
      <c r="G625" s="451">
        <f>'Пр.4 ведом.21'!H694</f>
        <v>268.57029999999997</v>
      </c>
      <c r="H625" s="451">
        <f t="shared" si="279"/>
        <v>35.671443750830122</v>
      </c>
    </row>
    <row r="626" spans="1:8" s="200" customFormat="1" ht="31.5" x14ac:dyDescent="0.25">
      <c r="A626" s="288" t="s">
        <v>1408</v>
      </c>
      <c r="B626" s="457" t="s">
        <v>264</v>
      </c>
      <c r="C626" s="457" t="s">
        <v>213</v>
      </c>
      <c r="D626" s="457" t="s">
        <v>1407</v>
      </c>
      <c r="E626" s="457"/>
      <c r="F626" s="455">
        <f>F627</f>
        <v>5296.5999999999995</v>
      </c>
      <c r="G626" s="455">
        <f t="shared" ref="G626:G628" si="296">G627</f>
        <v>2647.9048499999999</v>
      </c>
      <c r="H626" s="450">
        <f t="shared" si="279"/>
        <v>49.992539553675947</v>
      </c>
    </row>
    <row r="627" spans="1:8" ht="63" x14ac:dyDescent="0.25">
      <c r="A627" s="287" t="s">
        <v>1394</v>
      </c>
      <c r="B627" s="454" t="s">
        <v>264</v>
      </c>
      <c r="C627" s="454" t="s">
        <v>213</v>
      </c>
      <c r="D627" s="454" t="s">
        <v>1454</v>
      </c>
      <c r="E627" s="454"/>
      <c r="F627" s="459">
        <f>F628</f>
        <v>5296.5999999999995</v>
      </c>
      <c r="G627" s="459">
        <f t="shared" si="296"/>
        <v>2647.9048499999999</v>
      </c>
      <c r="H627" s="451">
        <f t="shared" si="279"/>
        <v>49.992539553675947</v>
      </c>
    </row>
    <row r="628" spans="1:8" ht="47.25" x14ac:dyDescent="0.25">
      <c r="A628" s="31" t="s">
        <v>272</v>
      </c>
      <c r="B628" s="454" t="s">
        <v>264</v>
      </c>
      <c r="C628" s="454" t="s">
        <v>213</v>
      </c>
      <c r="D628" s="454" t="s">
        <v>1454</v>
      </c>
      <c r="E628" s="454" t="s">
        <v>273</v>
      </c>
      <c r="F628" s="459">
        <f>F629</f>
        <v>5296.5999999999995</v>
      </c>
      <c r="G628" s="459">
        <f t="shared" si="296"/>
        <v>2647.9048499999999</v>
      </c>
      <c r="H628" s="451">
        <f t="shared" si="279"/>
        <v>49.992539553675947</v>
      </c>
    </row>
    <row r="629" spans="1:8" ht="15.75" x14ac:dyDescent="0.25">
      <c r="A629" s="31" t="s">
        <v>274</v>
      </c>
      <c r="B629" s="454" t="s">
        <v>264</v>
      </c>
      <c r="C629" s="454" t="s">
        <v>213</v>
      </c>
      <c r="D629" s="454" t="s">
        <v>1454</v>
      </c>
      <c r="E629" s="454" t="s">
        <v>275</v>
      </c>
      <c r="F629" s="459">
        <f>'Пр.4 ведом.21'!G698</f>
        <v>5296.5999999999995</v>
      </c>
      <c r="G629" s="459">
        <f>'Пр.4 ведом.21'!H698</f>
        <v>2647.9048499999999</v>
      </c>
      <c r="H629" s="451">
        <f t="shared" si="279"/>
        <v>49.992539553675947</v>
      </c>
    </row>
    <row r="630" spans="1:8" s="200" customFormat="1" ht="31.5" x14ac:dyDescent="0.25">
      <c r="A630" s="288" t="s">
        <v>1433</v>
      </c>
      <c r="B630" s="457" t="s">
        <v>264</v>
      </c>
      <c r="C630" s="457" t="s">
        <v>213</v>
      </c>
      <c r="D630" s="457" t="s">
        <v>1418</v>
      </c>
      <c r="E630" s="457"/>
      <c r="F630" s="455">
        <f>F631</f>
        <v>1714</v>
      </c>
      <c r="G630" s="455">
        <f t="shared" ref="G630:G632" si="297">G631</f>
        <v>0</v>
      </c>
      <c r="H630" s="450">
        <f t="shared" si="279"/>
        <v>0</v>
      </c>
    </row>
    <row r="631" spans="1:8" s="200" customFormat="1" ht="31.5" x14ac:dyDescent="0.25">
      <c r="A631" s="287" t="s">
        <v>1419</v>
      </c>
      <c r="B631" s="454" t="s">
        <v>264</v>
      </c>
      <c r="C631" s="454" t="s">
        <v>213</v>
      </c>
      <c r="D631" s="454" t="s">
        <v>1421</v>
      </c>
      <c r="E631" s="454"/>
      <c r="F631" s="459">
        <f>F632</f>
        <v>1714</v>
      </c>
      <c r="G631" s="459">
        <f t="shared" si="297"/>
        <v>0</v>
      </c>
      <c r="H631" s="451">
        <f t="shared" si="279"/>
        <v>0</v>
      </c>
    </row>
    <row r="632" spans="1:8" s="200" customFormat="1" ht="47.25" x14ac:dyDescent="0.25">
      <c r="A632" s="31" t="s">
        <v>272</v>
      </c>
      <c r="B632" s="454" t="s">
        <v>264</v>
      </c>
      <c r="C632" s="454" t="s">
        <v>213</v>
      </c>
      <c r="D632" s="454" t="s">
        <v>1421</v>
      </c>
      <c r="E632" s="454" t="s">
        <v>273</v>
      </c>
      <c r="F632" s="459">
        <f>F633</f>
        <v>1714</v>
      </c>
      <c r="G632" s="459">
        <f t="shared" si="297"/>
        <v>0</v>
      </c>
      <c r="H632" s="451">
        <f t="shared" si="279"/>
        <v>0</v>
      </c>
    </row>
    <row r="633" spans="1:8" s="200" customFormat="1" ht="15.75" x14ac:dyDescent="0.25">
      <c r="A633" s="31" t="s">
        <v>274</v>
      </c>
      <c r="B633" s="454" t="s">
        <v>264</v>
      </c>
      <c r="C633" s="454" t="s">
        <v>213</v>
      </c>
      <c r="D633" s="454" t="s">
        <v>1421</v>
      </c>
      <c r="E633" s="454" t="s">
        <v>275</v>
      </c>
      <c r="F633" s="459">
        <f>'Пр.4 ведом.21'!G702</f>
        <v>1714</v>
      </c>
      <c r="G633" s="459">
        <f>'Пр.4 ведом.21'!H702</f>
        <v>0</v>
      </c>
      <c r="H633" s="451">
        <f t="shared" si="279"/>
        <v>0</v>
      </c>
    </row>
    <row r="634" spans="1:8" s="436" customFormat="1" ht="47.25" x14ac:dyDescent="0.25">
      <c r="A634" s="288" t="s">
        <v>1645</v>
      </c>
      <c r="B634" s="457" t="s">
        <v>264</v>
      </c>
      <c r="C634" s="457" t="s">
        <v>213</v>
      </c>
      <c r="D634" s="457" t="s">
        <v>1647</v>
      </c>
      <c r="E634" s="457"/>
      <c r="F634" s="455">
        <f>F635</f>
        <v>3304.3</v>
      </c>
      <c r="G634" s="455">
        <f t="shared" ref="G634:G636" si="298">G635</f>
        <v>2864.7559999999999</v>
      </c>
      <c r="H634" s="450">
        <f t="shared" si="279"/>
        <v>86.697817994734123</v>
      </c>
    </row>
    <row r="635" spans="1:8" s="436" customFormat="1" ht="47.25" x14ac:dyDescent="0.25">
      <c r="A635" s="287" t="s">
        <v>450</v>
      </c>
      <c r="B635" s="454" t="s">
        <v>264</v>
      </c>
      <c r="C635" s="454" t="s">
        <v>213</v>
      </c>
      <c r="D635" s="454" t="s">
        <v>1647</v>
      </c>
      <c r="E635" s="454"/>
      <c r="F635" s="459">
        <f>F636</f>
        <v>3304.3</v>
      </c>
      <c r="G635" s="459">
        <f t="shared" si="298"/>
        <v>2864.7559999999999</v>
      </c>
      <c r="H635" s="451">
        <f t="shared" si="279"/>
        <v>86.697817994734123</v>
      </c>
    </row>
    <row r="636" spans="1:8" s="436" customFormat="1" ht="47.25" x14ac:dyDescent="0.25">
      <c r="A636" s="31" t="s">
        <v>272</v>
      </c>
      <c r="B636" s="454" t="s">
        <v>264</v>
      </c>
      <c r="C636" s="454" t="s">
        <v>213</v>
      </c>
      <c r="D636" s="454" t="s">
        <v>1647</v>
      </c>
      <c r="E636" s="454" t="s">
        <v>273</v>
      </c>
      <c r="F636" s="459">
        <f>F637</f>
        <v>3304.3</v>
      </c>
      <c r="G636" s="459">
        <f t="shared" si="298"/>
        <v>2864.7559999999999</v>
      </c>
      <c r="H636" s="451">
        <f t="shared" si="279"/>
        <v>86.697817994734123</v>
      </c>
    </row>
    <row r="637" spans="1:8" s="436" customFormat="1" ht="15.75" x14ac:dyDescent="0.25">
      <c r="A637" s="31" t="s">
        <v>274</v>
      </c>
      <c r="B637" s="454" t="s">
        <v>264</v>
      </c>
      <c r="C637" s="454" t="s">
        <v>213</v>
      </c>
      <c r="D637" s="454" t="s">
        <v>1647</v>
      </c>
      <c r="E637" s="454" t="s">
        <v>275</v>
      </c>
      <c r="F637" s="459">
        <f>'Пр.4 ведом.21'!G706</f>
        <v>3304.3</v>
      </c>
      <c r="G637" s="459">
        <f>'Пр.4 ведом.21'!H706</f>
        <v>2864.7559999999999</v>
      </c>
      <c r="H637" s="451">
        <f t="shared" si="279"/>
        <v>86.697817994734123</v>
      </c>
    </row>
    <row r="638" spans="1:8" s="436" customFormat="1" ht="31.5" x14ac:dyDescent="0.25">
      <c r="A638" s="288" t="s">
        <v>1661</v>
      </c>
      <c r="B638" s="457" t="s">
        <v>264</v>
      </c>
      <c r="C638" s="457" t="s">
        <v>213</v>
      </c>
      <c r="D638" s="457" t="s">
        <v>1663</v>
      </c>
      <c r="E638" s="457"/>
      <c r="F638" s="455">
        <f>F639</f>
        <v>297.185</v>
      </c>
      <c r="G638" s="455">
        <f t="shared" ref="G638:G640" si="299">G639</f>
        <v>263.74900000000002</v>
      </c>
      <c r="H638" s="450">
        <f t="shared" si="279"/>
        <v>88.749095681141384</v>
      </c>
    </row>
    <row r="639" spans="1:8" s="436" customFormat="1" ht="31.5" x14ac:dyDescent="0.25">
      <c r="A639" s="287" t="s">
        <v>1662</v>
      </c>
      <c r="B639" s="454" t="s">
        <v>264</v>
      </c>
      <c r="C639" s="454" t="s">
        <v>213</v>
      </c>
      <c r="D639" s="454" t="s">
        <v>1664</v>
      </c>
      <c r="E639" s="454"/>
      <c r="F639" s="459">
        <f>F640</f>
        <v>297.185</v>
      </c>
      <c r="G639" s="459">
        <f t="shared" si="299"/>
        <v>263.74900000000002</v>
      </c>
      <c r="H639" s="451">
        <f t="shared" si="279"/>
        <v>88.749095681141384</v>
      </c>
    </row>
    <row r="640" spans="1:8" s="436" customFormat="1" ht="47.25" x14ac:dyDescent="0.25">
      <c r="A640" s="31" t="s">
        <v>272</v>
      </c>
      <c r="B640" s="454" t="s">
        <v>264</v>
      </c>
      <c r="C640" s="454" t="s">
        <v>213</v>
      </c>
      <c r="D640" s="454" t="s">
        <v>1664</v>
      </c>
      <c r="E640" s="454" t="s">
        <v>273</v>
      </c>
      <c r="F640" s="459">
        <f>F641</f>
        <v>297.185</v>
      </c>
      <c r="G640" s="459">
        <f t="shared" si="299"/>
        <v>263.74900000000002</v>
      </c>
      <c r="H640" s="451">
        <f t="shared" si="279"/>
        <v>88.749095681141384</v>
      </c>
    </row>
    <row r="641" spans="1:8" s="436" customFormat="1" ht="15.75" x14ac:dyDescent="0.25">
      <c r="A641" s="31" t="s">
        <v>274</v>
      </c>
      <c r="B641" s="454" t="s">
        <v>264</v>
      </c>
      <c r="C641" s="454" t="s">
        <v>213</v>
      </c>
      <c r="D641" s="454" t="s">
        <v>1664</v>
      </c>
      <c r="E641" s="454" t="s">
        <v>275</v>
      </c>
      <c r="F641" s="459">
        <f>'Пр.4 ведом.21'!G710</f>
        <v>297.185</v>
      </c>
      <c r="G641" s="459">
        <f>'Пр.4 ведом.21'!H710</f>
        <v>263.74900000000002</v>
      </c>
      <c r="H641" s="451">
        <f t="shared" si="279"/>
        <v>88.749095681141384</v>
      </c>
    </row>
    <row r="642" spans="1:8" s="200" customFormat="1" ht="47.25" x14ac:dyDescent="0.25">
      <c r="A642" s="212" t="s">
        <v>1173</v>
      </c>
      <c r="B642" s="457" t="s">
        <v>264</v>
      </c>
      <c r="C642" s="457" t="s">
        <v>213</v>
      </c>
      <c r="D642" s="457" t="s">
        <v>1321</v>
      </c>
      <c r="E642" s="457"/>
      <c r="F642" s="455">
        <f>F643</f>
        <v>1570.7</v>
      </c>
      <c r="G642" s="455">
        <f t="shared" ref="G642:G644" si="300">G643</f>
        <v>1570.7</v>
      </c>
      <c r="H642" s="450">
        <f t="shared" si="279"/>
        <v>100</v>
      </c>
    </row>
    <row r="643" spans="1:8" s="200" customFormat="1" ht="66.599999999999994" customHeight="1" x14ac:dyDescent="0.25">
      <c r="A643" s="182" t="s">
        <v>1530</v>
      </c>
      <c r="B643" s="454" t="s">
        <v>264</v>
      </c>
      <c r="C643" s="454" t="s">
        <v>213</v>
      </c>
      <c r="D643" s="454" t="s">
        <v>1322</v>
      </c>
      <c r="E643" s="454"/>
      <c r="F643" s="459">
        <f>F644</f>
        <v>1570.7</v>
      </c>
      <c r="G643" s="459">
        <f t="shared" si="300"/>
        <v>1570.7</v>
      </c>
      <c r="H643" s="451">
        <f t="shared" si="279"/>
        <v>100</v>
      </c>
    </row>
    <row r="644" spans="1:8" s="200" customFormat="1" ht="47.25" x14ac:dyDescent="0.25">
      <c r="A644" s="31" t="s">
        <v>272</v>
      </c>
      <c r="B644" s="454" t="s">
        <v>264</v>
      </c>
      <c r="C644" s="454" t="s">
        <v>213</v>
      </c>
      <c r="D644" s="454" t="s">
        <v>1322</v>
      </c>
      <c r="E644" s="454" t="s">
        <v>273</v>
      </c>
      <c r="F644" s="459">
        <f>F645</f>
        <v>1570.7</v>
      </c>
      <c r="G644" s="459">
        <f t="shared" si="300"/>
        <v>1570.7</v>
      </c>
      <c r="H644" s="451">
        <f t="shared" si="279"/>
        <v>100</v>
      </c>
    </row>
    <row r="645" spans="1:8" s="200" customFormat="1" ht="15.75" x14ac:dyDescent="0.25">
      <c r="A645" s="31" t="s">
        <v>274</v>
      </c>
      <c r="B645" s="454" t="s">
        <v>264</v>
      </c>
      <c r="C645" s="454" t="s">
        <v>213</v>
      </c>
      <c r="D645" s="454" t="s">
        <v>1322</v>
      </c>
      <c r="E645" s="454" t="s">
        <v>275</v>
      </c>
      <c r="F645" s="459">
        <f>'Пр.4 ведом.21'!G714</f>
        <v>1570.7</v>
      </c>
      <c r="G645" s="459">
        <f>'Пр.4 ведом.21'!H714</f>
        <v>1570.7</v>
      </c>
      <c r="H645" s="451">
        <f t="shared" si="279"/>
        <v>100</v>
      </c>
    </row>
    <row r="646" spans="1:8" s="200" customFormat="1" ht="31.5" x14ac:dyDescent="0.25">
      <c r="A646" s="34" t="s">
        <v>1468</v>
      </c>
      <c r="B646" s="457" t="s">
        <v>264</v>
      </c>
      <c r="C646" s="457" t="s">
        <v>213</v>
      </c>
      <c r="D646" s="457" t="s">
        <v>1469</v>
      </c>
      <c r="E646" s="454"/>
      <c r="F646" s="455">
        <f>F647</f>
        <v>2692.1</v>
      </c>
      <c r="G646" s="455">
        <f t="shared" ref="G646:G648" si="301">G647</f>
        <v>2691.1640000000002</v>
      </c>
      <c r="H646" s="450">
        <f t="shared" si="279"/>
        <v>99.965231603580861</v>
      </c>
    </row>
    <row r="647" spans="1:8" s="200" customFormat="1" ht="51" customHeight="1" x14ac:dyDescent="0.25">
      <c r="A647" s="31" t="s">
        <v>1531</v>
      </c>
      <c r="B647" s="454" t="s">
        <v>264</v>
      </c>
      <c r="C647" s="454" t="s">
        <v>213</v>
      </c>
      <c r="D647" s="454" t="s">
        <v>1470</v>
      </c>
      <c r="E647" s="454"/>
      <c r="F647" s="459">
        <f>F648</f>
        <v>2692.1</v>
      </c>
      <c r="G647" s="459">
        <f t="shared" si="301"/>
        <v>2691.1640000000002</v>
      </c>
      <c r="H647" s="451">
        <f t="shared" si="279"/>
        <v>99.965231603580861</v>
      </c>
    </row>
    <row r="648" spans="1:8" s="200" customFormat="1" ht="47.25" x14ac:dyDescent="0.25">
      <c r="A648" s="31" t="s">
        <v>272</v>
      </c>
      <c r="B648" s="454" t="s">
        <v>264</v>
      </c>
      <c r="C648" s="454" t="s">
        <v>213</v>
      </c>
      <c r="D648" s="454" t="s">
        <v>1470</v>
      </c>
      <c r="E648" s="454" t="s">
        <v>273</v>
      </c>
      <c r="F648" s="459">
        <f>F649</f>
        <v>2692.1</v>
      </c>
      <c r="G648" s="459">
        <f t="shared" si="301"/>
        <v>2691.1640000000002</v>
      </c>
      <c r="H648" s="451">
        <f t="shared" si="279"/>
        <v>99.965231603580861</v>
      </c>
    </row>
    <row r="649" spans="1:8" s="200" customFormat="1" ht="15.75" x14ac:dyDescent="0.25">
      <c r="A649" s="31" t="s">
        <v>274</v>
      </c>
      <c r="B649" s="454" t="s">
        <v>264</v>
      </c>
      <c r="C649" s="454" t="s">
        <v>213</v>
      </c>
      <c r="D649" s="454" t="s">
        <v>1470</v>
      </c>
      <c r="E649" s="454" t="s">
        <v>275</v>
      </c>
      <c r="F649" s="459">
        <f>'Пр.4 ведом.21'!G718</f>
        <v>2692.1</v>
      </c>
      <c r="G649" s="459">
        <f>'Пр.4 ведом.21'!H718</f>
        <v>2691.1640000000002</v>
      </c>
      <c r="H649" s="451">
        <f t="shared" si="279"/>
        <v>99.965231603580861</v>
      </c>
    </row>
    <row r="650" spans="1:8" s="200" customFormat="1" ht="47.25" hidden="1" x14ac:dyDescent="0.25">
      <c r="A650" s="34" t="s">
        <v>1360</v>
      </c>
      <c r="B650" s="457" t="s">
        <v>264</v>
      </c>
      <c r="C650" s="457" t="s">
        <v>213</v>
      </c>
      <c r="D650" s="457" t="s">
        <v>324</v>
      </c>
      <c r="E650" s="457"/>
      <c r="F650" s="450">
        <f t="shared" ref="F650:G651" si="302">F651</f>
        <v>0</v>
      </c>
      <c r="G650" s="450">
        <f t="shared" si="302"/>
        <v>0</v>
      </c>
      <c r="H650" s="451" t="e">
        <f t="shared" si="279"/>
        <v>#DIV/0!</v>
      </c>
    </row>
    <row r="651" spans="1:8" s="200" customFormat="1" ht="63" hidden="1" x14ac:dyDescent="0.25">
      <c r="A651" s="34" t="s">
        <v>1024</v>
      </c>
      <c r="B651" s="457" t="s">
        <v>264</v>
      </c>
      <c r="C651" s="457" t="s">
        <v>213</v>
      </c>
      <c r="D651" s="457" t="s">
        <v>934</v>
      </c>
      <c r="E651" s="457"/>
      <c r="F651" s="450">
        <f>F652</f>
        <v>0</v>
      </c>
      <c r="G651" s="450">
        <f t="shared" si="302"/>
        <v>0</v>
      </c>
      <c r="H651" s="451" t="e">
        <f t="shared" ref="H651:H714" si="303">G651/F651*100</f>
        <v>#DIV/0!</v>
      </c>
    </row>
    <row r="652" spans="1:8" s="200" customFormat="1" ht="47.25" hidden="1" x14ac:dyDescent="0.25">
      <c r="A652" s="31" t="s">
        <v>1008</v>
      </c>
      <c r="B652" s="454" t="s">
        <v>264</v>
      </c>
      <c r="C652" s="454" t="s">
        <v>213</v>
      </c>
      <c r="D652" s="454" t="s">
        <v>935</v>
      </c>
      <c r="E652" s="454"/>
      <c r="F652" s="451">
        <f t="shared" ref="F652:G653" si="304">F653</f>
        <v>0</v>
      </c>
      <c r="G652" s="451">
        <f t="shared" si="304"/>
        <v>0</v>
      </c>
      <c r="H652" s="451" t="e">
        <f t="shared" si="303"/>
        <v>#DIV/0!</v>
      </c>
    </row>
    <row r="653" spans="1:8" s="200" customFormat="1" ht="47.25" hidden="1" x14ac:dyDescent="0.25">
      <c r="A653" s="31" t="s">
        <v>272</v>
      </c>
      <c r="B653" s="454" t="s">
        <v>264</v>
      </c>
      <c r="C653" s="454" t="s">
        <v>213</v>
      </c>
      <c r="D653" s="454" t="s">
        <v>935</v>
      </c>
      <c r="E653" s="454" t="s">
        <v>273</v>
      </c>
      <c r="F653" s="451">
        <f t="shared" si="304"/>
        <v>0</v>
      </c>
      <c r="G653" s="451">
        <f t="shared" si="304"/>
        <v>0</v>
      </c>
      <c r="H653" s="451" t="e">
        <f t="shared" si="303"/>
        <v>#DIV/0!</v>
      </c>
    </row>
    <row r="654" spans="1:8" s="200" customFormat="1" ht="15.75" hidden="1" x14ac:dyDescent="0.25">
      <c r="A654" s="31" t="s">
        <v>274</v>
      </c>
      <c r="B654" s="454" t="s">
        <v>264</v>
      </c>
      <c r="C654" s="454" t="s">
        <v>213</v>
      </c>
      <c r="D654" s="454" t="s">
        <v>935</v>
      </c>
      <c r="E654" s="454" t="s">
        <v>275</v>
      </c>
      <c r="F654" s="451">
        <f>'Пр.4 ведом.21'!G723</f>
        <v>0</v>
      </c>
      <c r="G654" s="451">
        <f>'Пр.4 ведом.21'!H723</f>
        <v>0</v>
      </c>
      <c r="H654" s="451" t="e">
        <f t="shared" si="303"/>
        <v>#DIV/0!</v>
      </c>
    </row>
    <row r="655" spans="1:8" ht="47.25" x14ac:dyDescent="0.25">
      <c r="A655" s="462" t="s">
        <v>1355</v>
      </c>
      <c r="B655" s="457" t="s">
        <v>264</v>
      </c>
      <c r="C655" s="457" t="s">
        <v>213</v>
      </c>
      <c r="D655" s="457" t="s">
        <v>705</v>
      </c>
      <c r="E655" s="465"/>
      <c r="F655" s="450">
        <f t="shared" ref="F655:G657" si="305">F656</f>
        <v>837</v>
      </c>
      <c r="G655" s="450">
        <f t="shared" si="305"/>
        <v>522.16800000000001</v>
      </c>
      <c r="H655" s="450">
        <f t="shared" si="303"/>
        <v>62.385663082437283</v>
      </c>
    </row>
    <row r="656" spans="1:8" ht="47.25" x14ac:dyDescent="0.25">
      <c r="A656" s="462" t="s">
        <v>890</v>
      </c>
      <c r="B656" s="457" t="s">
        <v>264</v>
      </c>
      <c r="C656" s="457" t="s">
        <v>213</v>
      </c>
      <c r="D656" s="457" t="s">
        <v>888</v>
      </c>
      <c r="E656" s="465"/>
      <c r="F656" s="450">
        <f t="shared" si="305"/>
        <v>837</v>
      </c>
      <c r="G656" s="450">
        <f t="shared" si="305"/>
        <v>522.16800000000001</v>
      </c>
      <c r="H656" s="450">
        <f t="shared" si="303"/>
        <v>62.385663082437283</v>
      </c>
    </row>
    <row r="657" spans="1:12" ht="47.25" x14ac:dyDescent="0.25">
      <c r="A657" s="98" t="s">
        <v>780</v>
      </c>
      <c r="B657" s="454" t="s">
        <v>264</v>
      </c>
      <c r="C657" s="454" t="s">
        <v>213</v>
      </c>
      <c r="D657" s="454" t="s">
        <v>936</v>
      </c>
      <c r="E657" s="460"/>
      <c r="F657" s="451">
        <f>F658</f>
        <v>837</v>
      </c>
      <c r="G657" s="451">
        <f t="shared" si="305"/>
        <v>522.16800000000001</v>
      </c>
      <c r="H657" s="451">
        <f t="shared" si="303"/>
        <v>62.385663082437283</v>
      </c>
    </row>
    <row r="658" spans="1:12" ht="36.75" customHeight="1" x14ac:dyDescent="0.25">
      <c r="A658" s="29" t="s">
        <v>272</v>
      </c>
      <c r="B658" s="454" t="s">
        <v>264</v>
      </c>
      <c r="C658" s="454" t="s">
        <v>213</v>
      </c>
      <c r="D658" s="454" t="s">
        <v>936</v>
      </c>
      <c r="E658" s="460" t="s">
        <v>273</v>
      </c>
      <c r="F658" s="451">
        <f t="shared" ref="F658:G658" si="306">F659</f>
        <v>837</v>
      </c>
      <c r="G658" s="451">
        <f t="shared" si="306"/>
        <v>522.16800000000001</v>
      </c>
      <c r="H658" s="451">
        <f t="shared" si="303"/>
        <v>62.385663082437283</v>
      </c>
    </row>
    <row r="659" spans="1:12" ht="15.75" x14ac:dyDescent="0.25">
      <c r="A659" s="182" t="s">
        <v>274</v>
      </c>
      <c r="B659" s="454" t="s">
        <v>264</v>
      </c>
      <c r="C659" s="454" t="s">
        <v>213</v>
      </c>
      <c r="D659" s="454" t="s">
        <v>936</v>
      </c>
      <c r="E659" s="460" t="s">
        <v>275</v>
      </c>
      <c r="F659" s="451">
        <f>'Пр.4 ведом.21'!G728</f>
        <v>837</v>
      </c>
      <c r="G659" s="451">
        <f>'Пр.4 ведом.21'!H728</f>
        <v>522.16800000000001</v>
      </c>
      <c r="H659" s="451">
        <f t="shared" si="303"/>
        <v>62.385663082437283</v>
      </c>
    </row>
    <row r="660" spans="1:12" ht="15.75" x14ac:dyDescent="0.25">
      <c r="A660" s="462" t="s">
        <v>265</v>
      </c>
      <c r="B660" s="7" t="s">
        <v>264</v>
      </c>
      <c r="C660" s="7" t="s">
        <v>215</v>
      </c>
      <c r="D660" s="457"/>
      <c r="E660" s="7"/>
      <c r="F660" s="450">
        <f>F661+F687+F727+F722</f>
        <v>60943.270000000011</v>
      </c>
      <c r="G660" s="450">
        <f t="shared" ref="G660" si="307">G661+G687+G727+G722</f>
        <v>38155.640579999999</v>
      </c>
      <c r="H660" s="450">
        <f t="shared" si="303"/>
        <v>62.608456323397142</v>
      </c>
    </row>
    <row r="661" spans="1:12" ht="39.75" customHeight="1" x14ac:dyDescent="0.25">
      <c r="A661" s="456" t="s">
        <v>1361</v>
      </c>
      <c r="B661" s="457" t="s">
        <v>264</v>
      </c>
      <c r="C661" s="457" t="s">
        <v>215</v>
      </c>
      <c r="D661" s="457" t="s">
        <v>406</v>
      </c>
      <c r="E661" s="457"/>
      <c r="F661" s="450">
        <f>F662+F669+F683</f>
        <v>42290.350000000006</v>
      </c>
      <c r="G661" s="450">
        <f t="shared" ref="G661" si="308">G662+G669+G683</f>
        <v>26448.364460000001</v>
      </c>
      <c r="H661" s="450">
        <f t="shared" si="303"/>
        <v>62.539951691106829</v>
      </c>
      <c r="L661" s="22"/>
    </row>
    <row r="662" spans="1:12" ht="31.5" x14ac:dyDescent="0.25">
      <c r="A662" s="456" t="s">
        <v>937</v>
      </c>
      <c r="B662" s="457" t="s">
        <v>264</v>
      </c>
      <c r="C662" s="457" t="s">
        <v>215</v>
      </c>
      <c r="D662" s="457" t="s">
        <v>1231</v>
      </c>
      <c r="E662" s="457"/>
      <c r="F662" s="450">
        <f>F663+F666</f>
        <v>38647.350000000006</v>
      </c>
      <c r="G662" s="450">
        <f t="shared" ref="G662" si="309">G663+G666</f>
        <v>23664.16446</v>
      </c>
      <c r="H662" s="450">
        <f t="shared" si="303"/>
        <v>61.231014442128625</v>
      </c>
    </row>
    <row r="663" spans="1:12" ht="47.25" x14ac:dyDescent="0.25">
      <c r="A663" s="458" t="s">
        <v>270</v>
      </c>
      <c r="B663" s="454" t="s">
        <v>264</v>
      </c>
      <c r="C663" s="454" t="s">
        <v>215</v>
      </c>
      <c r="D663" s="454" t="s">
        <v>1261</v>
      </c>
      <c r="E663" s="454"/>
      <c r="F663" s="451">
        <f t="shared" ref="F663:G663" si="310">F664</f>
        <v>14829.75</v>
      </c>
      <c r="G663" s="451">
        <f t="shared" si="310"/>
        <v>9474.5774600000004</v>
      </c>
      <c r="H663" s="451">
        <f t="shared" si="303"/>
        <v>63.888989767190949</v>
      </c>
    </row>
    <row r="664" spans="1:12" ht="40.700000000000003" customHeight="1" x14ac:dyDescent="0.25">
      <c r="A664" s="458" t="s">
        <v>272</v>
      </c>
      <c r="B664" s="454" t="s">
        <v>264</v>
      </c>
      <c r="C664" s="454" t="s">
        <v>215</v>
      </c>
      <c r="D664" s="454" t="s">
        <v>1261</v>
      </c>
      <c r="E664" s="454" t="s">
        <v>273</v>
      </c>
      <c r="F664" s="451">
        <f>'Пр.4 ведом.21'!G734</f>
        <v>14829.75</v>
      </c>
      <c r="G664" s="451">
        <f>'Пр.4 ведом.21'!H734</f>
        <v>9474.5774600000004</v>
      </c>
      <c r="H664" s="451">
        <f t="shared" si="303"/>
        <v>63.888989767190949</v>
      </c>
    </row>
    <row r="665" spans="1:12" ht="15.75" x14ac:dyDescent="0.25">
      <c r="A665" s="458" t="s">
        <v>274</v>
      </c>
      <c r="B665" s="454" t="s">
        <v>264</v>
      </c>
      <c r="C665" s="454" t="s">
        <v>215</v>
      </c>
      <c r="D665" s="454" t="s">
        <v>1261</v>
      </c>
      <c r="E665" s="454" t="s">
        <v>275</v>
      </c>
      <c r="F665" s="451">
        <f>'Пр.4 ведом.21'!G734</f>
        <v>14829.75</v>
      </c>
      <c r="G665" s="451">
        <f>'Пр.4 ведом.21'!H734</f>
        <v>9474.5774600000004</v>
      </c>
      <c r="H665" s="451">
        <f t="shared" si="303"/>
        <v>63.888989767190949</v>
      </c>
    </row>
    <row r="666" spans="1:12" s="200" customFormat="1" ht="31.5" x14ac:dyDescent="0.25">
      <c r="A666" s="31" t="s">
        <v>1514</v>
      </c>
      <c r="B666" s="454" t="s">
        <v>264</v>
      </c>
      <c r="C666" s="454" t="s">
        <v>215</v>
      </c>
      <c r="D666" s="454" t="s">
        <v>1513</v>
      </c>
      <c r="E666" s="454"/>
      <c r="F666" s="451">
        <f>F667</f>
        <v>23817.600000000002</v>
      </c>
      <c r="G666" s="451">
        <f t="shared" ref="G666:G667" si="311">G667</f>
        <v>14189.587</v>
      </c>
      <c r="H666" s="451">
        <f t="shared" si="303"/>
        <v>59.576057201397283</v>
      </c>
    </row>
    <row r="667" spans="1:12" s="200" customFormat="1" ht="47.25" x14ac:dyDescent="0.25">
      <c r="A667" s="458" t="s">
        <v>272</v>
      </c>
      <c r="B667" s="454" t="s">
        <v>264</v>
      </c>
      <c r="C667" s="454" t="s">
        <v>215</v>
      </c>
      <c r="D667" s="454" t="s">
        <v>1513</v>
      </c>
      <c r="E667" s="454" t="s">
        <v>273</v>
      </c>
      <c r="F667" s="451">
        <f>F668</f>
        <v>23817.600000000002</v>
      </c>
      <c r="G667" s="451">
        <f t="shared" si="311"/>
        <v>14189.587</v>
      </c>
      <c r="H667" s="451">
        <f t="shared" si="303"/>
        <v>59.576057201397283</v>
      </c>
    </row>
    <row r="668" spans="1:12" s="200" customFormat="1" ht="15.75" x14ac:dyDescent="0.25">
      <c r="A668" s="31" t="s">
        <v>274</v>
      </c>
      <c r="B668" s="454" t="s">
        <v>264</v>
      </c>
      <c r="C668" s="454" t="s">
        <v>215</v>
      </c>
      <c r="D668" s="454" t="s">
        <v>1513</v>
      </c>
      <c r="E668" s="454" t="s">
        <v>273</v>
      </c>
      <c r="F668" s="451">
        <f>'Пр.4 ведом.21'!G737</f>
        <v>23817.600000000002</v>
      </c>
      <c r="G668" s="451">
        <f>'Пр.4 ведом.21'!H737</f>
        <v>14189.587</v>
      </c>
      <c r="H668" s="451">
        <f t="shared" si="303"/>
        <v>59.576057201397283</v>
      </c>
    </row>
    <row r="669" spans="1:12" ht="47.25" x14ac:dyDescent="0.25">
      <c r="A669" s="456" t="s">
        <v>900</v>
      </c>
      <c r="B669" s="457" t="s">
        <v>264</v>
      </c>
      <c r="C669" s="457" t="s">
        <v>215</v>
      </c>
      <c r="D669" s="457" t="s">
        <v>1233</v>
      </c>
      <c r="E669" s="457"/>
      <c r="F669" s="450">
        <f>F673+F676+F670</f>
        <v>2243</v>
      </c>
      <c r="G669" s="450">
        <f t="shared" ref="G669" si="312">G673+G676+G670</f>
        <v>1684.2</v>
      </c>
      <c r="H669" s="450">
        <f t="shared" si="303"/>
        <v>75.086937137761936</v>
      </c>
    </row>
    <row r="670" spans="1:12" s="200" customFormat="1" ht="94.5" x14ac:dyDescent="0.25">
      <c r="A670" s="31" t="s">
        <v>293</v>
      </c>
      <c r="B670" s="454" t="s">
        <v>264</v>
      </c>
      <c r="C670" s="454" t="s">
        <v>215</v>
      </c>
      <c r="D670" s="454" t="s">
        <v>1393</v>
      </c>
      <c r="E670" s="454"/>
      <c r="F670" s="451">
        <f>F671</f>
        <v>1400</v>
      </c>
      <c r="G670" s="451">
        <f t="shared" ref="G670" si="313">G671</f>
        <v>1062</v>
      </c>
      <c r="H670" s="451">
        <f t="shared" si="303"/>
        <v>75.857142857142861</v>
      </c>
    </row>
    <row r="671" spans="1:12" s="200" customFormat="1" ht="47.25" x14ac:dyDescent="0.25">
      <c r="A671" s="458" t="s">
        <v>272</v>
      </c>
      <c r="B671" s="454" t="s">
        <v>264</v>
      </c>
      <c r="C671" s="454" t="s">
        <v>215</v>
      </c>
      <c r="D671" s="454" t="s">
        <v>1393</v>
      </c>
      <c r="E671" s="454" t="s">
        <v>273</v>
      </c>
      <c r="F671" s="451">
        <f t="shared" ref="F671:G671" si="314">F672</f>
        <v>1400</v>
      </c>
      <c r="G671" s="451">
        <f t="shared" si="314"/>
        <v>1062</v>
      </c>
      <c r="H671" s="451">
        <f t="shared" si="303"/>
        <v>75.857142857142861</v>
      </c>
    </row>
    <row r="672" spans="1:12" s="200" customFormat="1" ht="15.75" x14ac:dyDescent="0.25">
      <c r="A672" s="458" t="s">
        <v>274</v>
      </c>
      <c r="B672" s="454" t="s">
        <v>264</v>
      </c>
      <c r="C672" s="454" t="s">
        <v>215</v>
      </c>
      <c r="D672" s="454" t="s">
        <v>1393</v>
      </c>
      <c r="E672" s="454" t="s">
        <v>275</v>
      </c>
      <c r="F672" s="451">
        <f>'Пр.4 ведом.21'!G741</f>
        <v>1400</v>
      </c>
      <c r="G672" s="451">
        <f>'Пр.4 ведом.21'!H741</f>
        <v>1062</v>
      </c>
      <c r="H672" s="451">
        <f t="shared" si="303"/>
        <v>75.857142857142861</v>
      </c>
    </row>
    <row r="673" spans="1:8" ht="63" x14ac:dyDescent="0.25">
      <c r="A673" s="31" t="s">
        <v>289</v>
      </c>
      <c r="B673" s="454" t="s">
        <v>264</v>
      </c>
      <c r="C673" s="454" t="s">
        <v>215</v>
      </c>
      <c r="D673" s="454" t="s">
        <v>1234</v>
      </c>
      <c r="E673" s="454"/>
      <c r="F673" s="451">
        <f t="shared" ref="F673:G674" si="315">F674</f>
        <v>179</v>
      </c>
      <c r="G673" s="451">
        <f t="shared" si="315"/>
        <v>101.2</v>
      </c>
      <c r="H673" s="451">
        <f t="shared" si="303"/>
        <v>56.536312849162016</v>
      </c>
    </row>
    <row r="674" spans="1:8" ht="47.25" x14ac:dyDescent="0.25">
      <c r="A674" s="458" t="s">
        <v>272</v>
      </c>
      <c r="B674" s="454" t="s">
        <v>264</v>
      </c>
      <c r="C674" s="454" t="s">
        <v>215</v>
      </c>
      <c r="D674" s="454" t="s">
        <v>1234</v>
      </c>
      <c r="E674" s="454" t="s">
        <v>273</v>
      </c>
      <c r="F674" s="451">
        <f>F675</f>
        <v>179</v>
      </c>
      <c r="G674" s="451">
        <f t="shared" si="315"/>
        <v>101.2</v>
      </c>
      <c r="H674" s="451">
        <f t="shared" si="303"/>
        <v>56.536312849162016</v>
      </c>
    </row>
    <row r="675" spans="1:8" ht="15.75" x14ac:dyDescent="0.25">
      <c r="A675" s="458" t="s">
        <v>274</v>
      </c>
      <c r="B675" s="454" t="s">
        <v>264</v>
      </c>
      <c r="C675" s="454" t="s">
        <v>215</v>
      </c>
      <c r="D675" s="454" t="s">
        <v>1234</v>
      </c>
      <c r="E675" s="454" t="s">
        <v>275</v>
      </c>
      <c r="F675" s="451">
        <f>'Пр.4 ведом.21'!G744</f>
        <v>179</v>
      </c>
      <c r="G675" s="451">
        <f>'Пр.4 ведом.21'!H744</f>
        <v>101.2</v>
      </c>
      <c r="H675" s="451">
        <f t="shared" si="303"/>
        <v>56.536312849162016</v>
      </c>
    </row>
    <row r="676" spans="1:8" ht="63" x14ac:dyDescent="0.25">
      <c r="A676" s="31" t="s">
        <v>291</v>
      </c>
      <c r="B676" s="454" t="s">
        <v>264</v>
      </c>
      <c r="C676" s="454" t="s">
        <v>215</v>
      </c>
      <c r="D676" s="454" t="s">
        <v>1235</v>
      </c>
      <c r="E676" s="454"/>
      <c r="F676" s="451">
        <f t="shared" ref="F676:G677" si="316">F677</f>
        <v>664</v>
      </c>
      <c r="G676" s="451">
        <f t="shared" si="316"/>
        <v>521</v>
      </c>
      <c r="H676" s="451">
        <f t="shared" si="303"/>
        <v>78.463855421686745</v>
      </c>
    </row>
    <row r="677" spans="1:8" ht="47.25" x14ac:dyDescent="0.25">
      <c r="A677" s="458" t="s">
        <v>272</v>
      </c>
      <c r="B677" s="454" t="s">
        <v>264</v>
      </c>
      <c r="C677" s="454" t="s">
        <v>215</v>
      </c>
      <c r="D677" s="454" t="s">
        <v>1235</v>
      </c>
      <c r="E677" s="454" t="s">
        <v>273</v>
      </c>
      <c r="F677" s="451">
        <f>F678</f>
        <v>664</v>
      </c>
      <c r="G677" s="451">
        <f t="shared" si="316"/>
        <v>521</v>
      </c>
      <c r="H677" s="451">
        <f t="shared" si="303"/>
        <v>78.463855421686745</v>
      </c>
    </row>
    <row r="678" spans="1:8" ht="15.75" x14ac:dyDescent="0.25">
      <c r="A678" s="458" t="s">
        <v>274</v>
      </c>
      <c r="B678" s="454" t="s">
        <v>264</v>
      </c>
      <c r="C678" s="454" t="s">
        <v>215</v>
      </c>
      <c r="D678" s="454" t="s">
        <v>1235</v>
      </c>
      <c r="E678" s="454" t="s">
        <v>275</v>
      </c>
      <c r="F678" s="451">
        <f>'Пр.4 ведом.21'!G747</f>
        <v>664</v>
      </c>
      <c r="G678" s="451">
        <f>'Пр.4 ведом.21'!H747</f>
        <v>521</v>
      </c>
      <c r="H678" s="451">
        <f t="shared" si="303"/>
        <v>78.463855421686745</v>
      </c>
    </row>
    <row r="679" spans="1:8" ht="31.7" hidden="1" customHeight="1" x14ac:dyDescent="0.25">
      <c r="A679" s="456" t="s">
        <v>1253</v>
      </c>
      <c r="B679" s="457" t="s">
        <v>264</v>
      </c>
      <c r="C679" s="457" t="s">
        <v>215</v>
      </c>
      <c r="D679" s="457" t="s">
        <v>1238</v>
      </c>
      <c r="E679" s="457"/>
      <c r="F679" s="450">
        <f>F680</f>
        <v>0</v>
      </c>
      <c r="G679" s="450">
        <f t="shared" ref="G679:G681" si="317">G680</f>
        <v>0</v>
      </c>
      <c r="H679" s="451" t="e">
        <f t="shared" si="303"/>
        <v>#DIV/0!</v>
      </c>
    </row>
    <row r="680" spans="1:8" ht="35.450000000000003" hidden="1" customHeight="1" x14ac:dyDescent="0.25">
      <c r="A680" s="45" t="s">
        <v>766</v>
      </c>
      <c r="B680" s="454" t="s">
        <v>264</v>
      </c>
      <c r="C680" s="454" t="s">
        <v>215</v>
      </c>
      <c r="D680" s="454" t="s">
        <v>1330</v>
      </c>
      <c r="E680" s="454"/>
      <c r="F680" s="451">
        <f>F681</f>
        <v>0</v>
      </c>
      <c r="G680" s="451">
        <f t="shared" si="317"/>
        <v>0</v>
      </c>
      <c r="H680" s="451" t="e">
        <f t="shared" si="303"/>
        <v>#DIV/0!</v>
      </c>
    </row>
    <row r="681" spans="1:8" ht="39.75" hidden="1" customHeight="1" x14ac:dyDescent="0.25">
      <c r="A681" s="31" t="s">
        <v>272</v>
      </c>
      <c r="B681" s="454" t="s">
        <v>264</v>
      </c>
      <c r="C681" s="454" t="s">
        <v>215</v>
      </c>
      <c r="D681" s="454" t="s">
        <v>1330</v>
      </c>
      <c r="E681" s="454" t="s">
        <v>273</v>
      </c>
      <c r="F681" s="451">
        <f>F682</f>
        <v>0</v>
      </c>
      <c r="G681" s="451">
        <f t="shared" si="317"/>
        <v>0</v>
      </c>
      <c r="H681" s="451" t="e">
        <f t="shared" si="303"/>
        <v>#DIV/0!</v>
      </c>
    </row>
    <row r="682" spans="1:8" ht="19.5" hidden="1" customHeight="1" x14ac:dyDescent="0.25">
      <c r="A682" s="31" t="s">
        <v>274</v>
      </c>
      <c r="B682" s="454" t="s">
        <v>264</v>
      </c>
      <c r="C682" s="454" t="s">
        <v>215</v>
      </c>
      <c r="D682" s="454" t="s">
        <v>1330</v>
      </c>
      <c r="E682" s="454" t="s">
        <v>275</v>
      </c>
      <c r="F682" s="451">
        <f>'Пр.4 ведом.21'!G751</f>
        <v>0</v>
      </c>
      <c r="G682" s="451">
        <f>'Пр.4 ведом.21'!H751</f>
        <v>0</v>
      </c>
      <c r="H682" s="451" t="e">
        <f t="shared" si="303"/>
        <v>#DIV/0!</v>
      </c>
    </row>
    <row r="683" spans="1:8" ht="33" customHeight="1" x14ac:dyDescent="0.25">
      <c r="A683" s="214" t="s">
        <v>948</v>
      </c>
      <c r="B683" s="457" t="s">
        <v>264</v>
      </c>
      <c r="C683" s="457" t="s">
        <v>215</v>
      </c>
      <c r="D683" s="457" t="s">
        <v>1241</v>
      </c>
      <c r="E683" s="457"/>
      <c r="F683" s="450">
        <f>F684</f>
        <v>1400</v>
      </c>
      <c r="G683" s="450">
        <f t="shared" ref="G683:G684" si="318">G684</f>
        <v>1100</v>
      </c>
      <c r="H683" s="450">
        <f t="shared" si="303"/>
        <v>78.571428571428569</v>
      </c>
    </row>
    <row r="684" spans="1:8" ht="38.1" customHeight="1" x14ac:dyDescent="0.25">
      <c r="A684" s="45" t="s">
        <v>764</v>
      </c>
      <c r="B684" s="454" t="s">
        <v>264</v>
      </c>
      <c r="C684" s="454" t="s">
        <v>215</v>
      </c>
      <c r="D684" s="454" t="s">
        <v>1242</v>
      </c>
      <c r="E684" s="454"/>
      <c r="F684" s="451">
        <f>F685</f>
        <v>1400</v>
      </c>
      <c r="G684" s="451">
        <f t="shared" si="318"/>
        <v>1100</v>
      </c>
      <c r="H684" s="451">
        <f t="shared" si="303"/>
        <v>78.571428571428569</v>
      </c>
    </row>
    <row r="685" spans="1:8" ht="47.25" x14ac:dyDescent="0.25">
      <c r="A685" s="458" t="s">
        <v>272</v>
      </c>
      <c r="B685" s="454" t="s">
        <v>264</v>
      </c>
      <c r="C685" s="454" t="s">
        <v>215</v>
      </c>
      <c r="D685" s="454" t="s">
        <v>1242</v>
      </c>
      <c r="E685" s="454" t="s">
        <v>273</v>
      </c>
      <c r="F685" s="451">
        <f t="shared" ref="F685:G685" si="319">F686</f>
        <v>1400</v>
      </c>
      <c r="G685" s="451">
        <f t="shared" si="319"/>
        <v>1100</v>
      </c>
      <c r="H685" s="451">
        <f t="shared" si="303"/>
        <v>78.571428571428569</v>
      </c>
    </row>
    <row r="686" spans="1:8" ht="15.75" x14ac:dyDescent="0.25">
      <c r="A686" s="31" t="s">
        <v>274</v>
      </c>
      <c r="B686" s="454" t="s">
        <v>264</v>
      </c>
      <c r="C686" s="454" t="s">
        <v>215</v>
      </c>
      <c r="D686" s="454" t="s">
        <v>1242</v>
      </c>
      <c r="E686" s="454" t="s">
        <v>275</v>
      </c>
      <c r="F686" s="451">
        <f>'Пр.4 ведом.21'!G755</f>
        <v>1400</v>
      </c>
      <c r="G686" s="451">
        <f>'Пр.4 ведом.21'!H755</f>
        <v>1100</v>
      </c>
      <c r="H686" s="451">
        <f t="shared" si="303"/>
        <v>78.571428571428569</v>
      </c>
    </row>
    <row r="687" spans="1:8" s="200" customFormat="1" ht="34.5" customHeight="1" x14ac:dyDescent="0.25">
      <c r="A687" s="456" t="s">
        <v>1370</v>
      </c>
      <c r="B687" s="457" t="s">
        <v>264</v>
      </c>
      <c r="C687" s="457" t="s">
        <v>215</v>
      </c>
      <c r="D687" s="457" t="s">
        <v>267</v>
      </c>
      <c r="E687" s="457"/>
      <c r="F687" s="450">
        <f>F688+F699+F708+F712</f>
        <v>17751.620000000003</v>
      </c>
      <c r="G687" s="450">
        <f t="shared" ref="G687" si="320">G688+G699+G708+G712</f>
        <v>11264.558000000001</v>
      </c>
      <c r="H687" s="450">
        <f t="shared" si="303"/>
        <v>63.456507068087298</v>
      </c>
    </row>
    <row r="688" spans="1:8" s="200" customFormat="1" ht="36" customHeight="1" x14ac:dyDescent="0.25">
      <c r="A688" s="456" t="s">
        <v>1300</v>
      </c>
      <c r="B688" s="457" t="s">
        <v>264</v>
      </c>
      <c r="C688" s="457" t="s">
        <v>215</v>
      </c>
      <c r="D688" s="457" t="s">
        <v>1204</v>
      </c>
      <c r="E688" s="457"/>
      <c r="F688" s="450">
        <f>F689+F696</f>
        <v>16025.720000000001</v>
      </c>
      <c r="G688" s="450">
        <f t="shared" ref="G688" si="321">G689+G696</f>
        <v>10283.672</v>
      </c>
      <c r="H688" s="450">
        <f t="shared" si="303"/>
        <v>64.169797051240124</v>
      </c>
    </row>
    <row r="689" spans="1:8" s="200" customFormat="1" ht="15.75" x14ac:dyDescent="0.25">
      <c r="A689" s="458" t="s">
        <v>800</v>
      </c>
      <c r="B689" s="454" t="s">
        <v>264</v>
      </c>
      <c r="C689" s="454" t="s">
        <v>215</v>
      </c>
      <c r="D689" s="454" t="s">
        <v>1205</v>
      </c>
      <c r="E689" s="454"/>
      <c r="F689" s="451">
        <f>F690+F692+F694</f>
        <v>9175.92</v>
      </c>
      <c r="G689" s="451">
        <f t="shared" ref="G689" si="322">G690+G692+G694</f>
        <v>5224.2490000000007</v>
      </c>
      <c r="H689" s="451">
        <f t="shared" si="303"/>
        <v>56.934334649822581</v>
      </c>
    </row>
    <row r="690" spans="1:8" s="200" customFormat="1" ht="78.75" x14ac:dyDescent="0.25">
      <c r="A690" s="458" t="s">
        <v>127</v>
      </c>
      <c r="B690" s="454" t="s">
        <v>264</v>
      </c>
      <c r="C690" s="454" t="s">
        <v>215</v>
      </c>
      <c r="D690" s="454" t="s">
        <v>1205</v>
      </c>
      <c r="E690" s="454" t="s">
        <v>128</v>
      </c>
      <c r="F690" s="451">
        <f>F691</f>
        <v>7205.8199999999988</v>
      </c>
      <c r="G690" s="451">
        <f t="shared" ref="G690" si="323">G691</f>
        <v>4105.0870000000004</v>
      </c>
      <c r="H690" s="451">
        <f t="shared" si="303"/>
        <v>56.969047242367985</v>
      </c>
    </row>
    <row r="691" spans="1:8" s="200" customFormat="1" ht="21.2" customHeight="1" x14ac:dyDescent="0.25">
      <c r="A691" s="46" t="s">
        <v>342</v>
      </c>
      <c r="B691" s="454" t="s">
        <v>264</v>
      </c>
      <c r="C691" s="454" t="s">
        <v>215</v>
      </c>
      <c r="D691" s="454" t="s">
        <v>1205</v>
      </c>
      <c r="E691" s="454" t="s">
        <v>209</v>
      </c>
      <c r="F691" s="451">
        <f>'Пр.4 ведом.21'!G300</f>
        <v>7205.8199999999988</v>
      </c>
      <c r="G691" s="451">
        <f>'Пр.4 ведом.21'!H300</f>
        <v>4105.0870000000004</v>
      </c>
      <c r="H691" s="451">
        <f t="shared" si="303"/>
        <v>56.969047242367985</v>
      </c>
    </row>
    <row r="692" spans="1:8" s="200" customFormat="1" ht="31.5" x14ac:dyDescent="0.25">
      <c r="A692" s="458" t="s">
        <v>131</v>
      </c>
      <c r="B692" s="454" t="s">
        <v>264</v>
      </c>
      <c r="C692" s="454" t="s">
        <v>215</v>
      </c>
      <c r="D692" s="454" t="s">
        <v>1205</v>
      </c>
      <c r="E692" s="454" t="s">
        <v>132</v>
      </c>
      <c r="F692" s="451">
        <f>F693</f>
        <v>1901.8999999999999</v>
      </c>
      <c r="G692" s="451">
        <f t="shared" ref="G692" si="324">G693</f>
        <v>1078.4459999999999</v>
      </c>
      <c r="H692" s="451">
        <f t="shared" si="303"/>
        <v>56.703612177296392</v>
      </c>
    </row>
    <row r="693" spans="1:8" s="200" customFormat="1" ht="47.25" x14ac:dyDescent="0.25">
      <c r="A693" s="458" t="s">
        <v>133</v>
      </c>
      <c r="B693" s="454" t="s">
        <v>264</v>
      </c>
      <c r="C693" s="454" t="s">
        <v>215</v>
      </c>
      <c r="D693" s="454" t="s">
        <v>1205</v>
      </c>
      <c r="E693" s="454" t="s">
        <v>134</v>
      </c>
      <c r="F693" s="451">
        <f>'Пр.4 ведом.21'!G302</f>
        <v>1901.8999999999999</v>
      </c>
      <c r="G693" s="451">
        <f>'Пр.4 ведом.21'!H302</f>
        <v>1078.4459999999999</v>
      </c>
      <c r="H693" s="451">
        <f t="shared" si="303"/>
        <v>56.703612177296392</v>
      </c>
    </row>
    <row r="694" spans="1:8" s="200" customFormat="1" ht="15.75" x14ac:dyDescent="0.25">
      <c r="A694" s="458" t="s">
        <v>135</v>
      </c>
      <c r="B694" s="454" t="s">
        <v>264</v>
      </c>
      <c r="C694" s="454" t="s">
        <v>215</v>
      </c>
      <c r="D694" s="454" t="s">
        <v>1205</v>
      </c>
      <c r="E694" s="454" t="s">
        <v>145</v>
      </c>
      <c r="F694" s="451">
        <f>F695</f>
        <v>68.2</v>
      </c>
      <c r="G694" s="451">
        <f t="shared" ref="G694" si="325">G695</f>
        <v>40.716000000000001</v>
      </c>
      <c r="H694" s="451">
        <f t="shared" si="303"/>
        <v>59.700879765395896</v>
      </c>
    </row>
    <row r="695" spans="1:8" s="200" customFormat="1" ht="15.75" x14ac:dyDescent="0.25">
      <c r="A695" s="458" t="s">
        <v>704</v>
      </c>
      <c r="B695" s="454" t="s">
        <v>264</v>
      </c>
      <c r="C695" s="454" t="s">
        <v>215</v>
      </c>
      <c r="D695" s="454" t="s">
        <v>1205</v>
      </c>
      <c r="E695" s="454" t="s">
        <v>138</v>
      </c>
      <c r="F695" s="451">
        <f>'Пр.4 ведом.21'!G304</f>
        <v>68.2</v>
      </c>
      <c r="G695" s="451">
        <f>'Пр.4 ведом.21'!H304</f>
        <v>40.716000000000001</v>
      </c>
      <c r="H695" s="451">
        <f t="shared" si="303"/>
        <v>59.700879765395896</v>
      </c>
    </row>
    <row r="696" spans="1:8" s="200" customFormat="1" ht="31.5" x14ac:dyDescent="0.25">
      <c r="A696" s="31" t="s">
        <v>1514</v>
      </c>
      <c r="B696" s="454" t="s">
        <v>264</v>
      </c>
      <c r="C696" s="454" t="s">
        <v>215</v>
      </c>
      <c r="D696" s="454" t="s">
        <v>1486</v>
      </c>
      <c r="E696" s="454"/>
      <c r="F696" s="451">
        <f>F697</f>
        <v>6849.8000000000011</v>
      </c>
      <c r="G696" s="451">
        <f t="shared" ref="G696:G697" si="326">G697</f>
        <v>5059.4229999999998</v>
      </c>
      <c r="H696" s="451">
        <f t="shared" si="303"/>
        <v>73.862346345878692</v>
      </c>
    </row>
    <row r="697" spans="1:8" s="200" customFormat="1" ht="78.75" x14ac:dyDescent="0.25">
      <c r="A697" s="458" t="s">
        <v>127</v>
      </c>
      <c r="B697" s="454" t="s">
        <v>264</v>
      </c>
      <c r="C697" s="454" t="s">
        <v>215</v>
      </c>
      <c r="D697" s="454" t="s">
        <v>1486</v>
      </c>
      <c r="E697" s="454" t="s">
        <v>128</v>
      </c>
      <c r="F697" s="451">
        <f>F698</f>
        <v>6849.8000000000011</v>
      </c>
      <c r="G697" s="451">
        <f t="shared" si="326"/>
        <v>5059.4229999999998</v>
      </c>
      <c r="H697" s="451">
        <f t="shared" si="303"/>
        <v>73.862346345878692</v>
      </c>
    </row>
    <row r="698" spans="1:8" s="200" customFormat="1" ht="31.5" x14ac:dyDescent="0.25">
      <c r="A698" s="458" t="s">
        <v>208</v>
      </c>
      <c r="B698" s="454" t="s">
        <v>264</v>
      </c>
      <c r="C698" s="454" t="s">
        <v>215</v>
      </c>
      <c r="D698" s="454" t="s">
        <v>1486</v>
      </c>
      <c r="E698" s="454" t="s">
        <v>209</v>
      </c>
      <c r="F698" s="451">
        <f>'Пр.4 ведом.21'!G307</f>
        <v>6849.8000000000011</v>
      </c>
      <c r="G698" s="451">
        <f>'Пр.4 ведом.21'!H307</f>
        <v>5059.4229999999998</v>
      </c>
      <c r="H698" s="451">
        <f t="shared" si="303"/>
        <v>73.862346345878692</v>
      </c>
    </row>
    <row r="699" spans="1:8" s="200" customFormat="1" ht="31.5" x14ac:dyDescent="0.25">
      <c r="A699" s="211" t="s">
        <v>1303</v>
      </c>
      <c r="B699" s="457" t="s">
        <v>264</v>
      </c>
      <c r="C699" s="457" t="s">
        <v>215</v>
      </c>
      <c r="D699" s="457" t="s">
        <v>1206</v>
      </c>
      <c r="E699" s="457"/>
      <c r="F699" s="450">
        <f>F700+F703</f>
        <v>335.5</v>
      </c>
      <c r="G699" s="450">
        <f t="shared" ref="G699" si="327">G700+G703</f>
        <v>321.67469999999997</v>
      </c>
      <c r="H699" s="450">
        <f t="shared" si="303"/>
        <v>95.879195230998505</v>
      </c>
    </row>
    <row r="700" spans="1:8" s="200" customFormat="1" ht="31.5" x14ac:dyDescent="0.25">
      <c r="A700" s="194" t="s">
        <v>799</v>
      </c>
      <c r="B700" s="454" t="s">
        <v>264</v>
      </c>
      <c r="C700" s="454" t="s">
        <v>215</v>
      </c>
      <c r="D700" s="454" t="s">
        <v>1207</v>
      </c>
      <c r="E700" s="454"/>
      <c r="F700" s="451">
        <f>F701</f>
        <v>45</v>
      </c>
      <c r="G700" s="451">
        <f t="shared" ref="G700:G701" si="328">G701</f>
        <v>31.2</v>
      </c>
      <c r="H700" s="451">
        <f t="shared" si="303"/>
        <v>69.333333333333343</v>
      </c>
    </row>
    <row r="701" spans="1:8" s="200" customFormat="1" ht="20.25" customHeight="1" x14ac:dyDescent="0.25">
      <c r="A701" s="458" t="s">
        <v>248</v>
      </c>
      <c r="B701" s="454" t="s">
        <v>264</v>
      </c>
      <c r="C701" s="454" t="s">
        <v>215</v>
      </c>
      <c r="D701" s="454" t="s">
        <v>1207</v>
      </c>
      <c r="E701" s="454" t="s">
        <v>249</v>
      </c>
      <c r="F701" s="451">
        <f>F702</f>
        <v>45</v>
      </c>
      <c r="G701" s="451">
        <f t="shared" si="328"/>
        <v>31.2</v>
      </c>
      <c r="H701" s="451">
        <f t="shared" si="303"/>
        <v>69.333333333333343</v>
      </c>
    </row>
    <row r="702" spans="1:8" s="200" customFormat="1" ht="15.75" x14ac:dyDescent="0.25">
      <c r="A702" s="458" t="s">
        <v>820</v>
      </c>
      <c r="B702" s="454" t="s">
        <v>264</v>
      </c>
      <c r="C702" s="454" t="s">
        <v>215</v>
      </c>
      <c r="D702" s="454" t="s">
        <v>1207</v>
      </c>
      <c r="E702" s="454" t="s">
        <v>819</v>
      </c>
      <c r="F702" s="451">
        <f>'Пр.4 ведом.21'!G311</f>
        <v>45</v>
      </c>
      <c r="G702" s="451">
        <f>'Пр.4 ведом.21'!H311</f>
        <v>31.2</v>
      </c>
      <c r="H702" s="451">
        <f t="shared" si="303"/>
        <v>69.333333333333343</v>
      </c>
    </row>
    <row r="703" spans="1:8" ht="31.5" x14ac:dyDescent="0.25">
      <c r="A703" s="31" t="s">
        <v>816</v>
      </c>
      <c r="B703" s="454" t="s">
        <v>264</v>
      </c>
      <c r="C703" s="454" t="s">
        <v>215</v>
      </c>
      <c r="D703" s="454" t="s">
        <v>1208</v>
      </c>
      <c r="E703" s="454"/>
      <c r="F703" s="451">
        <f>F704+F706</f>
        <v>290.5</v>
      </c>
      <c r="G703" s="451">
        <f t="shared" ref="G703" si="329">G704+G706</f>
        <v>290.47469999999998</v>
      </c>
      <c r="H703" s="451">
        <f t="shared" si="303"/>
        <v>99.991290877796899</v>
      </c>
    </row>
    <row r="704" spans="1:8" ht="78.75" x14ac:dyDescent="0.25">
      <c r="A704" s="458" t="s">
        <v>127</v>
      </c>
      <c r="B704" s="454" t="s">
        <v>264</v>
      </c>
      <c r="C704" s="454" t="s">
        <v>215</v>
      </c>
      <c r="D704" s="454" t="s">
        <v>1208</v>
      </c>
      <c r="E704" s="454" t="s">
        <v>128</v>
      </c>
      <c r="F704" s="451">
        <f>F705</f>
        <v>290.5</v>
      </c>
      <c r="G704" s="451">
        <f t="shared" ref="G704" si="330">G705</f>
        <v>290.47469999999998</v>
      </c>
      <c r="H704" s="451">
        <f t="shared" si="303"/>
        <v>99.991290877796899</v>
      </c>
    </row>
    <row r="705" spans="1:8" s="200" customFormat="1" ht="18.75" customHeight="1" x14ac:dyDescent="0.25">
      <c r="A705" s="46" t="s">
        <v>342</v>
      </c>
      <c r="B705" s="454" t="s">
        <v>264</v>
      </c>
      <c r="C705" s="454" t="s">
        <v>215</v>
      </c>
      <c r="D705" s="454" t="s">
        <v>1208</v>
      </c>
      <c r="E705" s="454" t="s">
        <v>209</v>
      </c>
      <c r="F705" s="451">
        <f>'Пр.4 ведом.21'!G314</f>
        <v>290.5</v>
      </c>
      <c r="G705" s="451">
        <f>'Пр.4 ведом.21'!H314</f>
        <v>290.47469999999998</v>
      </c>
      <c r="H705" s="451">
        <f t="shared" si="303"/>
        <v>99.991290877796899</v>
      </c>
    </row>
    <row r="706" spans="1:8" s="200" customFormat="1" ht="31.5" hidden="1" x14ac:dyDescent="0.25">
      <c r="A706" s="458" t="s">
        <v>131</v>
      </c>
      <c r="B706" s="454" t="s">
        <v>264</v>
      </c>
      <c r="C706" s="454" t="s">
        <v>215</v>
      </c>
      <c r="D706" s="454" t="s">
        <v>1208</v>
      </c>
      <c r="E706" s="454" t="s">
        <v>132</v>
      </c>
      <c r="F706" s="451">
        <f>F707</f>
        <v>0</v>
      </c>
      <c r="G706" s="451">
        <f t="shared" ref="G706" si="331">G707</f>
        <v>0</v>
      </c>
      <c r="H706" s="451" t="e">
        <f t="shared" si="303"/>
        <v>#DIV/0!</v>
      </c>
    </row>
    <row r="707" spans="1:8" s="200" customFormat="1" ht="47.25" hidden="1" x14ac:dyDescent="0.25">
      <c r="A707" s="458" t="s">
        <v>133</v>
      </c>
      <c r="B707" s="454" t="s">
        <v>264</v>
      </c>
      <c r="C707" s="454" t="s">
        <v>215</v>
      </c>
      <c r="D707" s="454" t="s">
        <v>1208</v>
      </c>
      <c r="E707" s="454" t="s">
        <v>134</v>
      </c>
      <c r="F707" s="451">
        <f>'Пр.4 ведом.21'!G316</f>
        <v>0</v>
      </c>
      <c r="G707" s="451">
        <f>'Пр.4 ведом.21'!H316</f>
        <v>0</v>
      </c>
      <c r="H707" s="451" t="e">
        <f t="shared" si="303"/>
        <v>#DIV/0!</v>
      </c>
    </row>
    <row r="708" spans="1:8" s="200" customFormat="1" ht="31.5" x14ac:dyDescent="0.25">
      <c r="A708" s="456" t="s">
        <v>947</v>
      </c>
      <c r="B708" s="457" t="s">
        <v>264</v>
      </c>
      <c r="C708" s="457" t="s">
        <v>215</v>
      </c>
      <c r="D708" s="457" t="s">
        <v>1209</v>
      </c>
      <c r="E708" s="457"/>
      <c r="F708" s="450">
        <f>F709</f>
        <v>315</v>
      </c>
      <c r="G708" s="450">
        <f t="shared" ref="G708:G710" si="332">G709</f>
        <v>223.983</v>
      </c>
      <c r="H708" s="450">
        <f t="shared" si="303"/>
        <v>71.105714285714285</v>
      </c>
    </row>
    <row r="709" spans="1:8" s="200" customFormat="1" ht="47.25" x14ac:dyDescent="0.25">
      <c r="A709" s="458" t="s">
        <v>839</v>
      </c>
      <c r="B709" s="454" t="s">
        <v>264</v>
      </c>
      <c r="C709" s="454" t="s">
        <v>215</v>
      </c>
      <c r="D709" s="454" t="s">
        <v>1210</v>
      </c>
      <c r="E709" s="454"/>
      <c r="F709" s="451">
        <f>F710</f>
        <v>315</v>
      </c>
      <c r="G709" s="451">
        <f t="shared" si="332"/>
        <v>223.983</v>
      </c>
      <c r="H709" s="451">
        <f t="shared" si="303"/>
        <v>71.105714285714285</v>
      </c>
    </row>
    <row r="710" spans="1:8" s="200" customFormat="1" ht="78.75" x14ac:dyDescent="0.25">
      <c r="A710" s="458" t="s">
        <v>127</v>
      </c>
      <c r="B710" s="454" t="s">
        <v>264</v>
      </c>
      <c r="C710" s="454" t="s">
        <v>215</v>
      </c>
      <c r="D710" s="454" t="s">
        <v>1210</v>
      </c>
      <c r="E710" s="454" t="s">
        <v>128</v>
      </c>
      <c r="F710" s="451">
        <f>F711</f>
        <v>315</v>
      </c>
      <c r="G710" s="451">
        <f t="shared" si="332"/>
        <v>223.983</v>
      </c>
      <c r="H710" s="451">
        <f t="shared" si="303"/>
        <v>71.105714285714285</v>
      </c>
    </row>
    <row r="711" spans="1:8" s="200" customFormat="1" ht="31.5" x14ac:dyDescent="0.25">
      <c r="A711" s="458" t="s">
        <v>129</v>
      </c>
      <c r="B711" s="454" t="s">
        <v>264</v>
      </c>
      <c r="C711" s="454" t="s">
        <v>215</v>
      </c>
      <c r="D711" s="454" t="s">
        <v>1210</v>
      </c>
      <c r="E711" s="454" t="s">
        <v>209</v>
      </c>
      <c r="F711" s="451">
        <f>'Пр.4 ведом.21'!G320</f>
        <v>315</v>
      </c>
      <c r="G711" s="451">
        <f>'Пр.4 ведом.21'!H320</f>
        <v>223.983</v>
      </c>
      <c r="H711" s="451">
        <f t="shared" si="303"/>
        <v>71.105714285714285</v>
      </c>
    </row>
    <row r="712" spans="1:8" s="200" customFormat="1" ht="47.25" x14ac:dyDescent="0.25">
      <c r="A712" s="456" t="s">
        <v>900</v>
      </c>
      <c r="B712" s="457" t="s">
        <v>264</v>
      </c>
      <c r="C712" s="457" t="s">
        <v>215</v>
      </c>
      <c r="D712" s="457" t="s">
        <v>1211</v>
      </c>
      <c r="E712" s="457"/>
      <c r="F712" s="450">
        <f>F716+F719+F713</f>
        <v>1075.4000000000001</v>
      </c>
      <c r="G712" s="450">
        <f t="shared" ref="G712" si="333">G716+G719+G713</f>
        <v>435.22829999999999</v>
      </c>
      <c r="H712" s="450">
        <f t="shared" si="303"/>
        <v>40.47129440208294</v>
      </c>
    </row>
    <row r="713" spans="1:8" s="200" customFormat="1" ht="94.5" x14ac:dyDescent="0.25">
      <c r="A713" s="31" t="s">
        <v>293</v>
      </c>
      <c r="B713" s="454" t="s">
        <v>264</v>
      </c>
      <c r="C713" s="454" t="s">
        <v>215</v>
      </c>
      <c r="D713" s="454" t="s">
        <v>1406</v>
      </c>
      <c r="E713" s="454"/>
      <c r="F713" s="451">
        <f>F714</f>
        <v>671</v>
      </c>
      <c r="G713" s="451">
        <f t="shared" ref="G713:G714" si="334">G714</f>
        <v>248.4246</v>
      </c>
      <c r="H713" s="451">
        <f t="shared" si="303"/>
        <v>37.023040238450072</v>
      </c>
    </row>
    <row r="714" spans="1:8" s="200" customFormat="1" ht="78.75" x14ac:dyDescent="0.25">
      <c r="A714" s="458" t="s">
        <v>127</v>
      </c>
      <c r="B714" s="454" t="s">
        <v>264</v>
      </c>
      <c r="C714" s="454" t="s">
        <v>215</v>
      </c>
      <c r="D714" s="454" t="s">
        <v>1406</v>
      </c>
      <c r="E714" s="454" t="s">
        <v>128</v>
      </c>
      <c r="F714" s="451">
        <f>F715</f>
        <v>671</v>
      </c>
      <c r="G714" s="451">
        <f t="shared" si="334"/>
        <v>248.4246</v>
      </c>
      <c r="H714" s="451">
        <f t="shared" si="303"/>
        <v>37.023040238450072</v>
      </c>
    </row>
    <row r="715" spans="1:8" s="200" customFormat="1" ht="22.7" customHeight="1" x14ac:dyDescent="0.25">
      <c r="A715" s="46" t="s">
        <v>342</v>
      </c>
      <c r="B715" s="454" t="s">
        <v>264</v>
      </c>
      <c r="C715" s="454" t="s">
        <v>215</v>
      </c>
      <c r="D715" s="454" t="s">
        <v>1406</v>
      </c>
      <c r="E715" s="454" t="s">
        <v>209</v>
      </c>
      <c r="F715" s="451">
        <f>'Пр.4 ведом.21'!G324</f>
        <v>671</v>
      </c>
      <c r="G715" s="451">
        <f>'Пр.4 ведом.21'!H324</f>
        <v>248.4246</v>
      </c>
      <c r="H715" s="451">
        <f t="shared" ref="H715:H778" si="335">G715/F715*100</f>
        <v>37.023040238450072</v>
      </c>
    </row>
    <row r="716" spans="1:8" s="200" customFormat="1" ht="63" x14ac:dyDescent="0.25">
      <c r="A716" s="31" t="s">
        <v>289</v>
      </c>
      <c r="B716" s="454" t="s">
        <v>264</v>
      </c>
      <c r="C716" s="454" t="s">
        <v>215</v>
      </c>
      <c r="D716" s="454" t="s">
        <v>1212</v>
      </c>
      <c r="E716" s="454"/>
      <c r="F716" s="451">
        <f>F717</f>
        <v>106</v>
      </c>
      <c r="G716" s="451">
        <f t="shared" ref="G716:G717" si="336">G717</f>
        <v>52.453699999999998</v>
      </c>
      <c r="H716" s="451">
        <f t="shared" si="335"/>
        <v>49.484622641509432</v>
      </c>
    </row>
    <row r="717" spans="1:8" s="200" customFormat="1" ht="78.75" x14ac:dyDescent="0.25">
      <c r="A717" s="458" t="s">
        <v>127</v>
      </c>
      <c r="B717" s="454" t="s">
        <v>264</v>
      </c>
      <c r="C717" s="454" t="s">
        <v>215</v>
      </c>
      <c r="D717" s="454" t="s">
        <v>1212</v>
      </c>
      <c r="E717" s="454" t="s">
        <v>128</v>
      </c>
      <c r="F717" s="451">
        <f>F718</f>
        <v>106</v>
      </c>
      <c r="G717" s="451">
        <f t="shared" si="336"/>
        <v>52.453699999999998</v>
      </c>
      <c r="H717" s="451">
        <f t="shared" si="335"/>
        <v>49.484622641509432</v>
      </c>
    </row>
    <row r="718" spans="1:8" s="200" customFormat="1" ht="21.2" customHeight="1" x14ac:dyDescent="0.25">
      <c r="A718" s="46" t="s">
        <v>342</v>
      </c>
      <c r="B718" s="454" t="s">
        <v>264</v>
      </c>
      <c r="C718" s="454" t="s">
        <v>215</v>
      </c>
      <c r="D718" s="454" t="s">
        <v>1212</v>
      </c>
      <c r="E718" s="454" t="s">
        <v>209</v>
      </c>
      <c r="F718" s="451">
        <f>'Пр.4 ведом.21'!G327</f>
        <v>106</v>
      </c>
      <c r="G718" s="451">
        <f>'Пр.4 ведом.21'!H327</f>
        <v>52.453699999999998</v>
      </c>
      <c r="H718" s="451">
        <f t="shared" si="335"/>
        <v>49.484622641509432</v>
      </c>
    </row>
    <row r="719" spans="1:8" s="200" customFormat="1" ht="63" x14ac:dyDescent="0.25">
      <c r="A719" s="31" t="s">
        <v>291</v>
      </c>
      <c r="B719" s="454" t="s">
        <v>264</v>
      </c>
      <c r="C719" s="454" t="s">
        <v>215</v>
      </c>
      <c r="D719" s="454" t="s">
        <v>1213</v>
      </c>
      <c r="E719" s="454"/>
      <c r="F719" s="451">
        <f>F720</f>
        <v>298.40000000000003</v>
      </c>
      <c r="G719" s="451">
        <f t="shared" ref="G719:G720" si="337">G720</f>
        <v>134.35</v>
      </c>
      <c r="H719" s="451">
        <f t="shared" si="335"/>
        <v>45.023458445040212</v>
      </c>
    </row>
    <row r="720" spans="1:8" s="200" customFormat="1" ht="78.75" x14ac:dyDescent="0.25">
      <c r="A720" s="458" t="s">
        <v>127</v>
      </c>
      <c r="B720" s="454" t="s">
        <v>264</v>
      </c>
      <c r="C720" s="454" t="s">
        <v>215</v>
      </c>
      <c r="D720" s="454" t="s">
        <v>1213</v>
      </c>
      <c r="E720" s="454" t="s">
        <v>128</v>
      </c>
      <c r="F720" s="451">
        <f>F721</f>
        <v>298.40000000000003</v>
      </c>
      <c r="G720" s="451">
        <f t="shared" si="337"/>
        <v>134.35</v>
      </c>
      <c r="H720" s="451">
        <f t="shared" si="335"/>
        <v>45.023458445040212</v>
      </c>
    </row>
    <row r="721" spans="1:8" s="200" customFormat="1" ht="21.2" customHeight="1" x14ac:dyDescent="0.25">
      <c r="A721" s="46" t="s">
        <v>342</v>
      </c>
      <c r="B721" s="454" t="s">
        <v>264</v>
      </c>
      <c r="C721" s="454" t="s">
        <v>215</v>
      </c>
      <c r="D721" s="454" t="s">
        <v>1213</v>
      </c>
      <c r="E721" s="454" t="s">
        <v>209</v>
      </c>
      <c r="F721" s="451">
        <f>'Пр.4 ведом.21'!G330</f>
        <v>298.40000000000003</v>
      </c>
      <c r="G721" s="451">
        <f>'Пр.4 ведом.21'!H330</f>
        <v>134.35</v>
      </c>
      <c r="H721" s="451">
        <f t="shared" si="335"/>
        <v>45.023458445040212</v>
      </c>
    </row>
    <row r="722" spans="1:8" s="200" customFormat="1" ht="45.75" customHeight="1" x14ac:dyDescent="0.25">
      <c r="A722" s="34" t="s">
        <v>1360</v>
      </c>
      <c r="B722" s="457" t="s">
        <v>264</v>
      </c>
      <c r="C722" s="457" t="s">
        <v>215</v>
      </c>
      <c r="D722" s="457" t="s">
        <v>324</v>
      </c>
      <c r="E722" s="457"/>
      <c r="F722" s="455">
        <f>F724</f>
        <v>9.5</v>
      </c>
      <c r="G722" s="455">
        <f t="shared" ref="G722" si="338">G724</f>
        <v>9.4499999999999993</v>
      </c>
      <c r="H722" s="450">
        <f t="shared" si="335"/>
        <v>99.473684210526301</v>
      </c>
    </row>
    <row r="723" spans="1:8" s="200" customFormat="1" ht="63.2" customHeight="1" x14ac:dyDescent="0.25">
      <c r="A723" s="34" t="s">
        <v>1025</v>
      </c>
      <c r="B723" s="457" t="s">
        <v>264</v>
      </c>
      <c r="C723" s="457" t="s">
        <v>215</v>
      </c>
      <c r="D723" s="457" t="s">
        <v>934</v>
      </c>
      <c r="E723" s="457"/>
      <c r="F723" s="455">
        <f>F726</f>
        <v>9.5</v>
      </c>
      <c r="G723" s="455">
        <f t="shared" ref="G723" si="339">G726</f>
        <v>9.4499999999999993</v>
      </c>
      <c r="H723" s="450">
        <f t="shared" si="335"/>
        <v>99.473684210526301</v>
      </c>
    </row>
    <row r="724" spans="1:8" s="200" customFormat="1" ht="51" customHeight="1" x14ac:dyDescent="0.25">
      <c r="A724" s="31" t="s">
        <v>1081</v>
      </c>
      <c r="B724" s="454" t="s">
        <v>264</v>
      </c>
      <c r="C724" s="454" t="s">
        <v>215</v>
      </c>
      <c r="D724" s="454" t="s">
        <v>1026</v>
      </c>
      <c r="E724" s="454"/>
      <c r="F724" s="459">
        <f>F725</f>
        <v>9.5</v>
      </c>
      <c r="G724" s="459">
        <f t="shared" ref="G724:G725" si="340">G725</f>
        <v>9.4499999999999993</v>
      </c>
      <c r="H724" s="451">
        <f t="shared" si="335"/>
        <v>99.473684210526301</v>
      </c>
    </row>
    <row r="725" spans="1:8" s="200" customFormat="1" ht="39.4" customHeight="1" x14ac:dyDescent="0.25">
      <c r="A725" s="458" t="s">
        <v>131</v>
      </c>
      <c r="B725" s="454" t="s">
        <v>264</v>
      </c>
      <c r="C725" s="454" t="s">
        <v>215</v>
      </c>
      <c r="D725" s="454" t="s">
        <v>1026</v>
      </c>
      <c r="E725" s="454" t="s">
        <v>132</v>
      </c>
      <c r="F725" s="459">
        <f>F726</f>
        <v>9.5</v>
      </c>
      <c r="G725" s="459">
        <f t="shared" si="340"/>
        <v>9.4499999999999993</v>
      </c>
      <c r="H725" s="451">
        <f t="shared" si="335"/>
        <v>99.473684210526301</v>
      </c>
    </row>
    <row r="726" spans="1:8" s="200" customFormat="1" ht="35.450000000000003" customHeight="1" x14ac:dyDescent="0.25">
      <c r="A726" s="458" t="s">
        <v>133</v>
      </c>
      <c r="B726" s="454" t="s">
        <v>264</v>
      </c>
      <c r="C726" s="454" t="s">
        <v>215</v>
      </c>
      <c r="D726" s="454" t="s">
        <v>1026</v>
      </c>
      <c r="E726" s="454" t="s">
        <v>134</v>
      </c>
      <c r="F726" s="459">
        <f>'Пр.4 ведом.21'!G335</f>
        <v>9.5</v>
      </c>
      <c r="G726" s="459">
        <f>'Пр.4 ведом.21'!H335</f>
        <v>9.4499999999999993</v>
      </c>
      <c r="H726" s="451">
        <f t="shared" si="335"/>
        <v>99.473684210526301</v>
      </c>
    </row>
    <row r="727" spans="1:8" s="200" customFormat="1" ht="47.25" x14ac:dyDescent="0.25">
      <c r="A727" s="462" t="s">
        <v>1355</v>
      </c>
      <c r="B727" s="457" t="s">
        <v>264</v>
      </c>
      <c r="C727" s="457" t="s">
        <v>215</v>
      </c>
      <c r="D727" s="457" t="s">
        <v>705</v>
      </c>
      <c r="E727" s="457"/>
      <c r="F727" s="450">
        <f>F728</f>
        <v>891.8</v>
      </c>
      <c r="G727" s="450">
        <f t="shared" ref="G727" si="341">G728</f>
        <v>433.26811999999995</v>
      </c>
      <c r="H727" s="450">
        <f t="shared" si="335"/>
        <v>48.583552366001342</v>
      </c>
    </row>
    <row r="728" spans="1:8" s="200" customFormat="1" ht="47.25" x14ac:dyDescent="0.25">
      <c r="A728" s="462" t="s">
        <v>890</v>
      </c>
      <c r="B728" s="457" t="s">
        <v>264</v>
      </c>
      <c r="C728" s="457" t="s">
        <v>215</v>
      </c>
      <c r="D728" s="457" t="s">
        <v>888</v>
      </c>
      <c r="E728" s="457"/>
      <c r="F728" s="450">
        <f>F729+F732</f>
        <v>891.8</v>
      </c>
      <c r="G728" s="450">
        <f t="shared" ref="G728" si="342">G729+G732</f>
        <v>433.26811999999995</v>
      </c>
      <c r="H728" s="450">
        <f t="shared" si="335"/>
        <v>48.583552366001342</v>
      </c>
    </row>
    <row r="729" spans="1:8" s="200" customFormat="1" ht="35.450000000000003" customHeight="1" x14ac:dyDescent="0.25">
      <c r="A729" s="98" t="s">
        <v>1004</v>
      </c>
      <c r="B729" s="454" t="s">
        <v>264</v>
      </c>
      <c r="C729" s="454" t="s">
        <v>215</v>
      </c>
      <c r="D729" s="454" t="s">
        <v>889</v>
      </c>
      <c r="E729" s="460"/>
      <c r="F729" s="451">
        <f>F730</f>
        <v>595.5</v>
      </c>
      <c r="G729" s="451">
        <f t="shared" ref="G729:G730" si="343">G730</f>
        <v>261.70699999999999</v>
      </c>
      <c r="H729" s="451">
        <f t="shared" si="335"/>
        <v>43.947439126784218</v>
      </c>
    </row>
    <row r="730" spans="1:8" s="200" customFormat="1" ht="31.5" x14ac:dyDescent="0.25">
      <c r="A730" s="458" t="s">
        <v>131</v>
      </c>
      <c r="B730" s="454" t="s">
        <v>264</v>
      </c>
      <c r="C730" s="454" t="s">
        <v>215</v>
      </c>
      <c r="D730" s="454" t="s">
        <v>889</v>
      </c>
      <c r="E730" s="460" t="s">
        <v>132</v>
      </c>
      <c r="F730" s="451">
        <f>F731</f>
        <v>595.5</v>
      </c>
      <c r="G730" s="451">
        <f t="shared" si="343"/>
        <v>261.70699999999999</v>
      </c>
      <c r="H730" s="451">
        <f t="shared" si="335"/>
        <v>43.947439126784218</v>
      </c>
    </row>
    <row r="731" spans="1:8" s="200" customFormat="1" ht="36.75" customHeight="1" x14ac:dyDescent="0.25">
      <c r="A731" s="458" t="s">
        <v>133</v>
      </c>
      <c r="B731" s="454" t="s">
        <v>264</v>
      </c>
      <c r="C731" s="454" t="s">
        <v>215</v>
      </c>
      <c r="D731" s="454" t="s">
        <v>889</v>
      </c>
      <c r="E731" s="460" t="s">
        <v>134</v>
      </c>
      <c r="F731" s="451">
        <f>'Пр.4 ведом.21'!G340</f>
        <v>595.5</v>
      </c>
      <c r="G731" s="451">
        <f>'Пр.4 ведом.21'!H340</f>
        <v>261.70699999999999</v>
      </c>
      <c r="H731" s="451">
        <f t="shared" si="335"/>
        <v>43.947439126784218</v>
      </c>
    </row>
    <row r="732" spans="1:8" s="200" customFormat="1" ht="47.25" x14ac:dyDescent="0.25">
      <c r="A732" s="98" t="s">
        <v>780</v>
      </c>
      <c r="B732" s="454" t="s">
        <v>264</v>
      </c>
      <c r="C732" s="454" t="s">
        <v>215</v>
      </c>
      <c r="D732" s="454" t="s">
        <v>936</v>
      </c>
      <c r="E732" s="460"/>
      <c r="F732" s="451">
        <f>F733</f>
        <v>296.3</v>
      </c>
      <c r="G732" s="451">
        <f t="shared" ref="G732:G733" si="344">G733</f>
        <v>171.56111999999999</v>
      </c>
      <c r="H732" s="451">
        <f t="shared" si="335"/>
        <v>57.901154235572051</v>
      </c>
    </row>
    <row r="733" spans="1:8" s="200" customFormat="1" ht="47.25" x14ac:dyDescent="0.25">
      <c r="A733" s="29" t="s">
        <v>272</v>
      </c>
      <c r="B733" s="454" t="s">
        <v>264</v>
      </c>
      <c r="C733" s="454" t="s">
        <v>215</v>
      </c>
      <c r="D733" s="454" t="s">
        <v>936</v>
      </c>
      <c r="E733" s="460" t="s">
        <v>273</v>
      </c>
      <c r="F733" s="451">
        <f>F734</f>
        <v>296.3</v>
      </c>
      <c r="G733" s="451">
        <f t="shared" si="344"/>
        <v>171.56111999999999</v>
      </c>
      <c r="H733" s="451">
        <f t="shared" si="335"/>
        <v>57.901154235572051</v>
      </c>
    </row>
    <row r="734" spans="1:8" s="200" customFormat="1" ht="15.75" x14ac:dyDescent="0.25">
      <c r="A734" s="182" t="s">
        <v>274</v>
      </c>
      <c r="B734" s="454" t="s">
        <v>264</v>
      </c>
      <c r="C734" s="454" t="s">
        <v>215</v>
      </c>
      <c r="D734" s="454" t="s">
        <v>936</v>
      </c>
      <c r="E734" s="460" t="s">
        <v>275</v>
      </c>
      <c r="F734" s="451">
        <f>'Пр.4 ведом.21'!G760</f>
        <v>296.3</v>
      </c>
      <c r="G734" s="451">
        <f>'Пр.4 ведом.21'!H760</f>
        <v>171.56111999999999</v>
      </c>
      <c r="H734" s="451">
        <f t="shared" si="335"/>
        <v>57.901154235572051</v>
      </c>
    </row>
    <row r="735" spans="1:8" s="200" customFormat="1" ht="15.75" x14ac:dyDescent="0.25">
      <c r="A735" s="456" t="s">
        <v>466</v>
      </c>
      <c r="B735" s="457" t="s">
        <v>264</v>
      </c>
      <c r="C735" s="457" t="s">
        <v>264</v>
      </c>
      <c r="D735" s="457"/>
      <c r="E735" s="465"/>
      <c r="F735" s="450">
        <f>F736+F755</f>
        <v>6820.0000000000009</v>
      </c>
      <c r="G735" s="450">
        <f t="shared" ref="G735" si="345">G736+G755</f>
        <v>5847.482</v>
      </c>
      <c r="H735" s="450">
        <f t="shared" si="335"/>
        <v>85.740205278592356</v>
      </c>
    </row>
    <row r="736" spans="1:8" s="200" customFormat="1" ht="47.25" x14ac:dyDescent="0.25">
      <c r="A736" s="456" t="s">
        <v>1381</v>
      </c>
      <c r="B736" s="457" t="s">
        <v>264</v>
      </c>
      <c r="C736" s="457" t="s">
        <v>264</v>
      </c>
      <c r="D736" s="457" t="s">
        <v>344</v>
      </c>
      <c r="E736" s="457"/>
      <c r="F736" s="450">
        <f>F737</f>
        <v>760</v>
      </c>
      <c r="G736" s="450">
        <f t="shared" ref="G736" si="346">G737</f>
        <v>654.61300000000006</v>
      </c>
      <c r="H736" s="450">
        <f t="shared" si="335"/>
        <v>86.133289473684215</v>
      </c>
    </row>
    <row r="737" spans="1:8" s="200" customFormat="1" ht="31.5" x14ac:dyDescent="0.25">
      <c r="A737" s="456" t="s">
        <v>345</v>
      </c>
      <c r="B737" s="457" t="s">
        <v>264</v>
      </c>
      <c r="C737" s="457" t="s">
        <v>264</v>
      </c>
      <c r="D737" s="457" t="s">
        <v>346</v>
      </c>
      <c r="E737" s="457"/>
      <c r="F737" s="450">
        <f>F738+F745+F751</f>
        <v>760</v>
      </c>
      <c r="G737" s="450">
        <f t="shared" ref="G737" si="347">G738+G745+G751</f>
        <v>654.61300000000006</v>
      </c>
      <c r="H737" s="450">
        <f t="shared" si="335"/>
        <v>86.133289473684215</v>
      </c>
    </row>
    <row r="738" spans="1:8" s="200" customFormat="1" ht="47.25" x14ac:dyDescent="0.25">
      <c r="A738" s="206" t="s">
        <v>1029</v>
      </c>
      <c r="B738" s="457" t="s">
        <v>264</v>
      </c>
      <c r="C738" s="457" t="s">
        <v>264</v>
      </c>
      <c r="D738" s="457" t="s">
        <v>892</v>
      </c>
      <c r="E738" s="457"/>
      <c r="F738" s="450">
        <f>F739+F742</f>
        <v>280</v>
      </c>
      <c r="G738" s="450">
        <f t="shared" ref="G738" si="348">G739+G742</f>
        <v>263.09399999999999</v>
      </c>
      <c r="H738" s="450">
        <f t="shared" si="335"/>
        <v>93.962142857142851</v>
      </c>
    </row>
    <row r="739" spans="1:8" s="200" customFormat="1" ht="31.5" x14ac:dyDescent="0.25">
      <c r="A739" s="98" t="s">
        <v>1035</v>
      </c>
      <c r="B739" s="454" t="s">
        <v>264</v>
      </c>
      <c r="C739" s="454" t="s">
        <v>264</v>
      </c>
      <c r="D739" s="454" t="s">
        <v>893</v>
      </c>
      <c r="E739" s="454"/>
      <c r="F739" s="451">
        <f>F740</f>
        <v>280</v>
      </c>
      <c r="G739" s="451">
        <f t="shared" ref="G739:G740" si="349">G740</f>
        <v>263.09399999999999</v>
      </c>
      <c r="H739" s="451">
        <f t="shared" si="335"/>
        <v>93.962142857142851</v>
      </c>
    </row>
    <row r="740" spans="1:8" s="200" customFormat="1" ht="78.75" x14ac:dyDescent="0.25">
      <c r="A740" s="458" t="s">
        <v>127</v>
      </c>
      <c r="B740" s="454" t="s">
        <v>264</v>
      </c>
      <c r="C740" s="454" t="s">
        <v>264</v>
      </c>
      <c r="D740" s="454" t="s">
        <v>893</v>
      </c>
      <c r="E740" s="454" t="s">
        <v>128</v>
      </c>
      <c r="F740" s="451">
        <f>F741</f>
        <v>280</v>
      </c>
      <c r="G740" s="451">
        <f t="shared" si="349"/>
        <v>263.09399999999999</v>
      </c>
      <c r="H740" s="451">
        <f t="shared" si="335"/>
        <v>93.962142857142851</v>
      </c>
    </row>
    <row r="741" spans="1:8" s="200" customFormat="1" ht="17.45" customHeight="1" x14ac:dyDescent="0.25">
      <c r="A741" s="458" t="s">
        <v>342</v>
      </c>
      <c r="B741" s="454" t="s">
        <v>264</v>
      </c>
      <c r="C741" s="454" t="s">
        <v>264</v>
      </c>
      <c r="D741" s="454" t="s">
        <v>893</v>
      </c>
      <c r="E741" s="454" t="s">
        <v>209</v>
      </c>
      <c r="F741" s="451">
        <f>'Пр.4 ведом.21'!G347</f>
        <v>280</v>
      </c>
      <c r="G741" s="451">
        <f>'Пр.4 ведом.21'!H347</f>
        <v>263.09399999999999</v>
      </c>
      <c r="H741" s="451">
        <f t="shared" si="335"/>
        <v>93.962142857142851</v>
      </c>
    </row>
    <row r="742" spans="1:8" s="200" customFormat="1" ht="19.5" hidden="1" customHeight="1" x14ac:dyDescent="0.25">
      <c r="A742" s="458" t="s">
        <v>1030</v>
      </c>
      <c r="B742" s="454" t="s">
        <v>264</v>
      </c>
      <c r="C742" s="454" t="s">
        <v>264</v>
      </c>
      <c r="D742" s="454" t="s">
        <v>1047</v>
      </c>
      <c r="E742" s="454"/>
      <c r="F742" s="451">
        <f>F743</f>
        <v>0</v>
      </c>
      <c r="G742" s="451">
        <f t="shared" ref="G742:G743" si="350">G743</f>
        <v>0</v>
      </c>
      <c r="H742" s="451" t="e">
        <f t="shared" si="335"/>
        <v>#DIV/0!</v>
      </c>
    </row>
    <row r="743" spans="1:8" s="200" customFormat="1" ht="31.5" hidden="1" x14ac:dyDescent="0.25">
      <c r="A743" s="458" t="s">
        <v>131</v>
      </c>
      <c r="B743" s="454" t="s">
        <v>264</v>
      </c>
      <c r="C743" s="454" t="s">
        <v>264</v>
      </c>
      <c r="D743" s="454" t="s">
        <v>1047</v>
      </c>
      <c r="E743" s="454" t="s">
        <v>132</v>
      </c>
      <c r="F743" s="451">
        <f>F744</f>
        <v>0</v>
      </c>
      <c r="G743" s="451">
        <f t="shared" si="350"/>
        <v>0</v>
      </c>
      <c r="H743" s="451" t="e">
        <f t="shared" si="335"/>
        <v>#DIV/0!</v>
      </c>
    </row>
    <row r="744" spans="1:8" s="200" customFormat="1" ht="47.25" hidden="1" x14ac:dyDescent="0.25">
      <c r="A744" s="458" t="s">
        <v>133</v>
      </c>
      <c r="B744" s="454" t="s">
        <v>264</v>
      </c>
      <c r="C744" s="454" t="s">
        <v>264</v>
      </c>
      <c r="D744" s="454" t="s">
        <v>1047</v>
      </c>
      <c r="E744" s="454" t="s">
        <v>134</v>
      </c>
      <c r="F744" s="451">
        <f>'Пр.4 ведом.21'!G350</f>
        <v>0</v>
      </c>
      <c r="G744" s="451">
        <f>'Пр.4 ведом.21'!H350</f>
        <v>0</v>
      </c>
      <c r="H744" s="451" t="e">
        <f t="shared" si="335"/>
        <v>#DIV/0!</v>
      </c>
    </row>
    <row r="745" spans="1:8" s="200" customFormat="1" ht="63" x14ac:dyDescent="0.25">
      <c r="A745" s="456" t="s">
        <v>1031</v>
      </c>
      <c r="B745" s="457" t="s">
        <v>264</v>
      </c>
      <c r="C745" s="457" t="s">
        <v>264</v>
      </c>
      <c r="D745" s="457" t="s">
        <v>894</v>
      </c>
      <c r="E745" s="457"/>
      <c r="F745" s="450">
        <f>F746</f>
        <v>455</v>
      </c>
      <c r="G745" s="450">
        <f t="shared" ref="G745" si="351">G746</f>
        <v>366.51900000000001</v>
      </c>
      <c r="H745" s="450">
        <f t="shared" si="335"/>
        <v>80.553626373626372</v>
      </c>
    </row>
    <row r="746" spans="1:8" s="200" customFormat="1" ht="15.75" x14ac:dyDescent="0.25">
      <c r="A746" s="458" t="s">
        <v>1032</v>
      </c>
      <c r="B746" s="454" t="s">
        <v>264</v>
      </c>
      <c r="C746" s="454" t="s">
        <v>264</v>
      </c>
      <c r="D746" s="454" t="s">
        <v>901</v>
      </c>
      <c r="E746" s="454"/>
      <c r="F746" s="451">
        <f>F747+F749</f>
        <v>455</v>
      </c>
      <c r="G746" s="451">
        <f t="shared" ref="G746" si="352">G747+G749</f>
        <v>366.51900000000001</v>
      </c>
      <c r="H746" s="451">
        <f t="shared" si="335"/>
        <v>80.553626373626372</v>
      </c>
    </row>
    <row r="747" spans="1:8" s="200" customFormat="1" ht="78.75" x14ac:dyDescent="0.25">
      <c r="A747" s="458" t="s">
        <v>127</v>
      </c>
      <c r="B747" s="454" t="s">
        <v>264</v>
      </c>
      <c r="C747" s="454" t="s">
        <v>264</v>
      </c>
      <c r="D747" s="454" t="s">
        <v>901</v>
      </c>
      <c r="E747" s="454" t="s">
        <v>128</v>
      </c>
      <c r="F747" s="451">
        <f>F748</f>
        <v>40</v>
      </c>
      <c r="G747" s="451">
        <f t="shared" ref="G747" si="353">G748</f>
        <v>0</v>
      </c>
      <c r="H747" s="451">
        <f t="shared" si="335"/>
        <v>0</v>
      </c>
    </row>
    <row r="748" spans="1:8" s="200" customFormat="1" ht="18.75" customHeight="1" x14ac:dyDescent="0.25">
      <c r="A748" s="458" t="s">
        <v>342</v>
      </c>
      <c r="B748" s="454" t="s">
        <v>264</v>
      </c>
      <c r="C748" s="454" t="s">
        <v>264</v>
      </c>
      <c r="D748" s="454" t="s">
        <v>901</v>
      </c>
      <c r="E748" s="454" t="s">
        <v>209</v>
      </c>
      <c r="F748" s="451">
        <f>'Пр.4 ведом.21'!G354</f>
        <v>40</v>
      </c>
      <c r="G748" s="451">
        <f>'Пр.4 ведом.21'!H354</f>
        <v>0</v>
      </c>
      <c r="H748" s="451">
        <f t="shared" si="335"/>
        <v>0</v>
      </c>
    </row>
    <row r="749" spans="1:8" s="200" customFormat="1" ht="31.5" x14ac:dyDescent="0.25">
      <c r="A749" s="458" t="s">
        <v>131</v>
      </c>
      <c r="B749" s="454" t="s">
        <v>264</v>
      </c>
      <c r="C749" s="454" t="s">
        <v>264</v>
      </c>
      <c r="D749" s="454" t="s">
        <v>901</v>
      </c>
      <c r="E749" s="454" t="s">
        <v>132</v>
      </c>
      <c r="F749" s="451">
        <f>F750</f>
        <v>415</v>
      </c>
      <c r="G749" s="451">
        <f t="shared" ref="G749" si="354">G750</f>
        <v>366.51900000000001</v>
      </c>
      <c r="H749" s="451">
        <f t="shared" si="335"/>
        <v>88.317831325301213</v>
      </c>
    </row>
    <row r="750" spans="1:8" s="200" customFormat="1" ht="47.25" x14ac:dyDescent="0.25">
      <c r="A750" s="458" t="s">
        <v>133</v>
      </c>
      <c r="B750" s="454" t="s">
        <v>264</v>
      </c>
      <c r="C750" s="454" t="s">
        <v>264</v>
      </c>
      <c r="D750" s="454" t="s">
        <v>901</v>
      </c>
      <c r="E750" s="454" t="s">
        <v>134</v>
      </c>
      <c r="F750" s="451">
        <f>'Пр.4 ведом.21'!G356</f>
        <v>415</v>
      </c>
      <c r="G750" s="451">
        <f>'Пр.4 ведом.21'!H356</f>
        <v>366.51900000000001</v>
      </c>
      <c r="H750" s="451">
        <f t="shared" si="335"/>
        <v>88.317831325301213</v>
      </c>
    </row>
    <row r="751" spans="1:8" s="200" customFormat="1" ht="31.5" x14ac:dyDescent="0.25">
      <c r="A751" s="456" t="s">
        <v>1409</v>
      </c>
      <c r="B751" s="457" t="s">
        <v>264</v>
      </c>
      <c r="C751" s="457" t="s">
        <v>264</v>
      </c>
      <c r="D751" s="457" t="s">
        <v>1033</v>
      </c>
      <c r="E751" s="457"/>
      <c r="F751" s="450">
        <f>F752</f>
        <v>25</v>
      </c>
      <c r="G751" s="450">
        <f t="shared" ref="G751:G753" si="355">G752</f>
        <v>25</v>
      </c>
      <c r="H751" s="450">
        <f t="shared" si="335"/>
        <v>100</v>
      </c>
    </row>
    <row r="752" spans="1:8" s="200" customFormat="1" ht="47.25" x14ac:dyDescent="0.25">
      <c r="A752" s="226" t="s">
        <v>1034</v>
      </c>
      <c r="B752" s="454" t="s">
        <v>264</v>
      </c>
      <c r="C752" s="454" t="s">
        <v>264</v>
      </c>
      <c r="D752" s="454" t="s">
        <v>1048</v>
      </c>
      <c r="E752" s="454"/>
      <c r="F752" s="451">
        <f>F753</f>
        <v>25</v>
      </c>
      <c r="G752" s="451">
        <f t="shared" si="355"/>
        <v>25</v>
      </c>
      <c r="H752" s="451">
        <f t="shared" si="335"/>
        <v>100</v>
      </c>
    </row>
    <row r="753" spans="1:8" s="200" customFormat="1" ht="21.2" customHeight="1" x14ac:dyDescent="0.25">
      <c r="A753" s="458" t="s">
        <v>248</v>
      </c>
      <c r="B753" s="454" t="s">
        <v>264</v>
      </c>
      <c r="C753" s="454" t="s">
        <v>264</v>
      </c>
      <c r="D753" s="454" t="s">
        <v>1048</v>
      </c>
      <c r="E753" s="454" t="s">
        <v>249</v>
      </c>
      <c r="F753" s="451">
        <f>F754</f>
        <v>25</v>
      </c>
      <c r="G753" s="451">
        <f t="shared" si="355"/>
        <v>25</v>
      </c>
      <c r="H753" s="451">
        <f t="shared" si="335"/>
        <v>100</v>
      </c>
    </row>
    <row r="754" spans="1:8" s="200" customFormat="1" ht="31.5" x14ac:dyDescent="0.25">
      <c r="A754" s="458" t="s">
        <v>348</v>
      </c>
      <c r="B754" s="454" t="s">
        <v>264</v>
      </c>
      <c r="C754" s="454" t="s">
        <v>264</v>
      </c>
      <c r="D754" s="454" t="s">
        <v>1048</v>
      </c>
      <c r="E754" s="454" t="s">
        <v>349</v>
      </c>
      <c r="F754" s="451">
        <f>'Пр.4 ведом.21'!G360</f>
        <v>25</v>
      </c>
      <c r="G754" s="451">
        <f>'Пр.4 ведом.21'!H360</f>
        <v>25</v>
      </c>
      <c r="H754" s="451">
        <f t="shared" si="335"/>
        <v>100</v>
      </c>
    </row>
    <row r="755" spans="1:8" ht="36.75" customHeight="1" x14ac:dyDescent="0.25">
      <c r="A755" s="456" t="s">
        <v>1359</v>
      </c>
      <c r="B755" s="457" t="s">
        <v>264</v>
      </c>
      <c r="C755" s="457" t="s">
        <v>264</v>
      </c>
      <c r="D755" s="457" t="s">
        <v>406</v>
      </c>
      <c r="E755" s="457"/>
      <c r="F755" s="450">
        <f>F756</f>
        <v>6060.0000000000009</v>
      </c>
      <c r="G755" s="450">
        <f t="shared" ref="G755:G758" si="356">G756</f>
        <v>5192.8689999999997</v>
      </c>
      <c r="H755" s="450">
        <f t="shared" si="335"/>
        <v>85.690907590759053</v>
      </c>
    </row>
    <row r="756" spans="1:8" ht="31.5" x14ac:dyDescent="0.25">
      <c r="A756" s="456" t="s">
        <v>943</v>
      </c>
      <c r="B756" s="457" t="s">
        <v>264</v>
      </c>
      <c r="C756" s="457" t="s">
        <v>264</v>
      </c>
      <c r="D756" s="457" t="s">
        <v>1240</v>
      </c>
      <c r="E756" s="457"/>
      <c r="F756" s="450">
        <f>F757</f>
        <v>6060.0000000000009</v>
      </c>
      <c r="G756" s="450">
        <f t="shared" si="356"/>
        <v>5192.8689999999997</v>
      </c>
      <c r="H756" s="450">
        <f t="shared" si="335"/>
        <v>85.690907590759053</v>
      </c>
    </row>
    <row r="757" spans="1:8" ht="42" customHeight="1" x14ac:dyDescent="0.25">
      <c r="A757" s="31" t="s">
        <v>1060</v>
      </c>
      <c r="B757" s="454" t="s">
        <v>264</v>
      </c>
      <c r="C757" s="454" t="s">
        <v>264</v>
      </c>
      <c r="D757" s="454" t="s">
        <v>1262</v>
      </c>
      <c r="E757" s="454"/>
      <c r="F757" s="451">
        <f>F758</f>
        <v>6060.0000000000009</v>
      </c>
      <c r="G757" s="451">
        <f t="shared" si="356"/>
        <v>5192.8689999999997</v>
      </c>
      <c r="H757" s="451">
        <f t="shared" si="335"/>
        <v>85.690907590759053</v>
      </c>
    </row>
    <row r="758" spans="1:8" ht="35.450000000000003" customHeight="1" x14ac:dyDescent="0.25">
      <c r="A758" s="458" t="s">
        <v>272</v>
      </c>
      <c r="B758" s="454" t="s">
        <v>264</v>
      </c>
      <c r="C758" s="454" t="s">
        <v>264</v>
      </c>
      <c r="D758" s="454" t="s">
        <v>1262</v>
      </c>
      <c r="E758" s="454" t="s">
        <v>273</v>
      </c>
      <c r="F758" s="451">
        <f>F759</f>
        <v>6060.0000000000009</v>
      </c>
      <c r="G758" s="451">
        <f t="shared" si="356"/>
        <v>5192.8689999999997</v>
      </c>
      <c r="H758" s="451">
        <f t="shared" si="335"/>
        <v>85.690907590759053</v>
      </c>
    </row>
    <row r="759" spans="1:8" ht="15.75" x14ac:dyDescent="0.25">
      <c r="A759" s="458" t="s">
        <v>274</v>
      </c>
      <c r="B759" s="454" t="s">
        <v>264</v>
      </c>
      <c r="C759" s="454" t="s">
        <v>264</v>
      </c>
      <c r="D759" s="454" t="s">
        <v>1262</v>
      </c>
      <c r="E759" s="454" t="s">
        <v>275</v>
      </c>
      <c r="F759" s="451">
        <f>'Пр.4 ведом.21'!G766</f>
        <v>6060.0000000000009</v>
      </c>
      <c r="G759" s="451">
        <f>'Пр.4 ведом.21'!H766</f>
        <v>5192.8689999999997</v>
      </c>
      <c r="H759" s="451">
        <f t="shared" si="335"/>
        <v>85.690907590759053</v>
      </c>
    </row>
    <row r="760" spans="1:8" ht="15" customHeight="1" x14ac:dyDescent="0.25">
      <c r="A760" s="456" t="s">
        <v>295</v>
      </c>
      <c r="B760" s="457" t="s">
        <v>264</v>
      </c>
      <c r="C760" s="457" t="s">
        <v>219</v>
      </c>
      <c r="D760" s="457"/>
      <c r="E760" s="457"/>
      <c r="F760" s="450">
        <f>F761+F771</f>
        <v>20719.8</v>
      </c>
      <c r="G760" s="450">
        <f t="shared" ref="G760" si="357">G761+G771</f>
        <v>15825.124110000001</v>
      </c>
      <c r="H760" s="450">
        <f t="shared" si="335"/>
        <v>76.376818839950204</v>
      </c>
    </row>
    <row r="761" spans="1:8" ht="31.5" x14ac:dyDescent="0.25">
      <c r="A761" s="456" t="s">
        <v>917</v>
      </c>
      <c r="B761" s="457" t="s">
        <v>264</v>
      </c>
      <c r="C761" s="457" t="s">
        <v>219</v>
      </c>
      <c r="D761" s="457" t="s">
        <v>858</v>
      </c>
      <c r="E761" s="457"/>
      <c r="F761" s="450">
        <f>F762</f>
        <v>6048.7</v>
      </c>
      <c r="G761" s="450">
        <f t="shared" ref="G761" si="358">G762</f>
        <v>4595.1291300000003</v>
      </c>
      <c r="H761" s="450">
        <f t="shared" si="335"/>
        <v>75.968871493048098</v>
      </c>
    </row>
    <row r="762" spans="1:8" ht="15.75" x14ac:dyDescent="0.25">
      <c r="A762" s="456" t="s">
        <v>918</v>
      </c>
      <c r="B762" s="457" t="s">
        <v>264</v>
      </c>
      <c r="C762" s="457" t="s">
        <v>219</v>
      </c>
      <c r="D762" s="457" t="s">
        <v>859</v>
      </c>
      <c r="E762" s="457"/>
      <c r="F762" s="450">
        <f>F763+F768</f>
        <v>6048.7</v>
      </c>
      <c r="G762" s="450">
        <f t="shared" ref="G762" si="359">G763+G768</f>
        <v>4595.1291300000003</v>
      </c>
      <c r="H762" s="450">
        <f t="shared" si="335"/>
        <v>75.968871493048098</v>
      </c>
    </row>
    <row r="763" spans="1:8" ht="31.5" x14ac:dyDescent="0.25">
      <c r="A763" s="458" t="s">
        <v>897</v>
      </c>
      <c r="B763" s="454" t="s">
        <v>264</v>
      </c>
      <c r="C763" s="454" t="s">
        <v>219</v>
      </c>
      <c r="D763" s="454" t="s">
        <v>860</v>
      </c>
      <c r="E763" s="454"/>
      <c r="F763" s="451">
        <f>F764+F766</f>
        <v>5922.7</v>
      </c>
      <c r="G763" s="451">
        <f t="shared" ref="G763" si="360">G764+G766</f>
        <v>4488.4231300000001</v>
      </c>
      <c r="H763" s="451">
        <f t="shared" si="335"/>
        <v>75.78339490435107</v>
      </c>
    </row>
    <row r="764" spans="1:8" ht="78.75" x14ac:dyDescent="0.25">
      <c r="A764" s="458" t="s">
        <v>127</v>
      </c>
      <c r="B764" s="454" t="s">
        <v>264</v>
      </c>
      <c r="C764" s="454" t="s">
        <v>219</v>
      </c>
      <c r="D764" s="454" t="s">
        <v>860</v>
      </c>
      <c r="E764" s="454" t="s">
        <v>128</v>
      </c>
      <c r="F764" s="451">
        <f>F765</f>
        <v>5710.7</v>
      </c>
      <c r="G764" s="451">
        <f t="shared" ref="G764" si="361">G765</f>
        <v>4377.9094800000003</v>
      </c>
      <c r="H764" s="451">
        <f t="shared" si="335"/>
        <v>76.661521004430284</v>
      </c>
    </row>
    <row r="765" spans="1:8" ht="36.75" customHeight="1" x14ac:dyDescent="0.25">
      <c r="A765" s="458" t="s">
        <v>129</v>
      </c>
      <c r="B765" s="454" t="s">
        <v>264</v>
      </c>
      <c r="C765" s="454" t="s">
        <v>219</v>
      </c>
      <c r="D765" s="454" t="s">
        <v>860</v>
      </c>
      <c r="E765" s="454" t="s">
        <v>130</v>
      </c>
      <c r="F765" s="451">
        <f>'Пр.4 ведом.21'!G772</f>
        <v>5710.7</v>
      </c>
      <c r="G765" s="451">
        <f>'Пр.4 ведом.21'!H772</f>
        <v>4377.9094800000003</v>
      </c>
      <c r="H765" s="451">
        <f t="shared" si="335"/>
        <v>76.661521004430284</v>
      </c>
    </row>
    <row r="766" spans="1:8" ht="31.5" x14ac:dyDescent="0.25">
      <c r="A766" s="458" t="s">
        <v>131</v>
      </c>
      <c r="B766" s="454" t="s">
        <v>264</v>
      </c>
      <c r="C766" s="454" t="s">
        <v>219</v>
      </c>
      <c r="D766" s="454" t="s">
        <v>860</v>
      </c>
      <c r="E766" s="454" t="s">
        <v>132</v>
      </c>
      <c r="F766" s="451">
        <f>F767</f>
        <v>212</v>
      </c>
      <c r="G766" s="451">
        <f t="shared" ref="G766" si="362">G767</f>
        <v>110.51365</v>
      </c>
      <c r="H766" s="451">
        <f t="shared" si="335"/>
        <v>52.129080188679247</v>
      </c>
    </row>
    <row r="767" spans="1:8" ht="47.25" x14ac:dyDescent="0.25">
      <c r="A767" s="458" t="s">
        <v>133</v>
      </c>
      <c r="B767" s="454" t="s">
        <v>264</v>
      </c>
      <c r="C767" s="454" t="s">
        <v>219</v>
      </c>
      <c r="D767" s="454" t="s">
        <v>860</v>
      </c>
      <c r="E767" s="454" t="s">
        <v>134</v>
      </c>
      <c r="F767" s="451">
        <f>'Пр.4 ведом.21'!G774</f>
        <v>212</v>
      </c>
      <c r="G767" s="451">
        <f>'Пр.4 ведом.21'!H774</f>
        <v>110.51365</v>
      </c>
      <c r="H767" s="451">
        <f t="shared" si="335"/>
        <v>52.129080188679247</v>
      </c>
    </row>
    <row r="768" spans="1:8" ht="47.25" x14ac:dyDescent="0.25">
      <c r="A768" s="458" t="s">
        <v>839</v>
      </c>
      <c r="B768" s="454" t="s">
        <v>264</v>
      </c>
      <c r="C768" s="454" t="s">
        <v>219</v>
      </c>
      <c r="D768" s="454" t="s">
        <v>862</v>
      </c>
      <c r="E768" s="454"/>
      <c r="F768" s="451">
        <f>F769</f>
        <v>126</v>
      </c>
      <c r="G768" s="451">
        <f t="shared" ref="G768:G769" si="363">G769</f>
        <v>106.706</v>
      </c>
      <c r="H768" s="451">
        <f t="shared" si="335"/>
        <v>84.68730158730159</v>
      </c>
    </row>
    <row r="769" spans="1:8" ht="78.75" x14ac:dyDescent="0.25">
      <c r="A769" s="458" t="s">
        <v>127</v>
      </c>
      <c r="B769" s="454" t="s">
        <v>264</v>
      </c>
      <c r="C769" s="454" t="s">
        <v>219</v>
      </c>
      <c r="D769" s="454" t="s">
        <v>862</v>
      </c>
      <c r="E769" s="454" t="s">
        <v>128</v>
      </c>
      <c r="F769" s="451">
        <f>F770</f>
        <v>126</v>
      </c>
      <c r="G769" s="451">
        <f t="shared" si="363"/>
        <v>106.706</v>
      </c>
      <c r="H769" s="451">
        <f t="shared" si="335"/>
        <v>84.68730158730159</v>
      </c>
    </row>
    <row r="770" spans="1:8" ht="31.5" x14ac:dyDescent="0.25">
      <c r="A770" s="458" t="s">
        <v>129</v>
      </c>
      <c r="B770" s="454" t="s">
        <v>264</v>
      </c>
      <c r="C770" s="454" t="s">
        <v>219</v>
      </c>
      <c r="D770" s="454" t="s">
        <v>862</v>
      </c>
      <c r="E770" s="454" t="s">
        <v>130</v>
      </c>
      <c r="F770" s="451">
        <f>'Пр.4 ведом.21'!G777</f>
        <v>126</v>
      </c>
      <c r="G770" s="451">
        <f>'Пр.4 ведом.21'!H777</f>
        <v>106.706</v>
      </c>
      <c r="H770" s="451">
        <f t="shared" si="335"/>
        <v>84.68730158730159</v>
      </c>
    </row>
    <row r="771" spans="1:8" ht="15.75" x14ac:dyDescent="0.25">
      <c r="A771" s="456" t="s">
        <v>141</v>
      </c>
      <c r="B771" s="457" t="s">
        <v>264</v>
      </c>
      <c r="C771" s="457" t="s">
        <v>219</v>
      </c>
      <c r="D771" s="457" t="s">
        <v>866</v>
      </c>
      <c r="E771" s="457"/>
      <c r="F771" s="450">
        <f>F772+F781</f>
        <v>14671.1</v>
      </c>
      <c r="G771" s="450">
        <f t="shared" ref="G771" si="364">G772+G781</f>
        <v>11229.994979999999</v>
      </c>
      <c r="H771" s="450">
        <f t="shared" si="335"/>
        <v>76.545010121940408</v>
      </c>
    </row>
    <row r="772" spans="1:8" ht="31.5" x14ac:dyDescent="0.25">
      <c r="A772" s="456" t="s">
        <v>870</v>
      </c>
      <c r="B772" s="457" t="s">
        <v>264</v>
      </c>
      <c r="C772" s="457" t="s">
        <v>219</v>
      </c>
      <c r="D772" s="457" t="s">
        <v>865</v>
      </c>
      <c r="E772" s="457"/>
      <c r="F772" s="450">
        <f>F776+F773</f>
        <v>1188</v>
      </c>
      <c r="G772" s="450">
        <f t="shared" ref="G772" si="365">G776+G773</f>
        <v>632.67499999999995</v>
      </c>
      <c r="H772" s="450">
        <f t="shared" si="335"/>
        <v>53.255471380471377</v>
      </c>
    </row>
    <row r="773" spans="1:8" s="449" customFormat="1" ht="47.25" x14ac:dyDescent="0.25">
      <c r="A773" s="31" t="s">
        <v>1702</v>
      </c>
      <c r="B773" s="454" t="s">
        <v>264</v>
      </c>
      <c r="C773" s="454" t="s">
        <v>219</v>
      </c>
      <c r="D773" s="454" t="s">
        <v>1701</v>
      </c>
      <c r="E773" s="454"/>
      <c r="F773" s="451">
        <f>F774</f>
        <v>315</v>
      </c>
      <c r="G773" s="451">
        <f t="shared" ref="G773:G774" si="366">G774</f>
        <v>315</v>
      </c>
      <c r="H773" s="451">
        <f t="shared" si="335"/>
        <v>100</v>
      </c>
    </row>
    <row r="774" spans="1:8" s="449" customFormat="1" ht="31.5" x14ac:dyDescent="0.25">
      <c r="A774" s="458" t="s">
        <v>131</v>
      </c>
      <c r="B774" s="454" t="s">
        <v>264</v>
      </c>
      <c r="C774" s="454" t="s">
        <v>219</v>
      </c>
      <c r="D774" s="454" t="s">
        <v>1701</v>
      </c>
      <c r="E774" s="454" t="s">
        <v>132</v>
      </c>
      <c r="F774" s="451">
        <f>F775</f>
        <v>315</v>
      </c>
      <c r="G774" s="451">
        <f t="shared" si="366"/>
        <v>315</v>
      </c>
      <c r="H774" s="451">
        <f t="shared" si="335"/>
        <v>100</v>
      </c>
    </row>
    <row r="775" spans="1:8" s="449" customFormat="1" ht="47.25" x14ac:dyDescent="0.25">
      <c r="A775" s="458" t="s">
        <v>133</v>
      </c>
      <c r="B775" s="454" t="s">
        <v>264</v>
      </c>
      <c r="C775" s="454" t="s">
        <v>219</v>
      </c>
      <c r="D775" s="454" t="s">
        <v>1701</v>
      </c>
      <c r="E775" s="454" t="s">
        <v>134</v>
      </c>
      <c r="F775" s="451">
        <f>'Пр.4 ведом.21'!G365</f>
        <v>315</v>
      </c>
      <c r="G775" s="451">
        <f>'Пр.4 ведом.21'!H365</f>
        <v>315</v>
      </c>
      <c r="H775" s="451">
        <f t="shared" si="335"/>
        <v>100</v>
      </c>
    </row>
    <row r="776" spans="1:8" ht="15.75" x14ac:dyDescent="0.25">
      <c r="A776" s="458" t="s">
        <v>478</v>
      </c>
      <c r="B776" s="454" t="s">
        <v>264</v>
      </c>
      <c r="C776" s="454" t="s">
        <v>219</v>
      </c>
      <c r="D776" s="454" t="s">
        <v>944</v>
      </c>
      <c r="E776" s="454"/>
      <c r="F776" s="451">
        <f>F777+F779</f>
        <v>873</v>
      </c>
      <c r="G776" s="451">
        <f t="shared" ref="G776" si="367">G777+G779</f>
        <v>317.67500000000001</v>
      </c>
      <c r="H776" s="451">
        <f t="shared" si="335"/>
        <v>36.388888888888893</v>
      </c>
    </row>
    <row r="777" spans="1:8" s="449" customFormat="1" ht="78.75" x14ac:dyDescent="0.25">
      <c r="A777" s="458" t="s">
        <v>127</v>
      </c>
      <c r="B777" s="454" t="s">
        <v>264</v>
      </c>
      <c r="C777" s="454" t="s">
        <v>219</v>
      </c>
      <c r="D777" s="454" t="s">
        <v>944</v>
      </c>
      <c r="E777" s="454" t="s">
        <v>128</v>
      </c>
      <c r="F777" s="451">
        <f>F778</f>
        <v>66.509999999999991</v>
      </c>
      <c r="G777" s="451">
        <f t="shared" ref="G777" si="368">G778</f>
        <v>66.510000000000005</v>
      </c>
      <c r="H777" s="451">
        <f t="shared" si="335"/>
        <v>100.00000000000003</v>
      </c>
    </row>
    <row r="778" spans="1:8" s="449" customFormat="1" ht="31.5" x14ac:dyDescent="0.25">
      <c r="A778" s="458" t="s">
        <v>342</v>
      </c>
      <c r="B778" s="454" t="s">
        <v>264</v>
      </c>
      <c r="C778" s="454" t="s">
        <v>219</v>
      </c>
      <c r="D778" s="454" t="s">
        <v>944</v>
      </c>
      <c r="E778" s="454" t="s">
        <v>209</v>
      </c>
      <c r="F778" s="451">
        <f>'Пр.4 ведом.21'!G782</f>
        <v>66.509999999999991</v>
      </c>
      <c r="G778" s="451">
        <f>'Пр.4 ведом.21'!H782</f>
        <v>66.510000000000005</v>
      </c>
      <c r="H778" s="451">
        <f t="shared" si="335"/>
        <v>100.00000000000003</v>
      </c>
    </row>
    <row r="779" spans="1:8" ht="31.5" x14ac:dyDescent="0.25">
      <c r="A779" s="458" t="s">
        <v>131</v>
      </c>
      <c r="B779" s="454" t="s">
        <v>264</v>
      </c>
      <c r="C779" s="454" t="s">
        <v>219</v>
      </c>
      <c r="D779" s="454" t="s">
        <v>944</v>
      </c>
      <c r="E779" s="454" t="s">
        <v>132</v>
      </c>
      <c r="F779" s="451">
        <f>F780</f>
        <v>806.49</v>
      </c>
      <c r="G779" s="451">
        <f t="shared" ref="G779" si="369">G780</f>
        <v>251.16499999999999</v>
      </c>
      <c r="H779" s="451">
        <f t="shared" ref="H779:H842" si="370">G779/F779*100</f>
        <v>31.142977594266512</v>
      </c>
    </row>
    <row r="780" spans="1:8" ht="39.75" customHeight="1" x14ac:dyDescent="0.25">
      <c r="A780" s="458" t="s">
        <v>133</v>
      </c>
      <c r="B780" s="454" t="s">
        <v>264</v>
      </c>
      <c r="C780" s="454" t="s">
        <v>219</v>
      </c>
      <c r="D780" s="454" t="s">
        <v>944</v>
      </c>
      <c r="E780" s="454" t="s">
        <v>134</v>
      </c>
      <c r="F780" s="451">
        <f>'Пр.4 ведом.21'!G784</f>
        <v>806.49</v>
      </c>
      <c r="G780" s="451">
        <f>'Пр.4 ведом.21'!H784</f>
        <v>251.16499999999999</v>
      </c>
      <c r="H780" s="451">
        <f t="shared" si="370"/>
        <v>31.142977594266512</v>
      </c>
    </row>
    <row r="781" spans="1:8" ht="36.75" customHeight="1" x14ac:dyDescent="0.25">
      <c r="A781" s="456" t="s">
        <v>929</v>
      </c>
      <c r="B781" s="457" t="s">
        <v>264</v>
      </c>
      <c r="C781" s="457" t="s">
        <v>219</v>
      </c>
      <c r="D781" s="457" t="s">
        <v>914</v>
      </c>
      <c r="E781" s="457"/>
      <c r="F781" s="450">
        <f>F782+F789</f>
        <v>13483.1</v>
      </c>
      <c r="G781" s="450">
        <f t="shared" ref="G781" si="371">G782+G789</f>
        <v>10597.31998</v>
      </c>
      <c r="H781" s="450">
        <f t="shared" si="370"/>
        <v>78.597058391616173</v>
      </c>
    </row>
    <row r="782" spans="1:8" ht="31.5" x14ac:dyDescent="0.25">
      <c r="A782" s="458" t="s">
        <v>903</v>
      </c>
      <c r="B782" s="454" t="s">
        <v>264</v>
      </c>
      <c r="C782" s="454" t="s">
        <v>219</v>
      </c>
      <c r="D782" s="454" t="s">
        <v>915</v>
      </c>
      <c r="E782" s="454"/>
      <c r="F782" s="360">
        <f>F783+F785+F787</f>
        <v>13110.35</v>
      </c>
      <c r="G782" s="360">
        <f t="shared" ref="G782" si="372">G783+G785+G787</f>
        <v>10265.17798</v>
      </c>
      <c r="H782" s="451">
        <f t="shared" si="370"/>
        <v>78.298275637187402</v>
      </c>
    </row>
    <row r="783" spans="1:8" ht="78.75" x14ac:dyDescent="0.25">
      <c r="A783" s="458" t="s">
        <v>127</v>
      </c>
      <c r="B783" s="454" t="s">
        <v>264</v>
      </c>
      <c r="C783" s="454" t="s">
        <v>219</v>
      </c>
      <c r="D783" s="454" t="s">
        <v>915</v>
      </c>
      <c r="E783" s="454" t="s">
        <v>128</v>
      </c>
      <c r="F783" s="360">
        <f>F784</f>
        <v>11912.87</v>
      </c>
      <c r="G783" s="360">
        <f t="shared" ref="G783" si="373">G784</f>
        <v>9471.8927800000001</v>
      </c>
      <c r="H783" s="451">
        <f t="shared" si="370"/>
        <v>79.509746853612938</v>
      </c>
    </row>
    <row r="784" spans="1:8" ht="24" customHeight="1" x14ac:dyDescent="0.25">
      <c r="A784" s="458" t="s">
        <v>342</v>
      </c>
      <c r="B784" s="454" t="s">
        <v>264</v>
      </c>
      <c r="C784" s="454" t="s">
        <v>219</v>
      </c>
      <c r="D784" s="454" t="s">
        <v>915</v>
      </c>
      <c r="E784" s="454" t="s">
        <v>209</v>
      </c>
      <c r="F784" s="451">
        <f>'Пр.4 ведом.21'!G788</f>
        <v>11912.87</v>
      </c>
      <c r="G784" s="451">
        <f>'Пр.4 ведом.21'!H788</f>
        <v>9471.8927800000001</v>
      </c>
      <c r="H784" s="451">
        <f t="shared" si="370"/>
        <v>79.509746853612938</v>
      </c>
    </row>
    <row r="785" spans="1:12" ht="31.5" x14ac:dyDescent="0.25">
      <c r="A785" s="458" t="s">
        <v>131</v>
      </c>
      <c r="B785" s="454" t="s">
        <v>264</v>
      </c>
      <c r="C785" s="454" t="s">
        <v>219</v>
      </c>
      <c r="D785" s="454" t="s">
        <v>915</v>
      </c>
      <c r="E785" s="454" t="s">
        <v>132</v>
      </c>
      <c r="F785" s="451">
        <f>F786</f>
        <v>1182.48</v>
      </c>
      <c r="G785" s="451">
        <f t="shared" ref="G785" si="374">G786</f>
        <v>793.28520000000003</v>
      </c>
      <c r="H785" s="451">
        <f t="shared" si="370"/>
        <v>67.086563831946421</v>
      </c>
    </row>
    <row r="786" spans="1:12" ht="31.7" customHeight="1" x14ac:dyDescent="0.25">
      <c r="A786" s="458" t="s">
        <v>133</v>
      </c>
      <c r="B786" s="454" t="s">
        <v>264</v>
      </c>
      <c r="C786" s="454" t="s">
        <v>219</v>
      </c>
      <c r="D786" s="454" t="s">
        <v>915</v>
      </c>
      <c r="E786" s="454" t="s">
        <v>134</v>
      </c>
      <c r="F786" s="451">
        <f>'Пр.4 ведом.21'!G790</f>
        <v>1182.48</v>
      </c>
      <c r="G786" s="451">
        <f>'Пр.4 ведом.21'!H790</f>
        <v>793.28520000000003</v>
      </c>
      <c r="H786" s="451">
        <f t="shared" si="370"/>
        <v>67.086563831946421</v>
      </c>
    </row>
    <row r="787" spans="1:12" ht="22.7" customHeight="1" x14ac:dyDescent="0.25">
      <c r="A787" s="458" t="s">
        <v>135</v>
      </c>
      <c r="B787" s="454" t="s">
        <v>264</v>
      </c>
      <c r="C787" s="454" t="s">
        <v>219</v>
      </c>
      <c r="D787" s="454" t="s">
        <v>915</v>
      </c>
      <c r="E787" s="454" t="s">
        <v>145</v>
      </c>
      <c r="F787" s="451">
        <f t="shared" ref="F787:G787" si="375">F788</f>
        <v>15</v>
      </c>
      <c r="G787" s="451">
        <f t="shared" si="375"/>
        <v>0</v>
      </c>
      <c r="H787" s="451">
        <f t="shared" si="370"/>
        <v>0</v>
      </c>
    </row>
    <row r="788" spans="1:12" ht="15.75" customHeight="1" x14ac:dyDescent="0.25">
      <c r="A788" s="458" t="s">
        <v>568</v>
      </c>
      <c r="B788" s="454" t="s">
        <v>264</v>
      </c>
      <c r="C788" s="454" t="s">
        <v>219</v>
      </c>
      <c r="D788" s="454" t="s">
        <v>915</v>
      </c>
      <c r="E788" s="454" t="s">
        <v>138</v>
      </c>
      <c r="F788" s="451">
        <f>'Пр.4 ведом.21'!G792</f>
        <v>15</v>
      </c>
      <c r="G788" s="451">
        <f>'Пр.4 ведом.21'!H792</f>
        <v>0</v>
      </c>
      <c r="H788" s="451">
        <f t="shared" si="370"/>
        <v>0</v>
      </c>
    </row>
    <row r="789" spans="1:12" ht="47.25" customHeight="1" x14ac:dyDescent="0.25">
      <c r="A789" s="458" t="s">
        <v>839</v>
      </c>
      <c r="B789" s="454" t="s">
        <v>264</v>
      </c>
      <c r="C789" s="454" t="s">
        <v>219</v>
      </c>
      <c r="D789" s="454" t="s">
        <v>916</v>
      </c>
      <c r="E789" s="454"/>
      <c r="F789" s="451">
        <f>F790</f>
        <v>372.75</v>
      </c>
      <c r="G789" s="451">
        <f t="shared" ref="G789:G790" si="376">G790</f>
        <v>332.142</v>
      </c>
      <c r="H789" s="451">
        <f t="shared" si="370"/>
        <v>89.10583501006036</v>
      </c>
    </row>
    <row r="790" spans="1:12" ht="78.75" x14ac:dyDescent="0.25">
      <c r="A790" s="458" t="s">
        <v>127</v>
      </c>
      <c r="B790" s="454" t="s">
        <v>264</v>
      </c>
      <c r="C790" s="454" t="s">
        <v>219</v>
      </c>
      <c r="D790" s="454" t="s">
        <v>916</v>
      </c>
      <c r="E790" s="454" t="s">
        <v>128</v>
      </c>
      <c r="F790" s="451">
        <f>F791</f>
        <v>372.75</v>
      </c>
      <c r="G790" s="451">
        <f t="shared" si="376"/>
        <v>332.142</v>
      </c>
      <c r="H790" s="451">
        <f t="shared" si="370"/>
        <v>89.10583501006036</v>
      </c>
    </row>
    <row r="791" spans="1:12" ht="31.5" x14ac:dyDescent="0.25">
      <c r="A791" s="458" t="s">
        <v>129</v>
      </c>
      <c r="B791" s="454" t="s">
        <v>264</v>
      </c>
      <c r="C791" s="454" t="s">
        <v>219</v>
      </c>
      <c r="D791" s="454" t="s">
        <v>916</v>
      </c>
      <c r="E791" s="454" t="s">
        <v>130</v>
      </c>
      <c r="F791" s="451">
        <f>'Пр.4 ведом.21'!G795</f>
        <v>372.75</v>
      </c>
      <c r="G791" s="451">
        <f>'Пр.4 ведом.21'!H795</f>
        <v>332.142</v>
      </c>
      <c r="H791" s="451">
        <f t="shared" si="370"/>
        <v>89.10583501006036</v>
      </c>
    </row>
    <row r="792" spans="1:12" ht="15.75" x14ac:dyDescent="0.25">
      <c r="A792" s="462" t="s">
        <v>298</v>
      </c>
      <c r="B792" s="7" t="s">
        <v>299</v>
      </c>
      <c r="C792" s="7"/>
      <c r="D792" s="7"/>
      <c r="E792" s="7"/>
      <c r="F792" s="450">
        <f>F793+F853</f>
        <v>82056.5</v>
      </c>
      <c r="G792" s="450">
        <f t="shared" ref="G792" si="377">G793+G853</f>
        <v>54484.695320000006</v>
      </c>
      <c r="H792" s="450">
        <f t="shared" si="370"/>
        <v>66.398999859852665</v>
      </c>
      <c r="K792" s="227">
        <f>F792-F816-'Пр.4 ведом.21'!M1148-'Пр.4 ведом.21'!O1148-'Пр.4 ведом.21'!K1158-'Пр.4 ведом.21'!U1158</f>
        <v>76174</v>
      </c>
      <c r="L792" s="227">
        <f>F803+F816+F828-'Пр.4 ведом.21'!M1147-'Пр.4 ведом.21'!O1147-'Пр.4 ведом.21'!K1157-'Пр.4 ведом.21'!U1157</f>
        <v>5882.5</v>
      </c>
    </row>
    <row r="793" spans="1:12" ht="15.75" x14ac:dyDescent="0.25">
      <c r="A793" s="462" t="s">
        <v>300</v>
      </c>
      <c r="B793" s="7" t="s">
        <v>299</v>
      </c>
      <c r="C793" s="7" t="s">
        <v>118</v>
      </c>
      <c r="D793" s="7"/>
      <c r="E793" s="7"/>
      <c r="F793" s="450">
        <f>F794+F843+F848</f>
        <v>62267.999999999993</v>
      </c>
      <c r="G793" s="450">
        <f t="shared" ref="G793" si="378">G794+G843+G848</f>
        <v>38421.968300000008</v>
      </c>
      <c r="H793" s="450">
        <f t="shared" si="370"/>
        <v>61.704195252778341</v>
      </c>
      <c r="I793" s="22"/>
      <c r="J793" s="22"/>
    </row>
    <row r="794" spans="1:12" ht="34.5" customHeight="1" x14ac:dyDescent="0.25">
      <c r="A794" s="456" t="s">
        <v>1354</v>
      </c>
      <c r="B794" s="457" t="s">
        <v>299</v>
      </c>
      <c r="C794" s="457" t="s">
        <v>118</v>
      </c>
      <c r="D794" s="457" t="s">
        <v>267</v>
      </c>
      <c r="E794" s="457"/>
      <c r="F794" s="450">
        <f>F795+F806+F812+F816+F823+F827+F835+F839+F831</f>
        <v>61396.299999999996</v>
      </c>
      <c r="G794" s="450">
        <f t="shared" ref="G794" si="379">G795+G806+G812+G816+G823+G827+G835+G839+G831</f>
        <v>37807.689300000005</v>
      </c>
      <c r="H794" s="450">
        <f t="shared" si="370"/>
        <v>61.579752037174899</v>
      </c>
    </row>
    <row r="795" spans="1:12" ht="34.5" customHeight="1" x14ac:dyDescent="0.25">
      <c r="A795" s="456" t="s">
        <v>1300</v>
      </c>
      <c r="B795" s="457" t="s">
        <v>299</v>
      </c>
      <c r="C795" s="457" t="s">
        <v>118</v>
      </c>
      <c r="D795" s="457" t="s">
        <v>1204</v>
      </c>
      <c r="E795" s="457"/>
      <c r="F795" s="450">
        <f>F796+F803</f>
        <v>57164.1</v>
      </c>
      <c r="G795" s="450">
        <f t="shared" ref="G795" si="380">G796+G803</f>
        <v>34921.541300000004</v>
      </c>
      <c r="H795" s="450">
        <f t="shared" si="370"/>
        <v>61.089987072305888</v>
      </c>
    </row>
    <row r="796" spans="1:12" ht="15.75" x14ac:dyDescent="0.25">
      <c r="A796" s="458" t="s">
        <v>800</v>
      </c>
      <c r="B796" s="454" t="s">
        <v>299</v>
      </c>
      <c r="C796" s="454" t="s">
        <v>118</v>
      </c>
      <c r="D796" s="454" t="s">
        <v>1205</v>
      </c>
      <c r="E796" s="454"/>
      <c r="F796" s="451">
        <f>F797+F799+F801</f>
        <v>15392.799999999997</v>
      </c>
      <c r="G796" s="451">
        <f t="shared" ref="G796" si="381">G797+G799+G801</f>
        <v>8129.8498000000009</v>
      </c>
      <c r="H796" s="451">
        <f t="shared" si="370"/>
        <v>52.815925627566152</v>
      </c>
    </row>
    <row r="797" spans="1:12" ht="78.75" x14ac:dyDescent="0.25">
      <c r="A797" s="458" t="s">
        <v>127</v>
      </c>
      <c r="B797" s="454" t="s">
        <v>299</v>
      </c>
      <c r="C797" s="454" t="s">
        <v>118</v>
      </c>
      <c r="D797" s="454" t="s">
        <v>1205</v>
      </c>
      <c r="E797" s="454" t="s">
        <v>128</v>
      </c>
      <c r="F797" s="451">
        <f>F798</f>
        <v>2286.1699999999996</v>
      </c>
      <c r="G797" s="451">
        <f t="shared" ref="G797" si="382">G798</f>
        <v>1950.6572000000001</v>
      </c>
      <c r="H797" s="451">
        <f t="shared" si="370"/>
        <v>85.324240979454729</v>
      </c>
    </row>
    <row r="798" spans="1:12" ht="31.5" x14ac:dyDescent="0.25">
      <c r="A798" s="458" t="s">
        <v>208</v>
      </c>
      <c r="B798" s="454" t="s">
        <v>299</v>
      </c>
      <c r="C798" s="454" t="s">
        <v>118</v>
      </c>
      <c r="D798" s="454" t="s">
        <v>1205</v>
      </c>
      <c r="E798" s="454" t="s">
        <v>209</v>
      </c>
      <c r="F798" s="451">
        <f>'Пр.4 ведом.21'!G372</f>
        <v>2286.1699999999996</v>
      </c>
      <c r="G798" s="451">
        <f>'Пр.4 ведом.21'!H372</f>
        <v>1950.6572000000001</v>
      </c>
      <c r="H798" s="451">
        <f t="shared" si="370"/>
        <v>85.324240979454729</v>
      </c>
    </row>
    <row r="799" spans="1:12" ht="31.5" x14ac:dyDescent="0.25">
      <c r="A799" s="458" t="s">
        <v>131</v>
      </c>
      <c r="B799" s="454" t="s">
        <v>299</v>
      </c>
      <c r="C799" s="454" t="s">
        <v>118</v>
      </c>
      <c r="D799" s="454" t="s">
        <v>1205</v>
      </c>
      <c r="E799" s="454" t="s">
        <v>132</v>
      </c>
      <c r="F799" s="451">
        <f>F800</f>
        <v>12956.129999999997</v>
      </c>
      <c r="G799" s="451">
        <f t="shared" ref="G799" si="383">G800</f>
        <v>6067.6696000000002</v>
      </c>
      <c r="H799" s="451">
        <f t="shared" si="370"/>
        <v>46.832422953459108</v>
      </c>
      <c r="L799" s="22"/>
    </row>
    <row r="800" spans="1:12" ht="47.25" x14ac:dyDescent="0.25">
      <c r="A800" s="458" t="s">
        <v>133</v>
      </c>
      <c r="B800" s="454" t="s">
        <v>299</v>
      </c>
      <c r="C800" s="454" t="s">
        <v>118</v>
      </c>
      <c r="D800" s="454" t="s">
        <v>1205</v>
      </c>
      <c r="E800" s="454" t="s">
        <v>134</v>
      </c>
      <c r="F800" s="451">
        <f>'Пр.4 ведом.21'!G374</f>
        <v>12956.129999999997</v>
      </c>
      <c r="G800" s="451">
        <f>'Пр.4 ведом.21'!H374</f>
        <v>6067.6696000000002</v>
      </c>
      <c r="H800" s="451">
        <f t="shared" si="370"/>
        <v>46.832422953459108</v>
      </c>
    </row>
    <row r="801" spans="1:8" ht="15.75" x14ac:dyDescent="0.25">
      <c r="A801" s="458" t="s">
        <v>135</v>
      </c>
      <c r="B801" s="454" t="s">
        <v>299</v>
      </c>
      <c r="C801" s="454" t="s">
        <v>118</v>
      </c>
      <c r="D801" s="454" t="s">
        <v>1205</v>
      </c>
      <c r="E801" s="454" t="s">
        <v>145</v>
      </c>
      <c r="F801" s="451">
        <f t="shared" ref="F801:G801" si="384">F802</f>
        <v>150.5</v>
      </c>
      <c r="G801" s="451">
        <f t="shared" si="384"/>
        <v>111.523</v>
      </c>
      <c r="H801" s="451">
        <f t="shared" si="370"/>
        <v>74.101661129568114</v>
      </c>
    </row>
    <row r="802" spans="1:8" ht="15.75" x14ac:dyDescent="0.25">
      <c r="A802" s="458" t="s">
        <v>568</v>
      </c>
      <c r="B802" s="454" t="s">
        <v>299</v>
      </c>
      <c r="C802" s="454" t="s">
        <v>118</v>
      </c>
      <c r="D802" s="454" t="s">
        <v>1205</v>
      </c>
      <c r="E802" s="454" t="s">
        <v>138</v>
      </c>
      <c r="F802" s="451">
        <f>'Пр.4 ведом.21'!G376</f>
        <v>150.5</v>
      </c>
      <c r="G802" s="451">
        <f>'Пр.4 ведом.21'!H376</f>
        <v>111.523</v>
      </c>
      <c r="H802" s="451">
        <f t="shared" si="370"/>
        <v>74.101661129568114</v>
      </c>
    </row>
    <row r="803" spans="1:8" s="200" customFormat="1" ht="29.85" customHeight="1" x14ac:dyDescent="0.25">
      <c r="A803" s="31" t="s">
        <v>1514</v>
      </c>
      <c r="B803" s="454" t="s">
        <v>299</v>
      </c>
      <c r="C803" s="454" t="s">
        <v>118</v>
      </c>
      <c r="D803" s="454" t="s">
        <v>1486</v>
      </c>
      <c r="E803" s="454"/>
      <c r="F803" s="451">
        <f>F804</f>
        <v>41771.300000000003</v>
      </c>
      <c r="G803" s="451">
        <f t="shared" ref="G803:G804" si="385">G804</f>
        <v>26791.691500000001</v>
      </c>
      <c r="H803" s="451">
        <f t="shared" si="370"/>
        <v>64.138993758872715</v>
      </c>
    </row>
    <row r="804" spans="1:8" s="200" customFormat="1" ht="78.75" x14ac:dyDescent="0.25">
      <c r="A804" s="458" t="s">
        <v>127</v>
      </c>
      <c r="B804" s="454" t="s">
        <v>299</v>
      </c>
      <c r="C804" s="454" t="s">
        <v>118</v>
      </c>
      <c r="D804" s="454" t="s">
        <v>1486</v>
      </c>
      <c r="E804" s="454" t="s">
        <v>128</v>
      </c>
      <c r="F804" s="451">
        <f>F805</f>
        <v>41771.300000000003</v>
      </c>
      <c r="G804" s="451">
        <f t="shared" si="385"/>
        <v>26791.691500000001</v>
      </c>
      <c r="H804" s="451">
        <f t="shared" si="370"/>
        <v>64.138993758872715</v>
      </c>
    </row>
    <row r="805" spans="1:8" s="200" customFormat="1" ht="31.5" x14ac:dyDescent="0.25">
      <c r="A805" s="458" t="s">
        <v>208</v>
      </c>
      <c r="B805" s="454" t="s">
        <v>299</v>
      </c>
      <c r="C805" s="454" t="s">
        <v>118</v>
      </c>
      <c r="D805" s="454" t="s">
        <v>1486</v>
      </c>
      <c r="E805" s="454" t="s">
        <v>209</v>
      </c>
      <c r="F805" s="451">
        <f>'Пр.4 ведом.21'!G379</f>
        <v>41771.300000000003</v>
      </c>
      <c r="G805" s="451">
        <f>'Пр.4 ведом.21'!H379</f>
        <v>26791.691500000001</v>
      </c>
      <c r="H805" s="451">
        <f t="shared" si="370"/>
        <v>64.138993758872715</v>
      </c>
    </row>
    <row r="806" spans="1:8" ht="31.5" x14ac:dyDescent="0.25">
      <c r="A806" s="212" t="s">
        <v>1302</v>
      </c>
      <c r="B806" s="457" t="s">
        <v>299</v>
      </c>
      <c r="C806" s="457" t="s">
        <v>118</v>
      </c>
      <c r="D806" s="457" t="s">
        <v>1206</v>
      </c>
      <c r="E806" s="457"/>
      <c r="F806" s="450">
        <f>F807</f>
        <v>632.1</v>
      </c>
      <c r="G806" s="450">
        <f t="shared" ref="G806" si="386">G807</f>
        <v>554.12099999999998</v>
      </c>
      <c r="H806" s="450">
        <f t="shared" si="370"/>
        <v>87.663502610346455</v>
      </c>
    </row>
    <row r="807" spans="1:8" ht="31.5" x14ac:dyDescent="0.25">
      <c r="A807" s="31" t="s">
        <v>816</v>
      </c>
      <c r="B807" s="454" t="s">
        <v>299</v>
      </c>
      <c r="C807" s="454" t="s">
        <v>118</v>
      </c>
      <c r="D807" s="454" t="s">
        <v>1208</v>
      </c>
      <c r="E807" s="454"/>
      <c r="F807" s="451">
        <f>F808+F810</f>
        <v>632.1</v>
      </c>
      <c r="G807" s="451">
        <f t="shared" ref="G807" si="387">G808+G810</f>
        <v>554.12099999999998</v>
      </c>
      <c r="H807" s="451">
        <f t="shared" si="370"/>
        <v>87.663502610346455</v>
      </c>
    </row>
    <row r="808" spans="1:8" ht="78.75" x14ac:dyDescent="0.25">
      <c r="A808" s="458" t="s">
        <v>127</v>
      </c>
      <c r="B808" s="454" t="s">
        <v>299</v>
      </c>
      <c r="C808" s="454" t="s">
        <v>118</v>
      </c>
      <c r="D808" s="454" t="s">
        <v>1208</v>
      </c>
      <c r="E808" s="454" t="s">
        <v>128</v>
      </c>
      <c r="F808" s="451">
        <f>F809</f>
        <v>543.30000000000007</v>
      </c>
      <c r="G808" s="451">
        <f t="shared" ref="G808" si="388">G809</f>
        <v>465.32100000000003</v>
      </c>
      <c r="H808" s="451">
        <f t="shared" si="370"/>
        <v>85.647156267255653</v>
      </c>
    </row>
    <row r="809" spans="1:8" ht="31.5" x14ac:dyDescent="0.25">
      <c r="A809" s="458" t="s">
        <v>208</v>
      </c>
      <c r="B809" s="454" t="s">
        <v>299</v>
      </c>
      <c r="C809" s="454" t="s">
        <v>118</v>
      </c>
      <c r="D809" s="454" t="s">
        <v>1208</v>
      </c>
      <c r="E809" s="454" t="s">
        <v>209</v>
      </c>
      <c r="F809" s="451">
        <f>'Пр.4 ведом.21'!G383</f>
        <v>543.30000000000007</v>
      </c>
      <c r="G809" s="451">
        <f>'Пр.4 ведом.21'!H383</f>
        <v>465.32100000000003</v>
      </c>
      <c r="H809" s="451">
        <f t="shared" si="370"/>
        <v>85.647156267255653</v>
      </c>
    </row>
    <row r="810" spans="1:8" ht="31.5" hidden="1" x14ac:dyDescent="0.25">
      <c r="A810" s="458" t="s">
        <v>131</v>
      </c>
      <c r="B810" s="454" t="s">
        <v>299</v>
      </c>
      <c r="C810" s="454" t="s">
        <v>118</v>
      </c>
      <c r="D810" s="454" t="s">
        <v>1208</v>
      </c>
      <c r="E810" s="454" t="s">
        <v>132</v>
      </c>
      <c r="F810" s="451">
        <f>F811</f>
        <v>88.8</v>
      </c>
      <c r="G810" s="451">
        <f t="shared" ref="G810" si="389">G811</f>
        <v>88.8</v>
      </c>
      <c r="H810" s="451">
        <f t="shared" si="370"/>
        <v>100</v>
      </c>
    </row>
    <row r="811" spans="1:8" ht="47.25" hidden="1" x14ac:dyDescent="0.25">
      <c r="A811" s="458" t="s">
        <v>133</v>
      </c>
      <c r="B811" s="454" t="s">
        <v>299</v>
      </c>
      <c r="C811" s="454" t="s">
        <v>118</v>
      </c>
      <c r="D811" s="454" t="s">
        <v>1208</v>
      </c>
      <c r="E811" s="454" t="s">
        <v>134</v>
      </c>
      <c r="F811" s="451">
        <f>'Пр.4 ведом.21'!G385</f>
        <v>88.8</v>
      </c>
      <c r="G811" s="451">
        <f>'Пр.4 ведом.21'!H385</f>
        <v>88.8</v>
      </c>
      <c r="H811" s="451">
        <f t="shared" si="370"/>
        <v>100</v>
      </c>
    </row>
    <row r="812" spans="1:8" ht="31.5" x14ac:dyDescent="0.25">
      <c r="A812" s="456" t="s">
        <v>947</v>
      </c>
      <c r="B812" s="457" t="s">
        <v>299</v>
      </c>
      <c r="C812" s="457" t="s">
        <v>118</v>
      </c>
      <c r="D812" s="457" t="s">
        <v>1209</v>
      </c>
      <c r="E812" s="457"/>
      <c r="F812" s="450">
        <f>F813</f>
        <v>1039.4000000000001</v>
      </c>
      <c r="G812" s="450">
        <f t="shared" ref="G812:G814" si="390">G813</f>
        <v>947.23900000000003</v>
      </c>
      <c r="H812" s="450">
        <f t="shared" si="370"/>
        <v>91.133249951895323</v>
      </c>
    </row>
    <row r="813" spans="1:8" ht="47.25" x14ac:dyDescent="0.25">
      <c r="A813" s="458" t="s">
        <v>839</v>
      </c>
      <c r="B813" s="454" t="s">
        <v>299</v>
      </c>
      <c r="C813" s="454" t="s">
        <v>118</v>
      </c>
      <c r="D813" s="454" t="s">
        <v>1210</v>
      </c>
      <c r="E813" s="454"/>
      <c r="F813" s="451">
        <f>F814</f>
        <v>1039.4000000000001</v>
      </c>
      <c r="G813" s="451">
        <f t="shared" si="390"/>
        <v>947.23900000000003</v>
      </c>
      <c r="H813" s="451">
        <f t="shared" si="370"/>
        <v>91.133249951895323</v>
      </c>
    </row>
    <row r="814" spans="1:8" ht="78.75" x14ac:dyDescent="0.25">
      <c r="A814" s="458" t="s">
        <v>127</v>
      </c>
      <c r="B814" s="454" t="s">
        <v>299</v>
      </c>
      <c r="C814" s="454" t="s">
        <v>118</v>
      </c>
      <c r="D814" s="454" t="s">
        <v>1210</v>
      </c>
      <c r="E814" s="454" t="s">
        <v>128</v>
      </c>
      <c r="F814" s="451">
        <f>F815</f>
        <v>1039.4000000000001</v>
      </c>
      <c r="G814" s="451">
        <f t="shared" si="390"/>
        <v>947.23900000000003</v>
      </c>
      <c r="H814" s="451">
        <f t="shared" si="370"/>
        <v>91.133249951895323</v>
      </c>
    </row>
    <row r="815" spans="1:8" ht="31.5" x14ac:dyDescent="0.25">
      <c r="A815" s="458" t="s">
        <v>129</v>
      </c>
      <c r="B815" s="454" t="s">
        <v>299</v>
      </c>
      <c r="C815" s="454" t="s">
        <v>118</v>
      </c>
      <c r="D815" s="454" t="s">
        <v>1210</v>
      </c>
      <c r="E815" s="454" t="s">
        <v>209</v>
      </c>
      <c r="F815" s="451">
        <f>'Пр.4 ведом.21'!G389</f>
        <v>1039.4000000000001</v>
      </c>
      <c r="G815" s="451">
        <f>'Пр.4 ведом.21'!H389</f>
        <v>947.23900000000003</v>
      </c>
      <c r="H815" s="451">
        <f t="shared" si="370"/>
        <v>91.133249951895323</v>
      </c>
    </row>
    <row r="816" spans="1:8" ht="47.25" x14ac:dyDescent="0.25">
      <c r="A816" s="213" t="s">
        <v>900</v>
      </c>
      <c r="B816" s="457" t="s">
        <v>299</v>
      </c>
      <c r="C816" s="457" t="s">
        <v>118</v>
      </c>
      <c r="D816" s="457" t="s">
        <v>1211</v>
      </c>
      <c r="E816" s="457"/>
      <c r="F816" s="450">
        <f>F817+F820</f>
        <v>2442</v>
      </c>
      <c r="G816" s="450">
        <f t="shared" ref="G816" si="391">G817+G820</f>
        <v>1331.288</v>
      </c>
      <c r="H816" s="450">
        <f t="shared" si="370"/>
        <v>54.51629811629811</v>
      </c>
    </row>
    <row r="817" spans="1:8" s="200" customFormat="1" ht="94.5" x14ac:dyDescent="0.25">
      <c r="A817" s="31" t="s">
        <v>293</v>
      </c>
      <c r="B817" s="454" t="s">
        <v>299</v>
      </c>
      <c r="C817" s="454" t="s">
        <v>118</v>
      </c>
      <c r="D817" s="454" t="s">
        <v>1406</v>
      </c>
      <c r="E817" s="454"/>
      <c r="F817" s="451">
        <f>F818</f>
        <v>2100.6</v>
      </c>
      <c r="G817" s="451">
        <f t="shared" ref="G817:G818" si="392">G818</f>
        <v>1178.548</v>
      </c>
      <c r="H817" s="451">
        <f t="shared" si="370"/>
        <v>56.105303246691427</v>
      </c>
    </row>
    <row r="818" spans="1:8" s="200" customFormat="1" ht="78.75" x14ac:dyDescent="0.25">
      <c r="A818" s="458" t="s">
        <v>127</v>
      </c>
      <c r="B818" s="454" t="s">
        <v>299</v>
      </c>
      <c r="C818" s="454" t="s">
        <v>118</v>
      </c>
      <c r="D818" s="454" t="s">
        <v>1406</v>
      </c>
      <c r="E818" s="454" t="s">
        <v>128</v>
      </c>
      <c r="F818" s="451">
        <f>F819</f>
        <v>2100.6</v>
      </c>
      <c r="G818" s="451">
        <f t="shared" si="392"/>
        <v>1178.548</v>
      </c>
      <c r="H818" s="451">
        <f t="shared" si="370"/>
        <v>56.105303246691427</v>
      </c>
    </row>
    <row r="819" spans="1:8" s="200" customFormat="1" ht="31.5" x14ac:dyDescent="0.25">
      <c r="A819" s="458" t="s">
        <v>208</v>
      </c>
      <c r="B819" s="454" t="s">
        <v>299</v>
      </c>
      <c r="C819" s="454" t="s">
        <v>118</v>
      </c>
      <c r="D819" s="454" t="s">
        <v>1406</v>
      </c>
      <c r="E819" s="454" t="s">
        <v>209</v>
      </c>
      <c r="F819" s="451">
        <f>'Пр.4 ведом.21'!G393</f>
        <v>2100.6</v>
      </c>
      <c r="G819" s="451">
        <f>'Пр.4 ведом.21'!H393</f>
        <v>1178.548</v>
      </c>
      <c r="H819" s="451">
        <f t="shared" si="370"/>
        <v>56.105303246691427</v>
      </c>
    </row>
    <row r="820" spans="1:8" s="200" customFormat="1" ht="78.75" x14ac:dyDescent="0.25">
      <c r="A820" s="458" t="s">
        <v>331</v>
      </c>
      <c r="B820" s="454" t="s">
        <v>299</v>
      </c>
      <c r="C820" s="454" t="s">
        <v>118</v>
      </c>
      <c r="D820" s="454" t="s">
        <v>1292</v>
      </c>
      <c r="E820" s="454"/>
      <c r="F820" s="459">
        <f>F821</f>
        <v>341.4</v>
      </c>
      <c r="G820" s="459">
        <f t="shared" ref="G820:G821" si="393">G821</f>
        <v>152.74</v>
      </c>
      <c r="H820" s="451">
        <f t="shared" si="370"/>
        <v>44.739308728763923</v>
      </c>
    </row>
    <row r="821" spans="1:8" s="200" customFormat="1" ht="78.75" x14ac:dyDescent="0.25">
      <c r="A821" s="458" t="s">
        <v>127</v>
      </c>
      <c r="B821" s="454" t="s">
        <v>299</v>
      </c>
      <c r="C821" s="454" t="s">
        <v>118</v>
      </c>
      <c r="D821" s="454" t="s">
        <v>1292</v>
      </c>
      <c r="E821" s="454" t="s">
        <v>128</v>
      </c>
      <c r="F821" s="459">
        <f>F822</f>
        <v>341.4</v>
      </c>
      <c r="G821" s="459">
        <f t="shared" si="393"/>
        <v>152.74</v>
      </c>
      <c r="H821" s="451">
        <f t="shared" si="370"/>
        <v>44.739308728763923</v>
      </c>
    </row>
    <row r="822" spans="1:8" s="200" customFormat="1" ht="31.5" x14ac:dyDescent="0.25">
      <c r="A822" s="458" t="s">
        <v>208</v>
      </c>
      <c r="B822" s="454" t="s">
        <v>299</v>
      </c>
      <c r="C822" s="454" t="s">
        <v>118</v>
      </c>
      <c r="D822" s="454" t="s">
        <v>1292</v>
      </c>
      <c r="E822" s="454" t="s">
        <v>209</v>
      </c>
      <c r="F822" s="459">
        <f>'Пр.4 ведом.21'!G396</f>
        <v>341.4</v>
      </c>
      <c r="G822" s="459">
        <f>'Пр.4 ведом.21'!H396</f>
        <v>152.74</v>
      </c>
      <c r="H822" s="451">
        <f t="shared" si="370"/>
        <v>44.739308728763923</v>
      </c>
    </row>
    <row r="823" spans="1:8" s="200" customFormat="1" ht="31.5" x14ac:dyDescent="0.25">
      <c r="A823" s="456" t="s">
        <v>902</v>
      </c>
      <c r="B823" s="457" t="s">
        <v>299</v>
      </c>
      <c r="C823" s="457" t="s">
        <v>118</v>
      </c>
      <c r="D823" s="457" t="s">
        <v>1216</v>
      </c>
      <c r="E823" s="457"/>
      <c r="F823" s="450">
        <f>F824</f>
        <v>50</v>
      </c>
      <c r="G823" s="450">
        <f t="shared" ref="G823:G825" si="394">G824</f>
        <v>50</v>
      </c>
      <c r="H823" s="450">
        <f t="shared" si="370"/>
        <v>100</v>
      </c>
    </row>
    <row r="824" spans="1:8" s="200" customFormat="1" ht="31.5" x14ac:dyDescent="0.25">
      <c r="A824" s="458" t="s">
        <v>821</v>
      </c>
      <c r="B824" s="454" t="s">
        <v>299</v>
      </c>
      <c r="C824" s="454" t="s">
        <v>118</v>
      </c>
      <c r="D824" s="454" t="s">
        <v>1217</v>
      </c>
      <c r="E824" s="454"/>
      <c r="F824" s="451">
        <f>F825</f>
        <v>50</v>
      </c>
      <c r="G824" s="451">
        <f t="shared" si="394"/>
        <v>50</v>
      </c>
      <c r="H824" s="451">
        <f t="shared" si="370"/>
        <v>100</v>
      </c>
    </row>
    <row r="825" spans="1:8" s="200" customFormat="1" ht="31.5" x14ac:dyDescent="0.25">
      <c r="A825" s="458" t="s">
        <v>131</v>
      </c>
      <c r="B825" s="454" t="s">
        <v>299</v>
      </c>
      <c r="C825" s="454" t="s">
        <v>118</v>
      </c>
      <c r="D825" s="454" t="s">
        <v>1217</v>
      </c>
      <c r="E825" s="454" t="s">
        <v>132</v>
      </c>
      <c r="F825" s="451">
        <f>F826</f>
        <v>50</v>
      </c>
      <c r="G825" s="451">
        <f t="shared" si="394"/>
        <v>50</v>
      </c>
      <c r="H825" s="451">
        <f t="shared" si="370"/>
        <v>100</v>
      </c>
    </row>
    <row r="826" spans="1:8" s="200" customFormat="1" ht="47.25" x14ac:dyDescent="0.25">
      <c r="A826" s="458" t="s">
        <v>133</v>
      </c>
      <c r="B826" s="454" t="s">
        <v>299</v>
      </c>
      <c r="C826" s="454" t="s">
        <v>118</v>
      </c>
      <c r="D826" s="454" t="s">
        <v>1217</v>
      </c>
      <c r="E826" s="454" t="s">
        <v>134</v>
      </c>
      <c r="F826" s="451">
        <f>'Пр.4 ведом.21'!G400</f>
        <v>50</v>
      </c>
      <c r="G826" s="451">
        <f>'Пр.4 ведом.21'!H400</f>
        <v>50</v>
      </c>
      <c r="H826" s="451">
        <f t="shared" si="370"/>
        <v>100</v>
      </c>
    </row>
    <row r="827" spans="1:8" s="200" customFormat="1" ht="31.5" x14ac:dyDescent="0.25">
      <c r="A827" s="456" t="s">
        <v>1010</v>
      </c>
      <c r="B827" s="457" t="s">
        <v>299</v>
      </c>
      <c r="C827" s="457" t="s">
        <v>118</v>
      </c>
      <c r="D827" s="457" t="s">
        <v>1218</v>
      </c>
      <c r="E827" s="457"/>
      <c r="F827" s="450">
        <f>F828</f>
        <v>68.7</v>
      </c>
      <c r="G827" s="450">
        <f t="shared" ref="G827:G829" si="395">G828</f>
        <v>3.5</v>
      </c>
      <c r="H827" s="451">
        <f t="shared" si="370"/>
        <v>5.094614264919942</v>
      </c>
    </row>
    <row r="828" spans="1:8" s="200" customFormat="1" ht="31.5" x14ac:dyDescent="0.25">
      <c r="A828" s="458" t="s">
        <v>1489</v>
      </c>
      <c r="B828" s="454" t="s">
        <v>299</v>
      </c>
      <c r="C828" s="454" t="s">
        <v>118</v>
      </c>
      <c r="D828" s="454" t="s">
        <v>1219</v>
      </c>
      <c r="E828" s="454"/>
      <c r="F828" s="451">
        <f>F829</f>
        <v>68.7</v>
      </c>
      <c r="G828" s="451">
        <f t="shared" si="395"/>
        <v>3.5</v>
      </c>
      <c r="H828" s="451">
        <f t="shared" si="370"/>
        <v>5.094614264919942</v>
      </c>
    </row>
    <row r="829" spans="1:8" s="200" customFormat="1" ht="31.5" x14ac:dyDescent="0.25">
      <c r="A829" s="458" t="s">
        <v>131</v>
      </c>
      <c r="B829" s="454" t="s">
        <v>299</v>
      </c>
      <c r="C829" s="454" t="s">
        <v>118</v>
      </c>
      <c r="D829" s="454" t="s">
        <v>1219</v>
      </c>
      <c r="E829" s="454" t="s">
        <v>132</v>
      </c>
      <c r="F829" s="451">
        <f>F830</f>
        <v>68.7</v>
      </c>
      <c r="G829" s="451">
        <f t="shared" si="395"/>
        <v>3.5</v>
      </c>
      <c r="H829" s="451">
        <f t="shared" si="370"/>
        <v>5.094614264919942</v>
      </c>
    </row>
    <row r="830" spans="1:8" s="200" customFormat="1" ht="47.25" x14ac:dyDescent="0.25">
      <c r="A830" s="458" t="s">
        <v>133</v>
      </c>
      <c r="B830" s="454" t="s">
        <v>299</v>
      </c>
      <c r="C830" s="454" t="s">
        <v>118</v>
      </c>
      <c r="D830" s="454" t="s">
        <v>1219</v>
      </c>
      <c r="E830" s="454" t="s">
        <v>134</v>
      </c>
      <c r="F830" s="451">
        <f>'Пр.4 ведом.21'!G404</f>
        <v>68.7</v>
      </c>
      <c r="G830" s="451">
        <f>'Пр.4 ведом.21'!H404</f>
        <v>3.5</v>
      </c>
      <c r="H830" s="451">
        <f t="shared" si="370"/>
        <v>5.094614264919942</v>
      </c>
    </row>
    <row r="831" spans="1:8" s="449" customFormat="1" ht="31.5" hidden="1" x14ac:dyDescent="0.25">
      <c r="A831" s="34" t="s">
        <v>1683</v>
      </c>
      <c r="B831" s="457" t="s">
        <v>299</v>
      </c>
      <c r="C831" s="457" t="s">
        <v>118</v>
      </c>
      <c r="D831" s="457" t="s">
        <v>1685</v>
      </c>
      <c r="E831" s="457"/>
      <c r="F831" s="450">
        <f>F832</f>
        <v>0</v>
      </c>
      <c r="G831" s="450">
        <f t="shared" ref="G831:G833" si="396">G832</f>
        <v>0</v>
      </c>
      <c r="H831" s="451" t="e">
        <f t="shared" si="370"/>
        <v>#DIV/0!</v>
      </c>
    </row>
    <row r="832" spans="1:8" s="449" customFormat="1" ht="63" hidden="1" x14ac:dyDescent="0.25">
      <c r="A832" s="31" t="s">
        <v>1684</v>
      </c>
      <c r="B832" s="454" t="s">
        <v>299</v>
      </c>
      <c r="C832" s="454" t="s">
        <v>118</v>
      </c>
      <c r="D832" s="454" t="s">
        <v>1686</v>
      </c>
      <c r="E832" s="454"/>
      <c r="F832" s="451">
        <f>F833</f>
        <v>0</v>
      </c>
      <c r="G832" s="451">
        <f t="shared" si="396"/>
        <v>0</v>
      </c>
      <c r="H832" s="451" t="e">
        <f t="shared" si="370"/>
        <v>#DIV/0!</v>
      </c>
    </row>
    <row r="833" spans="1:8" s="449" customFormat="1" ht="31.5" hidden="1" x14ac:dyDescent="0.25">
      <c r="A833" s="458" t="s">
        <v>131</v>
      </c>
      <c r="B833" s="454" t="s">
        <v>299</v>
      </c>
      <c r="C833" s="454" t="s">
        <v>118</v>
      </c>
      <c r="D833" s="454" t="s">
        <v>1686</v>
      </c>
      <c r="E833" s="454" t="s">
        <v>132</v>
      </c>
      <c r="F833" s="451">
        <f>F834</f>
        <v>0</v>
      </c>
      <c r="G833" s="451">
        <f t="shared" si="396"/>
        <v>0</v>
      </c>
      <c r="H833" s="451" t="e">
        <f t="shared" si="370"/>
        <v>#DIV/0!</v>
      </c>
    </row>
    <row r="834" spans="1:8" s="449" customFormat="1" ht="47.25" hidden="1" x14ac:dyDescent="0.25">
      <c r="A834" s="458" t="s">
        <v>133</v>
      </c>
      <c r="B834" s="454" t="s">
        <v>299</v>
      </c>
      <c r="C834" s="454" t="s">
        <v>118</v>
      </c>
      <c r="D834" s="454" t="s">
        <v>1686</v>
      </c>
      <c r="E834" s="454" t="s">
        <v>134</v>
      </c>
      <c r="F834" s="451">
        <f>'Пр.4 ведом.21'!G408</f>
        <v>0</v>
      </c>
      <c r="G834" s="451">
        <f>'Пр.4 ведом.21'!H408</f>
        <v>0</v>
      </c>
      <c r="H834" s="451" t="e">
        <f t="shared" si="370"/>
        <v>#DIV/0!</v>
      </c>
    </row>
    <row r="835" spans="1:8" s="200" customFormat="1" ht="31.5" hidden="1" x14ac:dyDescent="0.25">
      <c r="A835" s="206" t="s">
        <v>1180</v>
      </c>
      <c r="B835" s="457" t="s">
        <v>299</v>
      </c>
      <c r="C835" s="457" t="s">
        <v>118</v>
      </c>
      <c r="D835" s="457" t="s">
        <v>1214</v>
      </c>
      <c r="E835" s="457"/>
      <c r="F835" s="455">
        <f t="shared" ref="F835:G837" si="397">F836</f>
        <v>0</v>
      </c>
      <c r="G835" s="455">
        <f t="shared" si="397"/>
        <v>0</v>
      </c>
      <c r="H835" s="451" t="e">
        <f t="shared" si="370"/>
        <v>#DIV/0!</v>
      </c>
    </row>
    <row r="836" spans="1:8" s="200" customFormat="1" ht="15.75" hidden="1" x14ac:dyDescent="0.25">
      <c r="A836" s="98" t="s">
        <v>1187</v>
      </c>
      <c r="B836" s="454" t="s">
        <v>299</v>
      </c>
      <c r="C836" s="454" t="s">
        <v>118</v>
      </c>
      <c r="D836" s="454" t="s">
        <v>1215</v>
      </c>
      <c r="E836" s="454"/>
      <c r="F836" s="459">
        <f t="shared" si="397"/>
        <v>0</v>
      </c>
      <c r="G836" s="459">
        <f t="shared" si="397"/>
        <v>0</v>
      </c>
      <c r="H836" s="451" t="e">
        <f t="shared" si="370"/>
        <v>#DIV/0!</v>
      </c>
    </row>
    <row r="837" spans="1:8" s="200" customFormat="1" ht="31.5" hidden="1" x14ac:dyDescent="0.25">
      <c r="A837" s="458" t="s">
        <v>131</v>
      </c>
      <c r="B837" s="454" t="s">
        <v>299</v>
      </c>
      <c r="C837" s="454" t="s">
        <v>118</v>
      </c>
      <c r="D837" s="454" t="s">
        <v>1215</v>
      </c>
      <c r="E837" s="454" t="s">
        <v>132</v>
      </c>
      <c r="F837" s="459">
        <f>F838</f>
        <v>0</v>
      </c>
      <c r="G837" s="459">
        <f t="shared" si="397"/>
        <v>0</v>
      </c>
      <c r="H837" s="451" t="e">
        <f t="shared" si="370"/>
        <v>#DIV/0!</v>
      </c>
    </row>
    <row r="838" spans="1:8" s="200" customFormat="1" ht="47.25" hidden="1" x14ac:dyDescent="0.25">
      <c r="A838" s="458" t="s">
        <v>133</v>
      </c>
      <c r="B838" s="454" t="s">
        <v>299</v>
      </c>
      <c r="C838" s="454" t="s">
        <v>118</v>
      </c>
      <c r="D838" s="454" t="s">
        <v>1215</v>
      </c>
      <c r="E838" s="454" t="s">
        <v>134</v>
      </c>
      <c r="F838" s="459">
        <f>'Пр.4 ведом.21'!G412</f>
        <v>0</v>
      </c>
      <c r="G838" s="459">
        <f>'Пр.4 ведом.21'!H412</f>
        <v>0</v>
      </c>
      <c r="H838" s="451" t="e">
        <f t="shared" si="370"/>
        <v>#DIV/0!</v>
      </c>
    </row>
    <row r="839" spans="1:8" ht="42.75" hidden="1" customHeight="1" x14ac:dyDescent="0.25">
      <c r="A839" s="328" t="s">
        <v>1334</v>
      </c>
      <c r="B839" s="457" t="s">
        <v>299</v>
      </c>
      <c r="C839" s="457" t="s">
        <v>118</v>
      </c>
      <c r="D839" s="457"/>
      <c r="E839" s="457"/>
      <c r="F839" s="455">
        <f>F840</f>
        <v>0</v>
      </c>
      <c r="G839" s="455">
        <f t="shared" ref="G839:G841" si="398">G840</f>
        <v>0</v>
      </c>
      <c r="H839" s="451" t="e">
        <f t="shared" si="370"/>
        <v>#DIV/0!</v>
      </c>
    </row>
    <row r="840" spans="1:8" ht="15.75" hidden="1" customHeight="1" x14ac:dyDescent="0.25">
      <c r="A840" s="458"/>
      <c r="B840" s="454" t="s">
        <v>299</v>
      </c>
      <c r="C840" s="454" t="s">
        <v>118</v>
      </c>
      <c r="D840" s="454"/>
      <c r="E840" s="454"/>
      <c r="F840" s="459">
        <f>F841</f>
        <v>0</v>
      </c>
      <c r="G840" s="459">
        <f t="shared" si="398"/>
        <v>0</v>
      </c>
      <c r="H840" s="451" t="e">
        <f t="shared" si="370"/>
        <v>#DIV/0!</v>
      </c>
    </row>
    <row r="841" spans="1:8" ht="15.75" hidden="1" x14ac:dyDescent="0.25">
      <c r="A841" s="458"/>
      <c r="B841" s="454" t="s">
        <v>299</v>
      </c>
      <c r="C841" s="454" t="s">
        <v>118</v>
      </c>
      <c r="D841" s="454"/>
      <c r="E841" s="454" t="s">
        <v>132</v>
      </c>
      <c r="F841" s="459">
        <f>F842</f>
        <v>0</v>
      </c>
      <c r="G841" s="459">
        <f t="shared" si="398"/>
        <v>0</v>
      </c>
      <c r="H841" s="451" t="e">
        <f t="shared" si="370"/>
        <v>#DIV/0!</v>
      </c>
    </row>
    <row r="842" spans="1:8" ht="31.7" hidden="1" customHeight="1" x14ac:dyDescent="0.25">
      <c r="A842" s="458"/>
      <c r="B842" s="454" t="s">
        <v>299</v>
      </c>
      <c r="C842" s="454" t="s">
        <v>118</v>
      </c>
      <c r="D842" s="454"/>
      <c r="E842" s="454" t="s">
        <v>134</v>
      </c>
      <c r="F842" s="459">
        <f>'Пр.4 ведом.21'!G416</f>
        <v>0</v>
      </c>
      <c r="G842" s="459">
        <f>'Пр.4 ведом.21'!H416</f>
        <v>0</v>
      </c>
      <c r="H842" s="451" t="e">
        <f t="shared" si="370"/>
        <v>#DIV/0!</v>
      </c>
    </row>
    <row r="843" spans="1:8" ht="47.25" hidden="1" x14ac:dyDescent="0.25">
      <c r="A843" s="34" t="s">
        <v>1360</v>
      </c>
      <c r="B843" s="457" t="s">
        <v>299</v>
      </c>
      <c r="C843" s="457" t="s">
        <v>118</v>
      </c>
      <c r="D843" s="457" t="s">
        <v>324</v>
      </c>
      <c r="E843" s="457"/>
      <c r="F843" s="362">
        <f>F844</f>
        <v>0</v>
      </c>
      <c r="G843" s="362">
        <f t="shared" ref="G843:G846" si="399">G844</f>
        <v>0</v>
      </c>
      <c r="H843" s="451" t="e">
        <f t="shared" ref="H843:H906" si="400">G843/F843*100</f>
        <v>#DIV/0!</v>
      </c>
    </row>
    <row r="844" spans="1:8" ht="63" hidden="1" x14ac:dyDescent="0.25">
      <c r="A844" s="34" t="s">
        <v>1025</v>
      </c>
      <c r="B844" s="457" t="s">
        <v>299</v>
      </c>
      <c r="C844" s="457" t="s">
        <v>118</v>
      </c>
      <c r="D844" s="457" t="s">
        <v>934</v>
      </c>
      <c r="E844" s="457"/>
      <c r="F844" s="450">
        <f>F845</f>
        <v>0</v>
      </c>
      <c r="G844" s="450">
        <f t="shared" si="399"/>
        <v>0</v>
      </c>
      <c r="H844" s="451" t="e">
        <f t="shared" si="400"/>
        <v>#DIV/0!</v>
      </c>
    </row>
    <row r="845" spans="1:8" ht="47.25" hidden="1" x14ac:dyDescent="0.25">
      <c r="A845" s="31" t="s">
        <v>1080</v>
      </c>
      <c r="B845" s="454" t="s">
        <v>299</v>
      </c>
      <c r="C845" s="454" t="s">
        <v>118</v>
      </c>
      <c r="D845" s="454" t="s">
        <v>1026</v>
      </c>
      <c r="E845" s="454"/>
      <c r="F845" s="451">
        <f>F846</f>
        <v>0</v>
      </c>
      <c r="G845" s="451">
        <f t="shared" si="399"/>
        <v>0</v>
      </c>
      <c r="H845" s="451" t="e">
        <f t="shared" si="400"/>
        <v>#DIV/0!</v>
      </c>
    </row>
    <row r="846" spans="1:8" ht="31.5" hidden="1" x14ac:dyDescent="0.25">
      <c r="A846" s="458" t="s">
        <v>131</v>
      </c>
      <c r="B846" s="454" t="s">
        <v>299</v>
      </c>
      <c r="C846" s="454" t="s">
        <v>118</v>
      </c>
      <c r="D846" s="454" t="s">
        <v>1026</v>
      </c>
      <c r="E846" s="454" t="s">
        <v>132</v>
      </c>
      <c r="F846" s="451">
        <f>F847</f>
        <v>0</v>
      </c>
      <c r="G846" s="451">
        <f t="shared" si="399"/>
        <v>0</v>
      </c>
      <c r="H846" s="451" t="e">
        <f t="shared" si="400"/>
        <v>#DIV/0!</v>
      </c>
    </row>
    <row r="847" spans="1:8" ht="47.25" hidden="1" x14ac:dyDescent="0.25">
      <c r="A847" s="458" t="s">
        <v>133</v>
      </c>
      <c r="B847" s="454" t="s">
        <v>299</v>
      </c>
      <c r="C847" s="454" t="s">
        <v>118</v>
      </c>
      <c r="D847" s="454" t="s">
        <v>1026</v>
      </c>
      <c r="E847" s="454" t="s">
        <v>134</v>
      </c>
      <c r="F847" s="451">
        <f>'Пр.4 ведом.21'!G421</f>
        <v>0</v>
      </c>
      <c r="G847" s="451">
        <f>'Пр.4 ведом.21'!H421</f>
        <v>0</v>
      </c>
      <c r="H847" s="451" t="e">
        <f t="shared" si="400"/>
        <v>#DIV/0!</v>
      </c>
    </row>
    <row r="848" spans="1:8" ht="47.25" x14ac:dyDescent="0.25">
      <c r="A848" s="462" t="s">
        <v>1355</v>
      </c>
      <c r="B848" s="457" t="s">
        <v>299</v>
      </c>
      <c r="C848" s="457" t="s">
        <v>118</v>
      </c>
      <c r="D848" s="457" t="s">
        <v>705</v>
      </c>
      <c r="E848" s="465"/>
      <c r="F848" s="450">
        <f t="shared" ref="F848:G851" si="401">F849</f>
        <v>871.7</v>
      </c>
      <c r="G848" s="450">
        <f t="shared" si="401"/>
        <v>614.279</v>
      </c>
      <c r="H848" s="450">
        <f t="shared" si="400"/>
        <v>70.469083400252373</v>
      </c>
    </row>
    <row r="849" spans="1:8" ht="47.25" x14ac:dyDescent="0.25">
      <c r="A849" s="462" t="s">
        <v>890</v>
      </c>
      <c r="B849" s="457" t="s">
        <v>299</v>
      </c>
      <c r="C849" s="457" t="s">
        <v>118</v>
      </c>
      <c r="D849" s="457" t="s">
        <v>888</v>
      </c>
      <c r="E849" s="465"/>
      <c r="F849" s="450">
        <f>F850</f>
        <v>871.7</v>
      </c>
      <c r="G849" s="450">
        <f t="shared" si="401"/>
        <v>614.279</v>
      </c>
      <c r="H849" s="450">
        <f t="shared" si="400"/>
        <v>70.469083400252373</v>
      </c>
    </row>
    <row r="850" spans="1:8" ht="47.25" x14ac:dyDescent="0.25">
      <c r="A850" s="98" t="s">
        <v>1022</v>
      </c>
      <c r="B850" s="454" t="s">
        <v>299</v>
      </c>
      <c r="C850" s="454" t="s">
        <v>118</v>
      </c>
      <c r="D850" s="454" t="s">
        <v>889</v>
      </c>
      <c r="E850" s="460"/>
      <c r="F850" s="360">
        <f>F851</f>
        <v>871.7</v>
      </c>
      <c r="G850" s="360">
        <f t="shared" si="401"/>
        <v>614.279</v>
      </c>
      <c r="H850" s="451">
        <f t="shared" si="400"/>
        <v>70.469083400252373</v>
      </c>
    </row>
    <row r="851" spans="1:8" ht="31.5" x14ac:dyDescent="0.25">
      <c r="A851" s="458" t="s">
        <v>131</v>
      </c>
      <c r="B851" s="454" t="s">
        <v>299</v>
      </c>
      <c r="C851" s="454" t="s">
        <v>118</v>
      </c>
      <c r="D851" s="454" t="s">
        <v>889</v>
      </c>
      <c r="E851" s="460" t="s">
        <v>132</v>
      </c>
      <c r="F851" s="451">
        <f>F852</f>
        <v>871.7</v>
      </c>
      <c r="G851" s="451">
        <f t="shared" si="401"/>
        <v>614.279</v>
      </c>
      <c r="H851" s="451">
        <f t="shared" si="400"/>
        <v>70.469083400252373</v>
      </c>
    </row>
    <row r="852" spans="1:8" ht="47.25" x14ac:dyDescent="0.25">
      <c r="A852" s="458" t="s">
        <v>133</v>
      </c>
      <c r="B852" s="454" t="s">
        <v>299</v>
      </c>
      <c r="C852" s="454" t="s">
        <v>118</v>
      </c>
      <c r="D852" s="454" t="s">
        <v>889</v>
      </c>
      <c r="E852" s="460" t="s">
        <v>134</v>
      </c>
      <c r="F852" s="451">
        <f>'Пр.4 ведом.21'!G426</f>
        <v>871.7</v>
      </c>
      <c r="G852" s="451">
        <f>'Пр.4 ведом.21'!H426</f>
        <v>614.279</v>
      </c>
      <c r="H852" s="451">
        <f t="shared" si="400"/>
        <v>70.469083400252373</v>
      </c>
    </row>
    <row r="853" spans="1:8" s="200" customFormat="1" ht="31.5" x14ac:dyDescent="0.25">
      <c r="A853" s="456" t="s">
        <v>333</v>
      </c>
      <c r="B853" s="457" t="s">
        <v>299</v>
      </c>
      <c r="C853" s="457" t="s">
        <v>150</v>
      </c>
      <c r="D853" s="457"/>
      <c r="E853" s="460"/>
      <c r="F853" s="450">
        <f>F854+F864+F880+F886</f>
        <v>19788.5</v>
      </c>
      <c r="G853" s="450">
        <f t="shared" ref="G853" si="402">G854+G864+G880+G886</f>
        <v>16062.727019999997</v>
      </c>
      <c r="H853" s="450">
        <f t="shared" si="400"/>
        <v>81.172029309952734</v>
      </c>
    </row>
    <row r="854" spans="1:8" s="200" customFormat="1" ht="31.5" x14ac:dyDescent="0.25">
      <c r="A854" s="456" t="s">
        <v>917</v>
      </c>
      <c r="B854" s="457" t="s">
        <v>299</v>
      </c>
      <c r="C854" s="457" t="s">
        <v>150</v>
      </c>
      <c r="D854" s="457" t="s">
        <v>858</v>
      </c>
      <c r="E854" s="460"/>
      <c r="F854" s="450">
        <f>F855</f>
        <v>7141.6</v>
      </c>
      <c r="G854" s="450">
        <f t="shared" ref="G854" si="403">G855</f>
        <v>5651.6209999999992</v>
      </c>
      <c r="H854" s="450">
        <f t="shared" si="400"/>
        <v>79.136622045479982</v>
      </c>
    </row>
    <row r="855" spans="1:8" s="200" customFormat="1" ht="15.75" x14ac:dyDescent="0.25">
      <c r="A855" s="456" t="s">
        <v>918</v>
      </c>
      <c r="B855" s="457" t="s">
        <v>299</v>
      </c>
      <c r="C855" s="457" t="s">
        <v>150</v>
      </c>
      <c r="D855" s="457" t="s">
        <v>859</v>
      </c>
      <c r="E855" s="460"/>
      <c r="F855" s="450">
        <f>F856+F861</f>
        <v>7141.6</v>
      </c>
      <c r="G855" s="450">
        <f t="shared" ref="G855" si="404">G856+G861</f>
        <v>5651.6209999999992</v>
      </c>
      <c r="H855" s="450">
        <f t="shared" si="400"/>
        <v>79.136622045479982</v>
      </c>
    </row>
    <row r="856" spans="1:8" s="200" customFormat="1" ht="31.5" x14ac:dyDescent="0.25">
      <c r="A856" s="458" t="s">
        <v>897</v>
      </c>
      <c r="B856" s="454" t="s">
        <v>299</v>
      </c>
      <c r="C856" s="454" t="s">
        <v>150</v>
      </c>
      <c r="D856" s="454" t="s">
        <v>860</v>
      </c>
      <c r="E856" s="460"/>
      <c r="F856" s="451">
        <f>F857+F859</f>
        <v>6898.8</v>
      </c>
      <c r="G856" s="451">
        <f t="shared" ref="G856" si="405">G857+G859</f>
        <v>5436.5105999999996</v>
      </c>
      <c r="H856" s="451">
        <f t="shared" si="400"/>
        <v>78.803713689337272</v>
      </c>
    </row>
    <row r="857" spans="1:8" s="200" customFormat="1" ht="78.75" x14ac:dyDescent="0.25">
      <c r="A857" s="458" t="s">
        <v>127</v>
      </c>
      <c r="B857" s="454" t="s">
        <v>299</v>
      </c>
      <c r="C857" s="454" t="s">
        <v>150</v>
      </c>
      <c r="D857" s="454" t="s">
        <v>860</v>
      </c>
      <c r="E857" s="460" t="s">
        <v>128</v>
      </c>
      <c r="F857" s="451">
        <f>F858</f>
        <v>6898.8</v>
      </c>
      <c r="G857" s="451">
        <f t="shared" ref="G857" si="406">G858</f>
        <v>5436.5105999999996</v>
      </c>
      <c r="H857" s="451">
        <f t="shared" si="400"/>
        <v>78.803713689337272</v>
      </c>
    </row>
    <row r="858" spans="1:8" ht="31.5" x14ac:dyDescent="0.25">
      <c r="A858" s="458" t="s">
        <v>129</v>
      </c>
      <c r="B858" s="454" t="s">
        <v>299</v>
      </c>
      <c r="C858" s="454" t="s">
        <v>150</v>
      </c>
      <c r="D858" s="454" t="s">
        <v>860</v>
      </c>
      <c r="E858" s="461" t="s">
        <v>130</v>
      </c>
      <c r="F858" s="451">
        <f>'Пр.4 ведом.21'!G432</f>
        <v>6898.8</v>
      </c>
      <c r="G858" s="451">
        <f>'Пр.4 ведом.21'!H432</f>
        <v>5436.5105999999996</v>
      </c>
      <c r="H858" s="451">
        <f t="shared" si="400"/>
        <v>78.803713689337272</v>
      </c>
    </row>
    <row r="859" spans="1:8" ht="31.5" hidden="1" x14ac:dyDescent="0.25">
      <c r="A859" s="458" t="s">
        <v>131</v>
      </c>
      <c r="B859" s="454" t="s">
        <v>299</v>
      </c>
      <c r="C859" s="454" t="s">
        <v>150</v>
      </c>
      <c r="D859" s="454" t="s">
        <v>860</v>
      </c>
      <c r="E859" s="461" t="s">
        <v>132</v>
      </c>
      <c r="F859" s="451">
        <f>F860</f>
        <v>0</v>
      </c>
      <c r="G859" s="451">
        <f t="shared" ref="G859" si="407">G860</f>
        <v>0</v>
      </c>
      <c r="H859" s="451" t="e">
        <f t="shared" si="400"/>
        <v>#DIV/0!</v>
      </c>
    </row>
    <row r="860" spans="1:8" ht="47.25" hidden="1" x14ac:dyDescent="0.25">
      <c r="A860" s="458" t="s">
        <v>133</v>
      </c>
      <c r="B860" s="454" t="s">
        <v>299</v>
      </c>
      <c r="C860" s="454" t="s">
        <v>150</v>
      </c>
      <c r="D860" s="454" t="s">
        <v>860</v>
      </c>
      <c r="E860" s="461" t="s">
        <v>134</v>
      </c>
      <c r="F860" s="451">
        <f>'Пр.4 ведом.21'!G434</f>
        <v>0</v>
      </c>
      <c r="G860" s="451">
        <f>'Пр.4 ведом.21'!H434</f>
        <v>0</v>
      </c>
      <c r="H860" s="451" t="e">
        <f t="shared" si="400"/>
        <v>#DIV/0!</v>
      </c>
    </row>
    <row r="861" spans="1:8" ht="47.25" x14ac:dyDescent="0.25">
      <c r="A861" s="458" t="s">
        <v>839</v>
      </c>
      <c r="B861" s="454" t="s">
        <v>299</v>
      </c>
      <c r="C861" s="454" t="s">
        <v>150</v>
      </c>
      <c r="D861" s="454" t="s">
        <v>862</v>
      </c>
      <c r="E861" s="461"/>
      <c r="F861" s="451">
        <f>F862</f>
        <v>242.8</v>
      </c>
      <c r="G861" s="451">
        <f t="shared" ref="G861" si="408">G862</f>
        <v>215.1104</v>
      </c>
      <c r="H861" s="451">
        <f t="shared" si="400"/>
        <v>88.595716639209215</v>
      </c>
    </row>
    <row r="862" spans="1:8" ht="78.75" x14ac:dyDescent="0.25">
      <c r="A862" s="458" t="s">
        <v>127</v>
      </c>
      <c r="B862" s="454" t="s">
        <v>299</v>
      </c>
      <c r="C862" s="454" t="s">
        <v>150</v>
      </c>
      <c r="D862" s="454" t="s">
        <v>862</v>
      </c>
      <c r="E862" s="461" t="s">
        <v>128</v>
      </c>
      <c r="F862" s="451">
        <f t="shared" ref="F862:G862" si="409">F863</f>
        <v>242.8</v>
      </c>
      <c r="G862" s="451">
        <f t="shared" si="409"/>
        <v>215.1104</v>
      </c>
      <c r="H862" s="451">
        <f t="shared" si="400"/>
        <v>88.595716639209215</v>
      </c>
    </row>
    <row r="863" spans="1:8" ht="31.5" x14ac:dyDescent="0.25">
      <c r="A863" s="458" t="s">
        <v>129</v>
      </c>
      <c r="B863" s="454" t="s">
        <v>299</v>
      </c>
      <c r="C863" s="454" t="s">
        <v>150</v>
      </c>
      <c r="D863" s="454" t="s">
        <v>862</v>
      </c>
      <c r="E863" s="461" t="s">
        <v>130</v>
      </c>
      <c r="F863" s="451">
        <f>'Пр.4 ведом.21'!G437</f>
        <v>242.8</v>
      </c>
      <c r="G863" s="451">
        <f>'Пр.4 ведом.21'!H437</f>
        <v>215.1104</v>
      </c>
      <c r="H863" s="451">
        <f t="shared" si="400"/>
        <v>88.595716639209215</v>
      </c>
    </row>
    <row r="864" spans="1:8" ht="15.75" x14ac:dyDescent="0.25">
      <c r="A864" s="456" t="s">
        <v>926</v>
      </c>
      <c r="B864" s="457" t="s">
        <v>299</v>
      </c>
      <c r="C864" s="457" t="s">
        <v>150</v>
      </c>
      <c r="D864" s="457" t="s">
        <v>866</v>
      </c>
      <c r="E864" s="461"/>
      <c r="F864" s="450">
        <f>F869+F865</f>
        <v>12442.9</v>
      </c>
      <c r="G864" s="450">
        <f t="shared" ref="G864" si="410">G869+G865</f>
        <v>10283.136019999998</v>
      </c>
      <c r="H864" s="450">
        <f t="shared" si="400"/>
        <v>82.642599554766164</v>
      </c>
    </row>
    <row r="865" spans="1:8" s="449" customFormat="1" ht="31.5" x14ac:dyDescent="0.25">
      <c r="A865" s="34" t="s">
        <v>870</v>
      </c>
      <c r="B865" s="457" t="s">
        <v>299</v>
      </c>
      <c r="C865" s="457" t="s">
        <v>150</v>
      </c>
      <c r="D865" s="457" t="s">
        <v>865</v>
      </c>
      <c r="E865" s="7"/>
      <c r="F865" s="450">
        <f>F866</f>
        <v>1185</v>
      </c>
      <c r="G865" s="450">
        <f t="shared" ref="G865:G867" si="411">G866</f>
        <v>1185</v>
      </c>
      <c r="H865" s="450">
        <f t="shared" si="400"/>
        <v>100</v>
      </c>
    </row>
    <row r="866" spans="1:8" s="449" customFormat="1" ht="47.25" x14ac:dyDescent="0.25">
      <c r="A866" s="31" t="s">
        <v>1702</v>
      </c>
      <c r="B866" s="454" t="s">
        <v>299</v>
      </c>
      <c r="C866" s="454" t="s">
        <v>150</v>
      </c>
      <c r="D866" s="454" t="s">
        <v>1701</v>
      </c>
      <c r="E866" s="461"/>
      <c r="F866" s="451">
        <f>F867</f>
        <v>1185</v>
      </c>
      <c r="G866" s="451">
        <f t="shared" si="411"/>
        <v>1185</v>
      </c>
      <c r="H866" s="451">
        <f t="shared" si="400"/>
        <v>100</v>
      </c>
    </row>
    <row r="867" spans="1:8" s="449" customFormat="1" ht="31.5" x14ac:dyDescent="0.25">
      <c r="A867" s="458" t="s">
        <v>131</v>
      </c>
      <c r="B867" s="454" t="s">
        <v>299</v>
      </c>
      <c r="C867" s="454" t="s">
        <v>150</v>
      </c>
      <c r="D867" s="454" t="s">
        <v>1701</v>
      </c>
      <c r="E867" s="461" t="s">
        <v>132</v>
      </c>
      <c r="F867" s="451">
        <f>F868</f>
        <v>1185</v>
      </c>
      <c r="G867" s="451">
        <f t="shared" si="411"/>
        <v>1185</v>
      </c>
      <c r="H867" s="451">
        <f t="shared" si="400"/>
        <v>100</v>
      </c>
    </row>
    <row r="868" spans="1:8" s="449" customFormat="1" ht="47.25" x14ac:dyDescent="0.25">
      <c r="A868" s="458" t="s">
        <v>133</v>
      </c>
      <c r="B868" s="454" t="s">
        <v>299</v>
      </c>
      <c r="C868" s="454" t="s">
        <v>150</v>
      </c>
      <c r="D868" s="454" t="s">
        <v>1701</v>
      </c>
      <c r="E868" s="461" t="s">
        <v>134</v>
      </c>
      <c r="F868" s="451">
        <f>'Пр.4 ведом.21'!G442</f>
        <v>1185</v>
      </c>
      <c r="G868" s="451">
        <f>'Пр.4 ведом.21'!H442</f>
        <v>1185</v>
      </c>
      <c r="H868" s="451">
        <f t="shared" si="400"/>
        <v>100</v>
      </c>
    </row>
    <row r="869" spans="1:8" ht="31.5" x14ac:dyDescent="0.25">
      <c r="A869" s="456" t="s">
        <v>929</v>
      </c>
      <c r="B869" s="457" t="s">
        <v>299</v>
      </c>
      <c r="C869" s="457" t="s">
        <v>150</v>
      </c>
      <c r="D869" s="457" t="s">
        <v>914</v>
      </c>
      <c r="E869" s="461"/>
      <c r="F869" s="450">
        <f>F870+F877</f>
        <v>11257.9</v>
      </c>
      <c r="G869" s="450">
        <f t="shared" ref="G869" si="412">G870+G877</f>
        <v>9098.1360199999981</v>
      </c>
      <c r="H869" s="450">
        <f t="shared" si="400"/>
        <v>80.815569688840711</v>
      </c>
    </row>
    <row r="870" spans="1:8" ht="31.5" x14ac:dyDescent="0.25">
      <c r="A870" s="458" t="s">
        <v>903</v>
      </c>
      <c r="B870" s="454" t="s">
        <v>299</v>
      </c>
      <c r="C870" s="454" t="s">
        <v>150</v>
      </c>
      <c r="D870" s="454" t="s">
        <v>915</v>
      </c>
      <c r="E870" s="461"/>
      <c r="F870" s="451">
        <f>F871+F873+F875</f>
        <v>10918.9</v>
      </c>
      <c r="G870" s="451">
        <f t="shared" ref="G870" si="413">G871+G873+G875</f>
        <v>8759.1360199999981</v>
      </c>
      <c r="H870" s="451">
        <f t="shared" si="400"/>
        <v>80.219949079119672</v>
      </c>
    </row>
    <row r="871" spans="1:8" ht="78.75" x14ac:dyDescent="0.25">
      <c r="A871" s="458" t="s">
        <v>127</v>
      </c>
      <c r="B871" s="454" t="s">
        <v>299</v>
      </c>
      <c r="C871" s="454" t="s">
        <v>150</v>
      </c>
      <c r="D871" s="454" t="s">
        <v>915</v>
      </c>
      <c r="E871" s="461" t="s">
        <v>128</v>
      </c>
      <c r="F871" s="451">
        <f t="shared" ref="F871:G871" si="414">F872</f>
        <v>8965.1999999999989</v>
      </c>
      <c r="G871" s="451">
        <f t="shared" si="414"/>
        <v>7283.3661199999997</v>
      </c>
      <c r="H871" s="451">
        <f t="shared" si="400"/>
        <v>81.240419845625311</v>
      </c>
    </row>
    <row r="872" spans="1:8" ht="21.75" customHeight="1" x14ac:dyDescent="0.25">
      <c r="A872" s="458" t="s">
        <v>342</v>
      </c>
      <c r="B872" s="454" t="s">
        <v>299</v>
      </c>
      <c r="C872" s="454" t="s">
        <v>150</v>
      </c>
      <c r="D872" s="454" t="s">
        <v>915</v>
      </c>
      <c r="E872" s="461" t="s">
        <v>209</v>
      </c>
      <c r="F872" s="451">
        <f>'Пр.4 ведом.21'!G446</f>
        <v>8965.1999999999989</v>
      </c>
      <c r="G872" s="451">
        <f>'Пр.4 ведом.21'!H446</f>
        <v>7283.3661199999997</v>
      </c>
      <c r="H872" s="451">
        <f t="shared" si="400"/>
        <v>81.240419845625311</v>
      </c>
    </row>
    <row r="873" spans="1:8" ht="31.5" x14ac:dyDescent="0.25">
      <c r="A873" s="458" t="s">
        <v>131</v>
      </c>
      <c r="B873" s="454" t="s">
        <v>299</v>
      </c>
      <c r="C873" s="454" t="s">
        <v>150</v>
      </c>
      <c r="D873" s="454" t="s">
        <v>915</v>
      </c>
      <c r="E873" s="461" t="s">
        <v>132</v>
      </c>
      <c r="F873" s="451">
        <f t="shared" ref="F873:G875" si="415">F874</f>
        <v>1939.7</v>
      </c>
      <c r="G873" s="451">
        <f t="shared" si="415"/>
        <v>1463.1839</v>
      </c>
      <c r="H873" s="451">
        <f t="shared" si="400"/>
        <v>75.4335154920864</v>
      </c>
    </row>
    <row r="874" spans="1:8" ht="47.25" x14ac:dyDescent="0.25">
      <c r="A874" s="458" t="s">
        <v>133</v>
      </c>
      <c r="B874" s="454" t="s">
        <v>299</v>
      </c>
      <c r="C874" s="454" t="s">
        <v>150</v>
      </c>
      <c r="D874" s="454" t="s">
        <v>915</v>
      </c>
      <c r="E874" s="461" t="s">
        <v>134</v>
      </c>
      <c r="F874" s="451">
        <f>'Пр.4 ведом.21'!G448</f>
        <v>1939.7</v>
      </c>
      <c r="G874" s="451">
        <f>'Пр.4 ведом.21'!H448</f>
        <v>1463.1839</v>
      </c>
      <c r="H874" s="451">
        <f t="shared" si="400"/>
        <v>75.4335154920864</v>
      </c>
    </row>
    <row r="875" spans="1:8" ht="15.75" x14ac:dyDescent="0.25">
      <c r="A875" s="458" t="s">
        <v>135</v>
      </c>
      <c r="B875" s="454" t="s">
        <v>299</v>
      </c>
      <c r="C875" s="454" t="s">
        <v>150</v>
      </c>
      <c r="D875" s="454" t="s">
        <v>915</v>
      </c>
      <c r="E875" s="461" t="s">
        <v>145</v>
      </c>
      <c r="F875" s="451">
        <f t="shared" si="415"/>
        <v>14</v>
      </c>
      <c r="G875" s="451">
        <f t="shared" si="415"/>
        <v>12.586</v>
      </c>
      <c r="H875" s="451">
        <f t="shared" si="400"/>
        <v>89.9</v>
      </c>
    </row>
    <row r="876" spans="1:8" ht="15.75" x14ac:dyDescent="0.25">
      <c r="A876" s="458" t="s">
        <v>568</v>
      </c>
      <c r="B876" s="454" t="s">
        <v>299</v>
      </c>
      <c r="C876" s="454" t="s">
        <v>150</v>
      </c>
      <c r="D876" s="454" t="s">
        <v>915</v>
      </c>
      <c r="E876" s="461" t="s">
        <v>138</v>
      </c>
      <c r="F876" s="451">
        <f>'Пр.4 ведом.21'!G450</f>
        <v>14</v>
      </c>
      <c r="G876" s="451">
        <f>'Пр.4 ведом.21'!H450</f>
        <v>12.586</v>
      </c>
      <c r="H876" s="451">
        <f t="shared" si="400"/>
        <v>89.9</v>
      </c>
    </row>
    <row r="877" spans="1:8" ht="47.25" x14ac:dyDescent="0.25">
      <c r="A877" s="458" t="s">
        <v>839</v>
      </c>
      <c r="B877" s="454" t="s">
        <v>299</v>
      </c>
      <c r="C877" s="454" t="s">
        <v>150</v>
      </c>
      <c r="D877" s="454" t="s">
        <v>916</v>
      </c>
      <c r="E877" s="461"/>
      <c r="F877" s="451">
        <f>F878</f>
        <v>339</v>
      </c>
      <c r="G877" s="451">
        <f t="shared" ref="G877" si="416">G878</f>
        <v>339</v>
      </c>
      <c r="H877" s="451">
        <f t="shared" si="400"/>
        <v>100</v>
      </c>
    </row>
    <row r="878" spans="1:8" ht="78.75" x14ac:dyDescent="0.25">
      <c r="A878" s="458" t="s">
        <v>127</v>
      </c>
      <c r="B878" s="454" t="s">
        <v>299</v>
      </c>
      <c r="C878" s="454" t="s">
        <v>150</v>
      </c>
      <c r="D878" s="454" t="s">
        <v>916</v>
      </c>
      <c r="E878" s="461" t="s">
        <v>128</v>
      </c>
      <c r="F878" s="451">
        <f t="shared" ref="F878:G878" si="417">F879</f>
        <v>339</v>
      </c>
      <c r="G878" s="451">
        <f t="shared" si="417"/>
        <v>339</v>
      </c>
      <c r="H878" s="451">
        <f t="shared" si="400"/>
        <v>100</v>
      </c>
    </row>
    <row r="879" spans="1:8" ht="31.5" x14ac:dyDescent="0.25">
      <c r="A879" s="458" t="s">
        <v>129</v>
      </c>
      <c r="B879" s="454" t="s">
        <v>299</v>
      </c>
      <c r="C879" s="454" t="s">
        <v>150</v>
      </c>
      <c r="D879" s="454" t="s">
        <v>916</v>
      </c>
      <c r="E879" s="461" t="s">
        <v>209</v>
      </c>
      <c r="F879" s="451">
        <f>'Пр.4 ведом.21'!G453</f>
        <v>339</v>
      </c>
      <c r="G879" s="451">
        <f>'Пр.4 ведом.21'!H453</f>
        <v>339</v>
      </c>
      <c r="H879" s="451">
        <f t="shared" si="400"/>
        <v>100</v>
      </c>
    </row>
    <row r="880" spans="1:8" ht="47.25" x14ac:dyDescent="0.25">
      <c r="A880" s="456" t="s">
        <v>1350</v>
      </c>
      <c r="B880" s="457" t="s">
        <v>299</v>
      </c>
      <c r="C880" s="457" t="s">
        <v>150</v>
      </c>
      <c r="D880" s="457" t="s">
        <v>344</v>
      </c>
      <c r="E880" s="461"/>
      <c r="F880" s="450">
        <f>F881</f>
        <v>200</v>
      </c>
      <c r="G880" s="450">
        <f t="shared" ref="G880:G882" si="418">G881</f>
        <v>127.97</v>
      </c>
      <c r="H880" s="450">
        <f t="shared" si="400"/>
        <v>63.984999999999999</v>
      </c>
    </row>
    <row r="881" spans="1:12" ht="31.5" x14ac:dyDescent="0.25">
      <c r="A881" s="456" t="s">
        <v>355</v>
      </c>
      <c r="B881" s="457" t="s">
        <v>299</v>
      </c>
      <c r="C881" s="457" t="s">
        <v>150</v>
      </c>
      <c r="D881" s="457" t="s">
        <v>362</v>
      </c>
      <c r="E881" s="461"/>
      <c r="F881" s="450">
        <f>F882</f>
        <v>200</v>
      </c>
      <c r="G881" s="450">
        <f t="shared" si="418"/>
        <v>127.97</v>
      </c>
      <c r="H881" s="450">
        <f t="shared" si="400"/>
        <v>63.984999999999999</v>
      </c>
    </row>
    <row r="882" spans="1:12" ht="31.5" x14ac:dyDescent="0.25">
      <c r="A882" s="456" t="s">
        <v>997</v>
      </c>
      <c r="B882" s="457" t="s">
        <v>299</v>
      </c>
      <c r="C882" s="457" t="s">
        <v>150</v>
      </c>
      <c r="D882" s="457" t="s">
        <v>1222</v>
      </c>
      <c r="E882" s="461"/>
      <c r="F882" s="450">
        <f>F883</f>
        <v>200</v>
      </c>
      <c r="G882" s="450">
        <f t="shared" si="418"/>
        <v>127.97</v>
      </c>
      <c r="H882" s="450">
        <f t="shared" si="400"/>
        <v>63.984999999999999</v>
      </c>
    </row>
    <row r="883" spans="1:12" ht="31.5" x14ac:dyDescent="0.25">
      <c r="A883" s="458" t="s">
        <v>996</v>
      </c>
      <c r="B883" s="454" t="s">
        <v>299</v>
      </c>
      <c r="C883" s="454" t="s">
        <v>150</v>
      </c>
      <c r="D883" s="454" t="s">
        <v>1223</v>
      </c>
      <c r="E883" s="461"/>
      <c r="F883" s="451">
        <f t="shared" ref="F883:G884" si="419">F884</f>
        <v>200</v>
      </c>
      <c r="G883" s="451">
        <f t="shared" si="419"/>
        <v>127.97</v>
      </c>
      <c r="H883" s="451">
        <f t="shared" si="400"/>
        <v>63.984999999999999</v>
      </c>
    </row>
    <row r="884" spans="1:12" ht="31.5" x14ac:dyDescent="0.25">
      <c r="A884" s="458" t="s">
        <v>131</v>
      </c>
      <c r="B884" s="454" t="s">
        <v>299</v>
      </c>
      <c r="C884" s="454" t="s">
        <v>150</v>
      </c>
      <c r="D884" s="454" t="s">
        <v>1223</v>
      </c>
      <c r="E884" s="461" t="s">
        <v>132</v>
      </c>
      <c r="F884" s="451">
        <f>F885</f>
        <v>200</v>
      </c>
      <c r="G884" s="451">
        <f t="shared" si="419"/>
        <v>127.97</v>
      </c>
      <c r="H884" s="451">
        <f t="shared" si="400"/>
        <v>63.984999999999999</v>
      </c>
    </row>
    <row r="885" spans="1:12" ht="47.25" x14ac:dyDescent="0.25">
      <c r="A885" s="458" t="s">
        <v>133</v>
      </c>
      <c r="B885" s="454" t="s">
        <v>299</v>
      </c>
      <c r="C885" s="454" t="s">
        <v>150</v>
      </c>
      <c r="D885" s="454" t="s">
        <v>1223</v>
      </c>
      <c r="E885" s="461" t="s">
        <v>134</v>
      </c>
      <c r="F885" s="451">
        <f>'Пр.4 ведом.21'!G459</f>
        <v>200</v>
      </c>
      <c r="G885" s="451">
        <f>'Пр.4 ведом.21'!H459</f>
        <v>127.97</v>
      </c>
      <c r="H885" s="451">
        <f t="shared" si="400"/>
        <v>63.984999999999999</v>
      </c>
    </row>
    <row r="886" spans="1:12" s="200" customFormat="1" ht="47.25" x14ac:dyDescent="0.25">
      <c r="A886" s="34" t="s">
        <v>1360</v>
      </c>
      <c r="B886" s="457" t="s">
        <v>299</v>
      </c>
      <c r="C886" s="457" t="s">
        <v>150</v>
      </c>
      <c r="D886" s="457" t="s">
        <v>324</v>
      </c>
      <c r="E886" s="457"/>
      <c r="F886" s="455">
        <f>F888</f>
        <v>4</v>
      </c>
      <c r="G886" s="455">
        <f t="shared" ref="G886" si="420">G888</f>
        <v>0</v>
      </c>
      <c r="H886" s="450">
        <f t="shared" si="400"/>
        <v>0</v>
      </c>
    </row>
    <row r="887" spans="1:12" s="200" customFormat="1" ht="63" x14ac:dyDescent="0.25">
      <c r="A887" s="34" t="s">
        <v>1025</v>
      </c>
      <c r="B887" s="457" t="s">
        <v>299</v>
      </c>
      <c r="C887" s="457" t="s">
        <v>150</v>
      </c>
      <c r="D887" s="457" t="s">
        <v>934</v>
      </c>
      <c r="E887" s="457"/>
      <c r="F887" s="455">
        <f>F890</f>
        <v>4</v>
      </c>
      <c r="G887" s="455">
        <f t="shared" ref="G887" si="421">G890</f>
        <v>0</v>
      </c>
      <c r="H887" s="450">
        <f t="shared" si="400"/>
        <v>0</v>
      </c>
    </row>
    <row r="888" spans="1:12" s="200" customFormat="1" ht="47.25" x14ac:dyDescent="0.25">
      <c r="A888" s="31" t="s">
        <v>1081</v>
      </c>
      <c r="B888" s="454" t="s">
        <v>299</v>
      </c>
      <c r="C888" s="454" t="s">
        <v>150</v>
      </c>
      <c r="D888" s="454" t="s">
        <v>1026</v>
      </c>
      <c r="E888" s="454"/>
      <c r="F888" s="459">
        <f>F889</f>
        <v>4</v>
      </c>
      <c r="G888" s="459">
        <f t="shared" ref="G888:G889" si="422">G889</f>
        <v>0</v>
      </c>
      <c r="H888" s="451">
        <f t="shared" si="400"/>
        <v>0</v>
      </c>
    </row>
    <row r="889" spans="1:12" s="200" customFormat="1" ht="31.5" x14ac:dyDescent="0.25">
      <c r="A889" s="458" t="s">
        <v>131</v>
      </c>
      <c r="B889" s="454" t="s">
        <v>299</v>
      </c>
      <c r="C889" s="454" t="s">
        <v>150</v>
      </c>
      <c r="D889" s="454" t="s">
        <v>1026</v>
      </c>
      <c r="E889" s="454" t="s">
        <v>132</v>
      </c>
      <c r="F889" s="459">
        <f>F890</f>
        <v>4</v>
      </c>
      <c r="G889" s="459">
        <f t="shared" si="422"/>
        <v>0</v>
      </c>
      <c r="H889" s="451">
        <f t="shared" si="400"/>
        <v>0</v>
      </c>
    </row>
    <row r="890" spans="1:12" s="200" customFormat="1" ht="47.25" x14ac:dyDescent="0.25">
      <c r="A890" s="458" t="s">
        <v>133</v>
      </c>
      <c r="B890" s="454" t="s">
        <v>299</v>
      </c>
      <c r="C890" s="454" t="s">
        <v>150</v>
      </c>
      <c r="D890" s="454" t="s">
        <v>1026</v>
      </c>
      <c r="E890" s="454" t="s">
        <v>134</v>
      </c>
      <c r="F890" s="459">
        <f>'Пр.4 ведом.21'!G464</f>
        <v>4</v>
      </c>
      <c r="G890" s="459">
        <f>'Пр.4 ведом.21'!H464</f>
        <v>0</v>
      </c>
      <c r="H890" s="451">
        <f t="shared" si="400"/>
        <v>0</v>
      </c>
    </row>
    <row r="891" spans="1:12" s="200" customFormat="1" ht="15.75" x14ac:dyDescent="0.25">
      <c r="A891" s="456" t="s">
        <v>243</v>
      </c>
      <c r="B891" s="457" t="s">
        <v>244</v>
      </c>
      <c r="C891" s="457"/>
      <c r="D891" s="457"/>
      <c r="E891" s="457"/>
      <c r="F891" s="450">
        <f>F892+F898+F932+F927</f>
        <v>15222.5</v>
      </c>
      <c r="G891" s="450">
        <f t="shared" ref="G891" si="423">G892+G898+G932+G927</f>
        <v>11110.588</v>
      </c>
      <c r="H891" s="450">
        <f t="shared" si="400"/>
        <v>72.987932337001155</v>
      </c>
      <c r="K891" s="227">
        <f>F891-'Пр.4 ведом.21'!N1148-'Пр.4 ведом.21'!W1158-F928-F934</f>
        <v>11603.3</v>
      </c>
      <c r="L891" s="227">
        <f>F924+F929+F935-'Пр.4 ведом.21'!N1147-'Пр.4 ведом.21'!W1157</f>
        <v>3619.2000000000007</v>
      </c>
    </row>
    <row r="892" spans="1:12" s="200" customFormat="1" ht="15.75" x14ac:dyDescent="0.25">
      <c r="A892" s="456" t="s">
        <v>245</v>
      </c>
      <c r="B892" s="457" t="s">
        <v>244</v>
      </c>
      <c r="C892" s="457" t="s">
        <v>118</v>
      </c>
      <c r="D892" s="457"/>
      <c r="E892" s="457"/>
      <c r="F892" s="450">
        <f>F893</f>
        <v>9815.2999999999993</v>
      </c>
      <c r="G892" s="450">
        <f t="shared" ref="G892:G896" si="424">G893</f>
        <v>8148.8630000000003</v>
      </c>
      <c r="H892" s="450">
        <f t="shared" si="400"/>
        <v>83.022047212005759</v>
      </c>
    </row>
    <row r="893" spans="1:12" s="200" customFormat="1" ht="15.75" x14ac:dyDescent="0.25">
      <c r="A893" s="456" t="s">
        <v>141</v>
      </c>
      <c r="B893" s="457" t="s">
        <v>244</v>
      </c>
      <c r="C893" s="457" t="s">
        <v>118</v>
      </c>
      <c r="D893" s="457" t="s">
        <v>866</v>
      </c>
      <c r="E893" s="457"/>
      <c r="F893" s="450">
        <f>F894</f>
        <v>9815.2999999999993</v>
      </c>
      <c r="G893" s="450">
        <f t="shared" si="424"/>
        <v>8148.8630000000003</v>
      </c>
      <c r="H893" s="450">
        <f t="shared" si="400"/>
        <v>83.022047212005759</v>
      </c>
    </row>
    <row r="894" spans="1:12" s="200" customFormat="1" ht="31.5" x14ac:dyDescent="0.25">
      <c r="A894" s="456" t="s">
        <v>870</v>
      </c>
      <c r="B894" s="457" t="s">
        <v>244</v>
      </c>
      <c r="C894" s="457" t="s">
        <v>118</v>
      </c>
      <c r="D894" s="457" t="s">
        <v>865</v>
      </c>
      <c r="E894" s="457"/>
      <c r="F894" s="450">
        <f>F895</f>
        <v>9815.2999999999993</v>
      </c>
      <c r="G894" s="450">
        <f t="shared" si="424"/>
        <v>8148.8630000000003</v>
      </c>
      <c r="H894" s="450">
        <f t="shared" si="400"/>
        <v>83.022047212005759</v>
      </c>
    </row>
    <row r="895" spans="1:12" s="200" customFormat="1" ht="15.75" x14ac:dyDescent="0.25">
      <c r="A895" s="458" t="s">
        <v>246</v>
      </c>
      <c r="B895" s="454" t="s">
        <v>244</v>
      </c>
      <c r="C895" s="454" t="s">
        <v>118</v>
      </c>
      <c r="D895" s="454" t="s">
        <v>881</v>
      </c>
      <c r="E895" s="454"/>
      <c r="F895" s="451">
        <f>F896</f>
        <v>9815.2999999999993</v>
      </c>
      <c r="G895" s="451">
        <f t="shared" si="424"/>
        <v>8148.8630000000003</v>
      </c>
      <c r="H895" s="451">
        <f t="shared" si="400"/>
        <v>83.022047212005759</v>
      </c>
    </row>
    <row r="896" spans="1:12" s="200" customFormat="1" ht="18" customHeight="1" x14ac:dyDescent="0.25">
      <c r="A896" s="458" t="s">
        <v>248</v>
      </c>
      <c r="B896" s="454" t="s">
        <v>244</v>
      </c>
      <c r="C896" s="454" t="s">
        <v>118</v>
      </c>
      <c r="D896" s="454" t="s">
        <v>881</v>
      </c>
      <c r="E896" s="454" t="s">
        <v>249</v>
      </c>
      <c r="F896" s="451">
        <f>F897</f>
        <v>9815.2999999999993</v>
      </c>
      <c r="G896" s="451">
        <f t="shared" si="424"/>
        <v>8148.8630000000003</v>
      </c>
      <c r="H896" s="451">
        <f t="shared" si="400"/>
        <v>83.022047212005759</v>
      </c>
    </row>
    <row r="897" spans="1:8" s="200" customFormat="1" ht="31.5" x14ac:dyDescent="0.25">
      <c r="A897" s="458" t="s">
        <v>250</v>
      </c>
      <c r="B897" s="454" t="s">
        <v>244</v>
      </c>
      <c r="C897" s="454" t="s">
        <v>118</v>
      </c>
      <c r="D897" s="454" t="s">
        <v>881</v>
      </c>
      <c r="E897" s="454" t="s">
        <v>251</v>
      </c>
      <c r="F897" s="451">
        <f>'Пр.4 ведом.21'!G225</f>
        <v>9815.2999999999993</v>
      </c>
      <c r="G897" s="451">
        <f>'Пр.4 ведом.21'!H225</f>
        <v>8148.8630000000003</v>
      </c>
      <c r="H897" s="451">
        <f t="shared" si="400"/>
        <v>83.022047212005759</v>
      </c>
    </row>
    <row r="898" spans="1:8" ht="15.75" x14ac:dyDescent="0.25">
      <c r="A898" s="456" t="s">
        <v>252</v>
      </c>
      <c r="B898" s="457" t="s">
        <v>244</v>
      </c>
      <c r="C898" s="457" t="s">
        <v>215</v>
      </c>
      <c r="D898" s="457"/>
      <c r="E898" s="457"/>
      <c r="F898" s="450">
        <f>F899+F922</f>
        <v>1717</v>
      </c>
      <c r="G898" s="450">
        <f t="shared" ref="G898" si="425">G899+G922</f>
        <v>1038.0149999999999</v>
      </c>
      <c r="H898" s="450">
        <f t="shared" si="400"/>
        <v>60.455154338963304</v>
      </c>
    </row>
    <row r="899" spans="1:8" ht="47.25" x14ac:dyDescent="0.25">
      <c r="A899" s="456" t="s">
        <v>1375</v>
      </c>
      <c r="B899" s="457" t="s">
        <v>244</v>
      </c>
      <c r="C899" s="457" t="s">
        <v>215</v>
      </c>
      <c r="D899" s="457" t="s">
        <v>344</v>
      </c>
      <c r="E899" s="457"/>
      <c r="F899" s="450">
        <f>F900+F905</f>
        <v>1707</v>
      </c>
      <c r="G899" s="450">
        <f t="shared" ref="G899" si="426">G900+G905</f>
        <v>1038.0149999999999</v>
      </c>
      <c r="H899" s="450">
        <f t="shared" si="400"/>
        <v>60.809314586994724</v>
      </c>
    </row>
    <row r="900" spans="1:8" ht="31.5" hidden="1" x14ac:dyDescent="0.25">
      <c r="A900" s="456" t="s">
        <v>352</v>
      </c>
      <c r="B900" s="457" t="s">
        <v>244</v>
      </c>
      <c r="C900" s="457" t="s">
        <v>215</v>
      </c>
      <c r="D900" s="457" t="s">
        <v>353</v>
      </c>
      <c r="E900" s="457"/>
      <c r="F900" s="450">
        <f t="shared" ref="F900:G902" si="427">F901</f>
        <v>0</v>
      </c>
      <c r="G900" s="450">
        <f t="shared" si="427"/>
        <v>0</v>
      </c>
      <c r="H900" s="450" t="e">
        <f t="shared" si="400"/>
        <v>#DIV/0!</v>
      </c>
    </row>
    <row r="901" spans="1:8" ht="30.2" hidden="1" customHeight="1" x14ac:dyDescent="0.25">
      <c r="A901" s="456" t="s">
        <v>905</v>
      </c>
      <c r="B901" s="457" t="s">
        <v>244</v>
      </c>
      <c r="C901" s="457" t="s">
        <v>215</v>
      </c>
      <c r="D901" s="457" t="s">
        <v>904</v>
      </c>
      <c r="E901" s="457"/>
      <c r="F901" s="450">
        <f>F902</f>
        <v>0</v>
      </c>
      <c r="G901" s="450">
        <f t="shared" si="427"/>
        <v>0</v>
      </c>
      <c r="H901" s="450" t="e">
        <f t="shared" si="400"/>
        <v>#DIV/0!</v>
      </c>
    </row>
    <row r="902" spans="1:8" ht="31.5" hidden="1" x14ac:dyDescent="0.25">
      <c r="A902" s="458" t="s">
        <v>824</v>
      </c>
      <c r="B902" s="454" t="s">
        <v>244</v>
      </c>
      <c r="C902" s="454" t="s">
        <v>215</v>
      </c>
      <c r="D902" s="454" t="s">
        <v>906</v>
      </c>
      <c r="E902" s="454"/>
      <c r="F902" s="451">
        <f>F903</f>
        <v>0</v>
      </c>
      <c r="G902" s="451">
        <f t="shared" si="427"/>
        <v>0</v>
      </c>
      <c r="H902" s="450" t="e">
        <f t="shared" si="400"/>
        <v>#DIV/0!</v>
      </c>
    </row>
    <row r="903" spans="1:8" ht="19.5" hidden="1" customHeight="1" x14ac:dyDescent="0.25">
      <c r="A903" s="458" t="s">
        <v>248</v>
      </c>
      <c r="B903" s="454" t="s">
        <v>244</v>
      </c>
      <c r="C903" s="454" t="s">
        <v>215</v>
      </c>
      <c r="D903" s="454" t="s">
        <v>906</v>
      </c>
      <c r="E903" s="454" t="s">
        <v>249</v>
      </c>
      <c r="F903" s="451">
        <f t="shared" ref="F903:G903" si="428">F904</f>
        <v>0</v>
      </c>
      <c r="G903" s="451">
        <f t="shared" si="428"/>
        <v>0</v>
      </c>
      <c r="H903" s="450" t="e">
        <f t="shared" si="400"/>
        <v>#DIV/0!</v>
      </c>
    </row>
    <row r="904" spans="1:8" ht="31.5" hidden="1" x14ac:dyDescent="0.25">
      <c r="A904" s="458" t="s">
        <v>250</v>
      </c>
      <c r="B904" s="454" t="s">
        <v>244</v>
      </c>
      <c r="C904" s="454" t="s">
        <v>215</v>
      </c>
      <c r="D904" s="454" t="s">
        <v>906</v>
      </c>
      <c r="E904" s="454" t="s">
        <v>251</v>
      </c>
      <c r="F904" s="451">
        <f>'Пр.4 ведом.21'!G472</f>
        <v>0</v>
      </c>
      <c r="G904" s="451">
        <f>'Пр.4 ведом.21'!H472</f>
        <v>0</v>
      </c>
      <c r="H904" s="450" t="e">
        <f t="shared" si="400"/>
        <v>#DIV/0!</v>
      </c>
    </row>
    <row r="905" spans="1:8" ht="37.5" customHeight="1" x14ac:dyDescent="0.25">
      <c r="A905" s="456" t="s">
        <v>355</v>
      </c>
      <c r="B905" s="453">
        <v>10</v>
      </c>
      <c r="C905" s="457" t="s">
        <v>215</v>
      </c>
      <c r="D905" s="457" t="s">
        <v>362</v>
      </c>
      <c r="E905" s="457"/>
      <c r="F905" s="450">
        <f>F906+F912+F918</f>
        <v>1707</v>
      </c>
      <c r="G905" s="450">
        <f t="shared" ref="G905" si="429">G906+G912+G918</f>
        <v>1038.0149999999999</v>
      </c>
      <c r="H905" s="450">
        <f t="shared" si="400"/>
        <v>60.809314586994724</v>
      </c>
    </row>
    <row r="906" spans="1:8" ht="31.5" x14ac:dyDescent="0.25">
      <c r="A906" s="456" t="s">
        <v>1038</v>
      </c>
      <c r="B906" s="457" t="s">
        <v>244</v>
      </c>
      <c r="C906" s="457" t="s">
        <v>215</v>
      </c>
      <c r="D906" s="457" t="s">
        <v>913</v>
      </c>
      <c r="E906" s="457"/>
      <c r="F906" s="455">
        <f>F907</f>
        <v>1030</v>
      </c>
      <c r="G906" s="455">
        <f t="shared" ref="G906" si="430">G907</f>
        <v>668.01499999999999</v>
      </c>
      <c r="H906" s="450">
        <f t="shared" si="400"/>
        <v>64.855825242718453</v>
      </c>
    </row>
    <row r="907" spans="1:8" ht="47.25" x14ac:dyDescent="0.25">
      <c r="A907" s="98" t="s">
        <v>1039</v>
      </c>
      <c r="B907" s="454" t="s">
        <v>244</v>
      </c>
      <c r="C907" s="454" t="s">
        <v>215</v>
      </c>
      <c r="D907" s="454" t="s">
        <v>1225</v>
      </c>
      <c r="E907" s="454"/>
      <c r="F907" s="459">
        <f>F910+F908</f>
        <v>1030</v>
      </c>
      <c r="G907" s="459">
        <f t="shared" ref="G907" si="431">G910+G908</f>
        <v>668.01499999999999</v>
      </c>
      <c r="H907" s="451">
        <f t="shared" ref="H907:H970" si="432">G907/F907*100</f>
        <v>64.855825242718453</v>
      </c>
    </row>
    <row r="908" spans="1:8" s="200" customFormat="1" ht="31.5" x14ac:dyDescent="0.25">
      <c r="A908" s="458" t="s">
        <v>131</v>
      </c>
      <c r="B908" s="454" t="s">
        <v>244</v>
      </c>
      <c r="C908" s="454" t="s">
        <v>215</v>
      </c>
      <c r="D908" s="454" t="s">
        <v>1225</v>
      </c>
      <c r="E908" s="454" t="s">
        <v>132</v>
      </c>
      <c r="F908" s="459">
        <f>F909</f>
        <v>400</v>
      </c>
      <c r="G908" s="459">
        <f t="shared" ref="G908" si="433">G909</f>
        <v>297.71499999999997</v>
      </c>
      <c r="H908" s="451">
        <f t="shared" si="432"/>
        <v>74.428749999999994</v>
      </c>
    </row>
    <row r="909" spans="1:8" s="200" customFormat="1" ht="47.25" x14ac:dyDescent="0.25">
      <c r="A909" s="458" t="s">
        <v>133</v>
      </c>
      <c r="B909" s="454" t="s">
        <v>244</v>
      </c>
      <c r="C909" s="454" t="s">
        <v>215</v>
      </c>
      <c r="D909" s="454" t="s">
        <v>1225</v>
      </c>
      <c r="E909" s="454" t="s">
        <v>134</v>
      </c>
      <c r="F909" s="459">
        <f>'Пр.4 ведом.21'!G477</f>
        <v>400</v>
      </c>
      <c r="G909" s="459">
        <f>'Пр.4 ведом.21'!H477</f>
        <v>297.71499999999997</v>
      </c>
      <c r="H909" s="451">
        <f t="shared" si="432"/>
        <v>74.428749999999994</v>
      </c>
    </row>
    <row r="910" spans="1:8" ht="18.75" customHeight="1" x14ac:dyDescent="0.25">
      <c r="A910" s="458" t="s">
        <v>248</v>
      </c>
      <c r="B910" s="454" t="s">
        <v>244</v>
      </c>
      <c r="C910" s="454" t="s">
        <v>215</v>
      </c>
      <c r="D910" s="454" t="s">
        <v>1225</v>
      </c>
      <c r="E910" s="454" t="s">
        <v>249</v>
      </c>
      <c r="F910" s="459">
        <f>F911</f>
        <v>630</v>
      </c>
      <c r="G910" s="459">
        <f t="shared" ref="G910" si="434">G911</f>
        <v>370.3</v>
      </c>
      <c r="H910" s="451">
        <f t="shared" si="432"/>
        <v>58.777777777777786</v>
      </c>
    </row>
    <row r="911" spans="1:8" ht="31.7" customHeight="1" x14ac:dyDescent="0.25">
      <c r="A911" s="458" t="s">
        <v>348</v>
      </c>
      <c r="B911" s="454" t="s">
        <v>244</v>
      </c>
      <c r="C911" s="454" t="s">
        <v>215</v>
      </c>
      <c r="D911" s="454" t="s">
        <v>1225</v>
      </c>
      <c r="E911" s="454" t="s">
        <v>349</v>
      </c>
      <c r="F911" s="459">
        <f>'Пр.4 ведом.21'!G479</f>
        <v>630</v>
      </c>
      <c r="G911" s="459">
        <f>'Пр.4 ведом.21'!H479</f>
        <v>370.3</v>
      </c>
      <c r="H911" s="451">
        <f t="shared" si="432"/>
        <v>58.777777777777786</v>
      </c>
    </row>
    <row r="912" spans="1:8" ht="31.5" x14ac:dyDescent="0.25">
      <c r="A912" s="456" t="s">
        <v>1229</v>
      </c>
      <c r="B912" s="453">
        <v>10</v>
      </c>
      <c r="C912" s="457" t="s">
        <v>215</v>
      </c>
      <c r="D912" s="457" t="s">
        <v>1227</v>
      </c>
      <c r="E912" s="457"/>
      <c r="F912" s="455">
        <f>F913</f>
        <v>257</v>
      </c>
      <c r="G912" s="455">
        <f t="shared" ref="G912" si="435">G913</f>
        <v>190</v>
      </c>
      <c r="H912" s="450">
        <f t="shared" si="432"/>
        <v>73.929961089494171</v>
      </c>
    </row>
    <row r="913" spans="1:8" ht="35.450000000000003" customHeight="1" x14ac:dyDescent="0.25">
      <c r="A913" s="458" t="s">
        <v>1226</v>
      </c>
      <c r="B913" s="454" t="s">
        <v>244</v>
      </c>
      <c r="C913" s="454" t="s">
        <v>215</v>
      </c>
      <c r="D913" s="454" t="s">
        <v>1228</v>
      </c>
      <c r="E913" s="454"/>
      <c r="F913" s="459">
        <f>F915+F917</f>
        <v>257</v>
      </c>
      <c r="G913" s="459">
        <f t="shared" ref="G913" si="436">G915+G917</f>
        <v>190</v>
      </c>
      <c r="H913" s="451">
        <f t="shared" si="432"/>
        <v>73.929961089494171</v>
      </c>
    </row>
    <row r="914" spans="1:8" ht="36" hidden="1" customHeight="1" x14ac:dyDescent="0.25">
      <c r="A914" s="458" t="s">
        <v>131</v>
      </c>
      <c r="B914" s="454" t="s">
        <v>244</v>
      </c>
      <c r="C914" s="454" t="s">
        <v>215</v>
      </c>
      <c r="D914" s="454" t="s">
        <v>1228</v>
      </c>
      <c r="E914" s="454" t="s">
        <v>132</v>
      </c>
      <c r="F914" s="459">
        <f>F915</f>
        <v>0</v>
      </c>
      <c r="G914" s="459">
        <f t="shared" ref="G914" si="437">G915</f>
        <v>0</v>
      </c>
      <c r="H914" s="451" t="e">
        <f t="shared" si="432"/>
        <v>#DIV/0!</v>
      </c>
    </row>
    <row r="915" spans="1:8" ht="39.75" hidden="1" customHeight="1" x14ac:dyDescent="0.25">
      <c r="A915" s="458" t="s">
        <v>133</v>
      </c>
      <c r="B915" s="454" t="s">
        <v>244</v>
      </c>
      <c r="C915" s="454" t="s">
        <v>215</v>
      </c>
      <c r="D915" s="454" t="s">
        <v>1228</v>
      </c>
      <c r="E915" s="454" t="s">
        <v>134</v>
      </c>
      <c r="F915" s="459">
        <f>'Пр.4 ведом.21'!G483</f>
        <v>0</v>
      </c>
      <c r="G915" s="459">
        <f>'Пр.4 ведом.21'!H483</f>
        <v>0</v>
      </c>
      <c r="H915" s="451" t="e">
        <f t="shared" si="432"/>
        <v>#DIV/0!</v>
      </c>
    </row>
    <row r="916" spans="1:8" ht="19.5" customHeight="1" x14ac:dyDescent="0.25">
      <c r="A916" s="458" t="s">
        <v>248</v>
      </c>
      <c r="B916" s="454" t="s">
        <v>244</v>
      </c>
      <c r="C916" s="454" t="s">
        <v>215</v>
      </c>
      <c r="D916" s="454" t="s">
        <v>1228</v>
      </c>
      <c r="E916" s="454" t="s">
        <v>249</v>
      </c>
      <c r="F916" s="459">
        <f>F917</f>
        <v>257</v>
      </c>
      <c r="G916" s="459">
        <f t="shared" ref="G916" si="438">G917</f>
        <v>190</v>
      </c>
      <c r="H916" s="451">
        <f t="shared" si="432"/>
        <v>73.929961089494171</v>
      </c>
    </row>
    <row r="917" spans="1:8" ht="31.5" x14ac:dyDescent="0.25">
      <c r="A917" s="458" t="s">
        <v>348</v>
      </c>
      <c r="B917" s="454" t="s">
        <v>244</v>
      </c>
      <c r="C917" s="454" t="s">
        <v>215</v>
      </c>
      <c r="D917" s="454" t="s">
        <v>1228</v>
      </c>
      <c r="E917" s="454" t="s">
        <v>349</v>
      </c>
      <c r="F917" s="459">
        <f>'Пр.4 ведом.21'!G485</f>
        <v>257</v>
      </c>
      <c r="G917" s="459">
        <f>'Пр.4 ведом.21'!H485</f>
        <v>190</v>
      </c>
      <c r="H917" s="451">
        <f t="shared" si="432"/>
        <v>73.929961089494171</v>
      </c>
    </row>
    <row r="918" spans="1:8" ht="31.5" x14ac:dyDescent="0.25">
      <c r="A918" s="456" t="s">
        <v>997</v>
      </c>
      <c r="B918" s="453">
        <v>10</v>
      </c>
      <c r="C918" s="457" t="s">
        <v>215</v>
      </c>
      <c r="D918" s="457" t="s">
        <v>1222</v>
      </c>
      <c r="E918" s="457"/>
      <c r="F918" s="455">
        <f>F919</f>
        <v>420</v>
      </c>
      <c r="G918" s="455">
        <f t="shared" ref="G918:G920" si="439">G919</f>
        <v>180</v>
      </c>
      <c r="H918" s="450">
        <f t="shared" si="432"/>
        <v>42.857142857142854</v>
      </c>
    </row>
    <row r="919" spans="1:8" ht="15.75" x14ac:dyDescent="0.25">
      <c r="A919" s="458" t="s">
        <v>1036</v>
      </c>
      <c r="B919" s="454" t="s">
        <v>244</v>
      </c>
      <c r="C919" s="454" t="s">
        <v>215</v>
      </c>
      <c r="D919" s="454" t="s">
        <v>1224</v>
      </c>
      <c r="E919" s="454"/>
      <c r="F919" s="459">
        <f>F920</f>
        <v>420</v>
      </c>
      <c r="G919" s="459">
        <f t="shared" si="439"/>
        <v>180</v>
      </c>
      <c r="H919" s="451">
        <f t="shared" si="432"/>
        <v>42.857142857142854</v>
      </c>
    </row>
    <row r="920" spans="1:8" s="200" customFormat="1" ht="21.75" customHeight="1" x14ac:dyDescent="0.25">
      <c r="A920" s="458" t="s">
        <v>248</v>
      </c>
      <c r="B920" s="454" t="s">
        <v>244</v>
      </c>
      <c r="C920" s="454" t="s">
        <v>215</v>
      </c>
      <c r="D920" s="454" t="s">
        <v>1224</v>
      </c>
      <c r="E920" s="454" t="s">
        <v>249</v>
      </c>
      <c r="F920" s="459">
        <f>F921</f>
        <v>420</v>
      </c>
      <c r="G920" s="459">
        <f t="shared" si="439"/>
        <v>180</v>
      </c>
      <c r="H920" s="451">
        <f t="shared" si="432"/>
        <v>42.857142857142854</v>
      </c>
    </row>
    <row r="921" spans="1:8" s="200" customFormat="1" ht="31.5" x14ac:dyDescent="0.25">
      <c r="A921" s="458" t="s">
        <v>348</v>
      </c>
      <c r="B921" s="454" t="s">
        <v>244</v>
      </c>
      <c r="C921" s="454" t="s">
        <v>215</v>
      </c>
      <c r="D921" s="454" t="s">
        <v>1224</v>
      </c>
      <c r="E921" s="454" t="s">
        <v>349</v>
      </c>
      <c r="F921" s="459">
        <f>'Пр.4 ведом.21'!G489</f>
        <v>420</v>
      </c>
      <c r="G921" s="459">
        <f>'Пр.4 ведом.21'!H489</f>
        <v>180</v>
      </c>
      <c r="H921" s="451">
        <f t="shared" si="432"/>
        <v>42.857142857142854</v>
      </c>
    </row>
    <row r="922" spans="1:8" ht="69" customHeight="1" x14ac:dyDescent="0.25">
      <c r="A922" s="456" t="s">
        <v>1349</v>
      </c>
      <c r="B922" s="457" t="s">
        <v>244</v>
      </c>
      <c r="C922" s="457" t="s">
        <v>215</v>
      </c>
      <c r="D922" s="457" t="s">
        <v>254</v>
      </c>
      <c r="E922" s="457"/>
      <c r="F922" s="450">
        <f t="shared" ref="F922:G924" si="440">F923</f>
        <v>10</v>
      </c>
      <c r="G922" s="450">
        <f t="shared" si="440"/>
        <v>0</v>
      </c>
      <c r="H922" s="450">
        <f t="shared" si="432"/>
        <v>0</v>
      </c>
    </row>
    <row r="923" spans="1:8" ht="47.25" x14ac:dyDescent="0.25">
      <c r="A923" s="456" t="s">
        <v>884</v>
      </c>
      <c r="B923" s="457" t="s">
        <v>244</v>
      </c>
      <c r="C923" s="457" t="s">
        <v>215</v>
      </c>
      <c r="D923" s="457" t="s">
        <v>882</v>
      </c>
      <c r="E923" s="457"/>
      <c r="F923" s="450">
        <f>F924</f>
        <v>10</v>
      </c>
      <c r="G923" s="450">
        <f t="shared" si="440"/>
        <v>0</v>
      </c>
      <c r="H923" s="450">
        <f t="shared" si="432"/>
        <v>0</v>
      </c>
    </row>
    <row r="924" spans="1:8" ht="31.5" x14ac:dyDescent="0.25">
      <c r="A924" s="458" t="s">
        <v>883</v>
      </c>
      <c r="B924" s="454" t="s">
        <v>244</v>
      </c>
      <c r="C924" s="454" t="s">
        <v>215</v>
      </c>
      <c r="D924" s="454" t="s">
        <v>1189</v>
      </c>
      <c r="E924" s="454"/>
      <c r="F924" s="451">
        <f t="shared" si="440"/>
        <v>10</v>
      </c>
      <c r="G924" s="451">
        <f t="shared" si="440"/>
        <v>0</v>
      </c>
      <c r="H924" s="451">
        <f t="shared" si="432"/>
        <v>0</v>
      </c>
    </row>
    <row r="925" spans="1:8" ht="19.5" customHeight="1" x14ac:dyDescent="0.25">
      <c r="A925" s="458" t="s">
        <v>248</v>
      </c>
      <c r="B925" s="454" t="s">
        <v>244</v>
      </c>
      <c r="C925" s="454" t="s">
        <v>215</v>
      </c>
      <c r="D925" s="454" t="s">
        <v>1189</v>
      </c>
      <c r="E925" s="454" t="s">
        <v>249</v>
      </c>
      <c r="F925" s="451">
        <v>10</v>
      </c>
      <c r="G925" s="451">
        <f>'Пр.4 ведом.21'!H231</f>
        <v>0</v>
      </c>
      <c r="H925" s="451">
        <f t="shared" si="432"/>
        <v>0</v>
      </c>
    </row>
    <row r="926" spans="1:8" ht="31.5" x14ac:dyDescent="0.25">
      <c r="A926" s="458" t="s">
        <v>250</v>
      </c>
      <c r="B926" s="454" t="s">
        <v>244</v>
      </c>
      <c r="C926" s="454" t="s">
        <v>215</v>
      </c>
      <c r="D926" s="454" t="s">
        <v>1189</v>
      </c>
      <c r="E926" s="454" t="s">
        <v>251</v>
      </c>
      <c r="F926" s="451">
        <f>'Пр.4 ведом.21'!G231</f>
        <v>10</v>
      </c>
      <c r="G926" s="451">
        <f>'Пр.4 ведом.21'!H231</f>
        <v>0</v>
      </c>
      <c r="H926" s="451">
        <f t="shared" si="432"/>
        <v>0</v>
      </c>
    </row>
    <row r="927" spans="1:8" s="200" customFormat="1" ht="15.75" hidden="1" x14ac:dyDescent="0.25">
      <c r="A927" s="456" t="s">
        <v>400</v>
      </c>
      <c r="B927" s="457" t="s">
        <v>244</v>
      </c>
      <c r="C927" s="457" t="s">
        <v>150</v>
      </c>
      <c r="D927" s="457"/>
      <c r="E927" s="457"/>
      <c r="F927" s="450">
        <f>F928</f>
        <v>0</v>
      </c>
      <c r="G927" s="450">
        <f t="shared" ref="G927:G930" si="441">G928</f>
        <v>0</v>
      </c>
      <c r="H927" s="451" t="e">
        <f t="shared" si="432"/>
        <v>#DIV/0!</v>
      </c>
    </row>
    <row r="928" spans="1:8" s="200" customFormat="1" ht="31.5" hidden="1" x14ac:dyDescent="0.25">
      <c r="A928" s="456" t="s">
        <v>885</v>
      </c>
      <c r="B928" s="457" t="s">
        <v>244</v>
      </c>
      <c r="C928" s="457" t="s">
        <v>150</v>
      </c>
      <c r="D928" s="457" t="s">
        <v>863</v>
      </c>
      <c r="E928" s="454"/>
      <c r="F928" s="455">
        <f>F929</f>
        <v>0</v>
      </c>
      <c r="G928" s="455">
        <f t="shared" si="441"/>
        <v>0</v>
      </c>
      <c r="H928" s="451" t="e">
        <f t="shared" si="432"/>
        <v>#DIV/0!</v>
      </c>
    </row>
    <row r="929" spans="1:8" s="200" customFormat="1" ht="47.25" hidden="1" x14ac:dyDescent="0.25">
      <c r="A929" s="458" t="s">
        <v>1172</v>
      </c>
      <c r="B929" s="454" t="s">
        <v>244</v>
      </c>
      <c r="C929" s="454" t="s">
        <v>150</v>
      </c>
      <c r="D929" s="454" t="s">
        <v>1171</v>
      </c>
      <c r="E929" s="454"/>
      <c r="F929" s="459">
        <f>F930</f>
        <v>0</v>
      </c>
      <c r="G929" s="459">
        <f t="shared" si="441"/>
        <v>0</v>
      </c>
      <c r="H929" s="451" t="e">
        <f t="shared" si="432"/>
        <v>#DIV/0!</v>
      </c>
    </row>
    <row r="930" spans="1:8" s="200" customFormat="1" ht="31.5" hidden="1" x14ac:dyDescent="0.25">
      <c r="A930" s="458" t="s">
        <v>131</v>
      </c>
      <c r="B930" s="454" t="s">
        <v>244</v>
      </c>
      <c r="C930" s="454" t="s">
        <v>150</v>
      </c>
      <c r="D930" s="454" t="s">
        <v>1171</v>
      </c>
      <c r="E930" s="454" t="s">
        <v>132</v>
      </c>
      <c r="F930" s="459">
        <f>F931</f>
        <v>0</v>
      </c>
      <c r="G930" s="459">
        <f t="shared" si="441"/>
        <v>0</v>
      </c>
      <c r="H930" s="451" t="e">
        <f t="shared" si="432"/>
        <v>#DIV/0!</v>
      </c>
    </row>
    <row r="931" spans="1:8" s="200" customFormat="1" ht="47.25" hidden="1" x14ac:dyDescent="0.25">
      <c r="A931" s="458" t="s">
        <v>133</v>
      </c>
      <c r="B931" s="454" t="s">
        <v>244</v>
      </c>
      <c r="C931" s="454" t="s">
        <v>150</v>
      </c>
      <c r="D931" s="454" t="s">
        <v>1171</v>
      </c>
      <c r="E931" s="454" t="s">
        <v>134</v>
      </c>
      <c r="F931" s="459">
        <f>'Пр.4 ведом.21'!G560</f>
        <v>0</v>
      </c>
      <c r="G931" s="459">
        <f>'Пр.4 ведом.21'!H560</f>
        <v>0</v>
      </c>
      <c r="H931" s="451" t="e">
        <f t="shared" si="432"/>
        <v>#DIV/0!</v>
      </c>
    </row>
    <row r="932" spans="1:8" s="200" customFormat="1" ht="15.75" x14ac:dyDescent="0.25">
      <c r="A932" s="456" t="s">
        <v>258</v>
      </c>
      <c r="B932" s="457" t="s">
        <v>244</v>
      </c>
      <c r="C932" s="457" t="s">
        <v>120</v>
      </c>
      <c r="D932" s="457"/>
      <c r="E932" s="457"/>
      <c r="F932" s="450">
        <f>F933+F940</f>
        <v>3690.2000000000007</v>
      </c>
      <c r="G932" s="450">
        <f t="shared" ref="G932" si="442">G933+G940</f>
        <v>1923.71</v>
      </c>
      <c r="H932" s="450">
        <f t="shared" si="432"/>
        <v>52.130236843531506</v>
      </c>
    </row>
    <row r="933" spans="1:8" s="200" customFormat="1" ht="31.5" x14ac:dyDescent="0.25">
      <c r="A933" s="456" t="s">
        <v>917</v>
      </c>
      <c r="B933" s="457" t="s">
        <v>244</v>
      </c>
      <c r="C933" s="457" t="s">
        <v>120</v>
      </c>
      <c r="D933" s="457" t="s">
        <v>858</v>
      </c>
      <c r="E933" s="457"/>
      <c r="F933" s="450">
        <f>F934</f>
        <v>3619.2000000000007</v>
      </c>
      <c r="G933" s="450">
        <f t="shared" ref="G933:G934" si="443">G934</f>
        <v>1923.71</v>
      </c>
      <c r="H933" s="450">
        <f t="shared" si="432"/>
        <v>53.152906719717052</v>
      </c>
    </row>
    <row r="934" spans="1:8" ht="31.5" x14ac:dyDescent="0.25">
      <c r="A934" s="456" t="s">
        <v>885</v>
      </c>
      <c r="B934" s="457" t="s">
        <v>244</v>
      </c>
      <c r="C934" s="457" t="s">
        <v>120</v>
      </c>
      <c r="D934" s="457" t="s">
        <v>863</v>
      </c>
      <c r="E934" s="457"/>
      <c r="F934" s="450">
        <f>F935</f>
        <v>3619.2000000000007</v>
      </c>
      <c r="G934" s="450">
        <f t="shared" si="443"/>
        <v>1923.71</v>
      </c>
      <c r="H934" s="450">
        <f t="shared" si="432"/>
        <v>53.152906719717052</v>
      </c>
    </row>
    <row r="935" spans="1:8" ht="43.5" customHeight="1" x14ac:dyDescent="0.25">
      <c r="A935" s="31" t="s">
        <v>259</v>
      </c>
      <c r="B935" s="454" t="s">
        <v>244</v>
      </c>
      <c r="C935" s="454" t="s">
        <v>120</v>
      </c>
      <c r="D935" s="454" t="s">
        <v>925</v>
      </c>
      <c r="E935" s="454"/>
      <c r="F935" s="451">
        <f>F936+F938</f>
        <v>3619.2000000000007</v>
      </c>
      <c r="G935" s="451">
        <f t="shared" ref="G935" si="444">G936+G938</f>
        <v>1923.71</v>
      </c>
      <c r="H935" s="451">
        <f t="shared" si="432"/>
        <v>53.152906719717052</v>
      </c>
    </row>
    <row r="936" spans="1:8" ht="78.75" x14ac:dyDescent="0.25">
      <c r="A936" s="458" t="s">
        <v>127</v>
      </c>
      <c r="B936" s="454" t="s">
        <v>244</v>
      </c>
      <c r="C936" s="454" t="s">
        <v>120</v>
      </c>
      <c r="D936" s="454" t="s">
        <v>925</v>
      </c>
      <c r="E936" s="454" t="s">
        <v>128</v>
      </c>
      <c r="F936" s="451">
        <f t="shared" ref="F936:G936" si="445">F937</f>
        <v>3313.0000000000005</v>
      </c>
      <c r="G936" s="451">
        <f t="shared" si="445"/>
        <v>1843.971</v>
      </c>
      <c r="H936" s="451">
        <f t="shared" si="432"/>
        <v>55.658647751282821</v>
      </c>
    </row>
    <row r="937" spans="1:8" ht="31.5" x14ac:dyDescent="0.25">
      <c r="A937" s="458" t="s">
        <v>129</v>
      </c>
      <c r="B937" s="454" t="s">
        <v>244</v>
      </c>
      <c r="C937" s="454" t="s">
        <v>120</v>
      </c>
      <c r="D937" s="454" t="s">
        <v>925</v>
      </c>
      <c r="E937" s="454" t="s">
        <v>130</v>
      </c>
      <c r="F937" s="451">
        <f>'Пр.4 ведом.21'!G237</f>
        <v>3313.0000000000005</v>
      </c>
      <c r="G937" s="451">
        <f>'Пр.4 ведом.21'!H237</f>
        <v>1843.971</v>
      </c>
      <c r="H937" s="451">
        <f t="shared" si="432"/>
        <v>55.658647751282821</v>
      </c>
    </row>
    <row r="938" spans="1:8" ht="32.25" customHeight="1" x14ac:dyDescent="0.25">
      <c r="A938" s="458" t="s">
        <v>131</v>
      </c>
      <c r="B938" s="454" t="s">
        <v>244</v>
      </c>
      <c r="C938" s="454" t="s">
        <v>120</v>
      </c>
      <c r="D938" s="454" t="s">
        <v>925</v>
      </c>
      <c r="E938" s="454" t="s">
        <v>132</v>
      </c>
      <c r="F938" s="451">
        <f t="shared" ref="F938:G938" si="446">F939</f>
        <v>306.20000000000005</v>
      </c>
      <c r="G938" s="451">
        <f t="shared" si="446"/>
        <v>79.739000000000004</v>
      </c>
      <c r="H938" s="451">
        <f t="shared" si="432"/>
        <v>26.041476159372955</v>
      </c>
    </row>
    <row r="939" spans="1:8" ht="31.7" customHeight="1" x14ac:dyDescent="0.25">
      <c r="A939" s="458" t="s">
        <v>133</v>
      </c>
      <c r="B939" s="454" t="s">
        <v>244</v>
      </c>
      <c r="C939" s="454" t="s">
        <v>120</v>
      </c>
      <c r="D939" s="454" t="s">
        <v>925</v>
      </c>
      <c r="E939" s="454" t="s">
        <v>134</v>
      </c>
      <c r="F939" s="451">
        <f>'Пр.4 ведом.21'!G239</f>
        <v>306.20000000000005</v>
      </c>
      <c r="G939" s="451">
        <f>'Пр.4 ведом.21'!H239</f>
        <v>79.739000000000004</v>
      </c>
      <c r="H939" s="451">
        <f t="shared" si="432"/>
        <v>26.041476159372955</v>
      </c>
    </row>
    <row r="940" spans="1:8" s="200" customFormat="1" ht="15" customHeight="1" x14ac:dyDescent="0.25">
      <c r="A940" s="456" t="s">
        <v>141</v>
      </c>
      <c r="B940" s="457" t="s">
        <v>244</v>
      </c>
      <c r="C940" s="457" t="s">
        <v>120</v>
      </c>
      <c r="D940" s="457" t="s">
        <v>866</v>
      </c>
      <c r="E940" s="457"/>
      <c r="F940" s="450">
        <f>F941</f>
        <v>71</v>
      </c>
      <c r="G940" s="450">
        <f t="shared" ref="G940:G943" si="447">G941</f>
        <v>0</v>
      </c>
      <c r="H940" s="450">
        <f t="shared" si="432"/>
        <v>0</v>
      </c>
    </row>
    <row r="941" spans="1:8" ht="37.5" customHeight="1" x14ac:dyDescent="0.25">
      <c r="A941" s="456" t="s">
        <v>870</v>
      </c>
      <c r="B941" s="457" t="s">
        <v>244</v>
      </c>
      <c r="C941" s="457" t="s">
        <v>120</v>
      </c>
      <c r="D941" s="457" t="s">
        <v>865</v>
      </c>
      <c r="E941" s="457"/>
      <c r="F941" s="450">
        <f>F942</f>
        <v>71</v>
      </c>
      <c r="G941" s="450">
        <f t="shared" si="447"/>
        <v>0</v>
      </c>
      <c r="H941" s="450">
        <f t="shared" si="432"/>
        <v>0</v>
      </c>
    </row>
    <row r="942" spans="1:8" ht="15.75" customHeight="1" x14ac:dyDescent="0.25">
      <c r="A942" s="458" t="s">
        <v>572</v>
      </c>
      <c r="B942" s="454" t="s">
        <v>244</v>
      </c>
      <c r="C942" s="454" t="s">
        <v>120</v>
      </c>
      <c r="D942" s="454" t="s">
        <v>985</v>
      </c>
      <c r="E942" s="454"/>
      <c r="F942" s="451">
        <f>F943</f>
        <v>71</v>
      </c>
      <c r="G942" s="451">
        <f t="shared" si="447"/>
        <v>0</v>
      </c>
      <c r="H942" s="451">
        <f t="shared" si="432"/>
        <v>0</v>
      </c>
    </row>
    <row r="943" spans="1:8" ht="31.7" customHeight="1" x14ac:dyDescent="0.25">
      <c r="A943" s="458" t="s">
        <v>131</v>
      </c>
      <c r="B943" s="454" t="s">
        <v>244</v>
      </c>
      <c r="C943" s="454" t="s">
        <v>120</v>
      </c>
      <c r="D943" s="454" t="s">
        <v>985</v>
      </c>
      <c r="E943" s="454" t="s">
        <v>132</v>
      </c>
      <c r="F943" s="451">
        <f>F944</f>
        <v>71</v>
      </c>
      <c r="G943" s="451">
        <f t="shared" si="447"/>
        <v>0</v>
      </c>
      <c r="H943" s="451">
        <f t="shared" si="432"/>
        <v>0</v>
      </c>
    </row>
    <row r="944" spans="1:8" ht="35.450000000000003" customHeight="1" x14ac:dyDescent="0.25">
      <c r="A944" s="458" t="s">
        <v>133</v>
      </c>
      <c r="B944" s="454" t="s">
        <v>244</v>
      </c>
      <c r="C944" s="454" t="s">
        <v>120</v>
      </c>
      <c r="D944" s="454" t="s">
        <v>985</v>
      </c>
      <c r="E944" s="454" t="s">
        <v>134</v>
      </c>
      <c r="F944" s="451">
        <f>'Пр.4 ведом.21'!G1114</f>
        <v>71</v>
      </c>
      <c r="G944" s="451">
        <f>'Пр.4 ведом.21'!H1114</f>
        <v>0</v>
      </c>
      <c r="H944" s="451">
        <f t="shared" si="432"/>
        <v>0</v>
      </c>
    </row>
    <row r="945" spans="1:12" ht="15.75" x14ac:dyDescent="0.25">
      <c r="A945" s="462" t="s">
        <v>490</v>
      </c>
      <c r="B945" s="7" t="s">
        <v>491</v>
      </c>
      <c r="C945" s="461"/>
      <c r="D945" s="461"/>
      <c r="E945" s="461"/>
      <c r="F945" s="450">
        <f>F946+F989</f>
        <v>71500.53</v>
      </c>
      <c r="G945" s="450">
        <f t="shared" ref="G945" si="448">G946+G989</f>
        <v>48420.407000000007</v>
      </c>
      <c r="H945" s="450">
        <f t="shared" si="432"/>
        <v>67.720346968057456</v>
      </c>
      <c r="K945" s="227">
        <f>F945-F972-'Пр.4 ведом.21'!T1148</f>
        <v>70037.03</v>
      </c>
      <c r="L945" s="227">
        <f>F972+F981-'Пр.4 ведом.21'!T1147</f>
        <v>1463.5</v>
      </c>
    </row>
    <row r="946" spans="1:12" ht="15.75" x14ac:dyDescent="0.25">
      <c r="A946" s="456" t="s">
        <v>492</v>
      </c>
      <c r="B946" s="457" t="s">
        <v>491</v>
      </c>
      <c r="C946" s="457" t="s">
        <v>118</v>
      </c>
      <c r="D946" s="454"/>
      <c r="E946" s="454"/>
      <c r="F946" s="450">
        <f>F947+F984</f>
        <v>58489.630000000005</v>
      </c>
      <c r="G946" s="450">
        <f t="shared" ref="G946" si="449">G947+G984</f>
        <v>39335.821000000004</v>
      </c>
      <c r="H946" s="450">
        <f t="shared" si="432"/>
        <v>67.252641194686987</v>
      </c>
      <c r="I946" s="22"/>
      <c r="J946" s="22"/>
    </row>
    <row r="947" spans="1:12" ht="47.25" x14ac:dyDescent="0.25">
      <c r="A947" s="456" t="s">
        <v>1372</v>
      </c>
      <c r="B947" s="457" t="s">
        <v>491</v>
      </c>
      <c r="C947" s="457" t="s">
        <v>118</v>
      </c>
      <c r="D947" s="457" t="s">
        <v>482</v>
      </c>
      <c r="E947" s="457"/>
      <c r="F947" s="450">
        <f>F948+F952+F965+F972+F980+F976</f>
        <v>57932.83</v>
      </c>
      <c r="G947" s="450">
        <f t="shared" ref="G947" si="450">G948+G952+G965+G972+G980+G976</f>
        <v>38981.867000000006</v>
      </c>
      <c r="H947" s="450">
        <f t="shared" si="432"/>
        <v>67.288042030744919</v>
      </c>
    </row>
    <row r="948" spans="1:12" ht="31.5" x14ac:dyDescent="0.25">
      <c r="A948" s="456" t="s">
        <v>937</v>
      </c>
      <c r="B948" s="457" t="s">
        <v>491</v>
      </c>
      <c r="C948" s="457" t="s">
        <v>118</v>
      </c>
      <c r="D948" s="457" t="s">
        <v>1264</v>
      </c>
      <c r="E948" s="457"/>
      <c r="F948" s="450">
        <f>F949</f>
        <v>48905</v>
      </c>
      <c r="G948" s="450">
        <f t="shared" ref="G948:G950" si="451">G949</f>
        <v>35758.855000000003</v>
      </c>
      <c r="H948" s="450">
        <f t="shared" si="432"/>
        <v>73.119016460484616</v>
      </c>
    </row>
    <row r="949" spans="1:12" ht="31.5" x14ac:dyDescent="0.25">
      <c r="A949" s="458" t="s">
        <v>1294</v>
      </c>
      <c r="B949" s="454" t="s">
        <v>491</v>
      </c>
      <c r="C949" s="454" t="s">
        <v>118</v>
      </c>
      <c r="D949" s="454" t="s">
        <v>1265</v>
      </c>
      <c r="E949" s="454"/>
      <c r="F949" s="451">
        <f>F950</f>
        <v>48905</v>
      </c>
      <c r="G949" s="451">
        <f t="shared" si="451"/>
        <v>35758.855000000003</v>
      </c>
      <c r="H949" s="451">
        <f t="shared" si="432"/>
        <v>73.119016460484616</v>
      </c>
    </row>
    <row r="950" spans="1:12" ht="47.25" x14ac:dyDescent="0.25">
      <c r="A950" s="458" t="s">
        <v>272</v>
      </c>
      <c r="B950" s="454" t="s">
        <v>491</v>
      </c>
      <c r="C950" s="454" t="s">
        <v>118</v>
      </c>
      <c r="D950" s="454" t="s">
        <v>1265</v>
      </c>
      <c r="E950" s="454" t="s">
        <v>273</v>
      </c>
      <c r="F950" s="451">
        <f>F951</f>
        <v>48905</v>
      </c>
      <c r="G950" s="451">
        <f t="shared" si="451"/>
        <v>35758.855000000003</v>
      </c>
      <c r="H950" s="451">
        <f t="shared" si="432"/>
        <v>73.119016460484616</v>
      </c>
    </row>
    <row r="951" spans="1:12" ht="15.75" x14ac:dyDescent="0.25">
      <c r="A951" s="458" t="s">
        <v>274</v>
      </c>
      <c r="B951" s="454" t="s">
        <v>491</v>
      </c>
      <c r="C951" s="454" t="s">
        <v>118</v>
      </c>
      <c r="D951" s="454" t="s">
        <v>1265</v>
      </c>
      <c r="E951" s="454" t="s">
        <v>275</v>
      </c>
      <c r="F951" s="451">
        <f>'Пр.4 ведом.21'!G810</f>
        <v>48905</v>
      </c>
      <c r="G951" s="451">
        <f>'Пр.4 ведом.21'!H810</f>
        <v>35758.855000000003</v>
      </c>
      <c r="H951" s="451">
        <f t="shared" si="432"/>
        <v>73.119016460484616</v>
      </c>
    </row>
    <row r="952" spans="1:12" ht="31.5" x14ac:dyDescent="0.25">
      <c r="A952" s="456" t="s">
        <v>945</v>
      </c>
      <c r="B952" s="457" t="s">
        <v>491</v>
      </c>
      <c r="C952" s="457" t="s">
        <v>118</v>
      </c>
      <c r="D952" s="457" t="s">
        <v>1266</v>
      </c>
      <c r="E952" s="457"/>
      <c r="F952" s="450">
        <f>F953+F956+F959+F962</f>
        <v>1268.9000000000001</v>
      </c>
      <c r="G952" s="450">
        <f t="shared" ref="G952" si="452">G953+G956+G959+G962</f>
        <v>1210.472</v>
      </c>
      <c r="H952" s="450">
        <f t="shared" si="432"/>
        <v>95.395381826779087</v>
      </c>
    </row>
    <row r="953" spans="1:12" ht="31.5" x14ac:dyDescent="0.25">
      <c r="A953" s="458" t="s">
        <v>278</v>
      </c>
      <c r="B953" s="454" t="s">
        <v>491</v>
      </c>
      <c r="C953" s="454" t="s">
        <v>118</v>
      </c>
      <c r="D953" s="454" t="s">
        <v>1324</v>
      </c>
      <c r="E953" s="454"/>
      <c r="F953" s="451">
        <f t="shared" ref="F953:G953" si="453">F954</f>
        <v>232.9</v>
      </c>
      <c r="G953" s="451">
        <f t="shared" si="453"/>
        <v>231.904</v>
      </c>
      <c r="H953" s="451">
        <f t="shared" si="432"/>
        <v>99.572348647488184</v>
      </c>
    </row>
    <row r="954" spans="1:12" ht="47.25" x14ac:dyDescent="0.25">
      <c r="A954" s="458" t="s">
        <v>272</v>
      </c>
      <c r="B954" s="454" t="s">
        <v>491</v>
      </c>
      <c r="C954" s="454" t="s">
        <v>118</v>
      </c>
      <c r="D954" s="454" t="s">
        <v>1324</v>
      </c>
      <c r="E954" s="454" t="s">
        <v>273</v>
      </c>
      <c r="F954" s="451">
        <f>'Пр.4 ведом.21'!G814</f>
        <v>232.9</v>
      </c>
      <c r="G954" s="451">
        <f>'Пр.4 ведом.21'!H814</f>
        <v>231.904</v>
      </c>
      <c r="H954" s="451">
        <f t="shared" si="432"/>
        <v>99.572348647488184</v>
      </c>
    </row>
    <row r="955" spans="1:12" ht="20.25" customHeight="1" x14ac:dyDescent="0.25">
      <c r="A955" s="458" t="s">
        <v>274</v>
      </c>
      <c r="B955" s="454" t="s">
        <v>491</v>
      </c>
      <c r="C955" s="454" t="s">
        <v>118</v>
      </c>
      <c r="D955" s="454" t="s">
        <v>1324</v>
      </c>
      <c r="E955" s="454" t="s">
        <v>275</v>
      </c>
      <c r="F955" s="451">
        <f>'Пр.4 ведом.21'!G814</f>
        <v>232.9</v>
      </c>
      <c r="G955" s="451">
        <f>'Пр.4 ведом.21'!H814</f>
        <v>231.904</v>
      </c>
      <c r="H955" s="451">
        <f t="shared" si="432"/>
        <v>99.572348647488184</v>
      </c>
    </row>
    <row r="956" spans="1:12" ht="33" customHeight="1" x14ac:dyDescent="0.25">
      <c r="A956" s="458" t="s">
        <v>280</v>
      </c>
      <c r="B956" s="454" t="s">
        <v>491</v>
      </c>
      <c r="C956" s="454" t="s">
        <v>118</v>
      </c>
      <c r="D956" s="454" t="s">
        <v>1325</v>
      </c>
      <c r="E956" s="454"/>
      <c r="F956" s="451">
        <f t="shared" ref="F956:G956" si="454">F957</f>
        <v>700</v>
      </c>
      <c r="G956" s="451">
        <f t="shared" si="454"/>
        <v>642.56799999999998</v>
      </c>
      <c r="H956" s="451">
        <f t="shared" si="432"/>
        <v>91.795428571428573</v>
      </c>
    </row>
    <row r="957" spans="1:12" ht="37.5" customHeight="1" x14ac:dyDescent="0.25">
      <c r="A957" s="458" t="s">
        <v>272</v>
      </c>
      <c r="B957" s="454" t="s">
        <v>491</v>
      </c>
      <c r="C957" s="454" t="s">
        <v>118</v>
      </c>
      <c r="D957" s="454" t="s">
        <v>1325</v>
      </c>
      <c r="E957" s="454" t="s">
        <v>273</v>
      </c>
      <c r="F957" s="451">
        <f>'Пр.4 ведом.21'!G817</f>
        <v>700</v>
      </c>
      <c r="G957" s="451">
        <f>'Пр.4 ведом.21'!H817</f>
        <v>642.56799999999998</v>
      </c>
      <c r="H957" s="451">
        <f t="shared" si="432"/>
        <v>91.795428571428573</v>
      </c>
    </row>
    <row r="958" spans="1:12" s="200" customFormat="1" ht="15.75" customHeight="1" x14ac:dyDescent="0.25">
      <c r="A958" s="458" t="s">
        <v>274</v>
      </c>
      <c r="B958" s="454" t="s">
        <v>491</v>
      </c>
      <c r="C958" s="454" t="s">
        <v>118</v>
      </c>
      <c r="D958" s="454" t="s">
        <v>1325</v>
      </c>
      <c r="E958" s="454" t="s">
        <v>275</v>
      </c>
      <c r="F958" s="451">
        <f>'Пр.4 ведом.21'!G817</f>
        <v>700</v>
      </c>
      <c r="G958" s="451">
        <f>'Пр.4 ведом.21'!H817</f>
        <v>642.56799999999998</v>
      </c>
      <c r="H958" s="451">
        <f t="shared" si="432"/>
        <v>91.795428571428573</v>
      </c>
    </row>
    <row r="959" spans="1:12" s="200" customFormat="1" ht="20.25" customHeight="1" x14ac:dyDescent="0.25">
      <c r="A959" s="458" t="s">
        <v>830</v>
      </c>
      <c r="B959" s="454" t="s">
        <v>491</v>
      </c>
      <c r="C959" s="454" t="s">
        <v>118</v>
      </c>
      <c r="D959" s="454" t="s">
        <v>1267</v>
      </c>
      <c r="E959" s="454"/>
      <c r="F959" s="451">
        <f>F960</f>
        <v>36</v>
      </c>
      <c r="G959" s="451">
        <f t="shared" ref="G959" si="455">G960</f>
        <v>36</v>
      </c>
      <c r="H959" s="451">
        <f t="shared" si="432"/>
        <v>100</v>
      </c>
    </row>
    <row r="960" spans="1:12" s="200" customFormat="1" ht="33" customHeight="1" x14ac:dyDescent="0.25">
      <c r="A960" s="458" t="s">
        <v>272</v>
      </c>
      <c r="B960" s="454" t="s">
        <v>491</v>
      </c>
      <c r="C960" s="454" t="s">
        <v>118</v>
      </c>
      <c r="D960" s="454" t="s">
        <v>1267</v>
      </c>
      <c r="E960" s="454" t="s">
        <v>273</v>
      </c>
      <c r="F960" s="451">
        <f>'Пр.4 ведом.21'!G820</f>
        <v>36</v>
      </c>
      <c r="G960" s="451">
        <f>'Пр.4 ведом.21'!H820</f>
        <v>36</v>
      </c>
      <c r="H960" s="451">
        <f t="shared" si="432"/>
        <v>100</v>
      </c>
    </row>
    <row r="961" spans="1:8" ht="20.25" customHeight="1" x14ac:dyDescent="0.25">
      <c r="A961" s="458" t="s">
        <v>274</v>
      </c>
      <c r="B961" s="454" t="s">
        <v>491</v>
      </c>
      <c r="C961" s="454" t="s">
        <v>118</v>
      </c>
      <c r="D961" s="454" t="s">
        <v>1267</v>
      </c>
      <c r="E961" s="454" t="s">
        <v>275</v>
      </c>
      <c r="F961" s="451">
        <f>'Пр.4 ведом.21'!G820</f>
        <v>36</v>
      </c>
      <c r="G961" s="451">
        <f>'Пр.4 ведом.21'!H820</f>
        <v>36</v>
      </c>
      <c r="H961" s="451">
        <f t="shared" si="432"/>
        <v>100</v>
      </c>
    </row>
    <row r="962" spans="1:8" s="449" customFormat="1" ht="39.75" customHeight="1" x14ac:dyDescent="0.25">
      <c r="A962" s="458" t="s">
        <v>287</v>
      </c>
      <c r="B962" s="454" t="s">
        <v>491</v>
      </c>
      <c r="C962" s="454" t="s">
        <v>118</v>
      </c>
      <c r="D962" s="454" t="s">
        <v>1733</v>
      </c>
      <c r="E962" s="454"/>
      <c r="F962" s="451">
        <f>F963</f>
        <v>300</v>
      </c>
      <c r="G962" s="451">
        <f t="shared" ref="G962:G963" si="456">G963</f>
        <v>300</v>
      </c>
      <c r="H962" s="451">
        <f t="shared" si="432"/>
        <v>100</v>
      </c>
    </row>
    <row r="963" spans="1:8" s="449" customFormat="1" ht="35.25" customHeight="1" x14ac:dyDescent="0.25">
      <c r="A963" s="458" t="s">
        <v>272</v>
      </c>
      <c r="B963" s="454" t="s">
        <v>491</v>
      </c>
      <c r="C963" s="454" t="s">
        <v>118</v>
      </c>
      <c r="D963" s="454" t="s">
        <v>1733</v>
      </c>
      <c r="E963" s="454" t="s">
        <v>273</v>
      </c>
      <c r="F963" s="451">
        <f>F964</f>
        <v>300</v>
      </c>
      <c r="G963" s="451">
        <f t="shared" si="456"/>
        <v>300</v>
      </c>
      <c r="H963" s="451">
        <f t="shared" si="432"/>
        <v>100</v>
      </c>
    </row>
    <row r="964" spans="1:8" s="449" customFormat="1" ht="20.25" customHeight="1" x14ac:dyDescent="0.25">
      <c r="A964" s="458" t="s">
        <v>274</v>
      </c>
      <c r="B964" s="454" t="s">
        <v>491</v>
      </c>
      <c r="C964" s="454" t="s">
        <v>118</v>
      </c>
      <c r="D964" s="454" t="s">
        <v>1733</v>
      </c>
      <c r="E964" s="454" t="s">
        <v>275</v>
      </c>
      <c r="F964" s="451">
        <f>'Пр.4 ведом.21'!G823</f>
        <v>300</v>
      </c>
      <c r="G964" s="451">
        <f>'Пр.4 ведом.21'!H823</f>
        <v>300</v>
      </c>
      <c r="H964" s="451">
        <f t="shared" si="432"/>
        <v>100</v>
      </c>
    </row>
    <row r="965" spans="1:8" ht="33" customHeight="1" x14ac:dyDescent="0.25">
      <c r="A965" s="456" t="s">
        <v>947</v>
      </c>
      <c r="B965" s="457" t="s">
        <v>491</v>
      </c>
      <c r="C965" s="457" t="s">
        <v>118</v>
      </c>
      <c r="D965" s="457" t="s">
        <v>1268</v>
      </c>
      <c r="E965" s="457"/>
      <c r="F965" s="450">
        <f>F966+F969</f>
        <v>1204</v>
      </c>
      <c r="G965" s="450">
        <f t="shared" ref="G965" si="457">G966+G969</f>
        <v>746.33699999999999</v>
      </c>
      <c r="H965" s="450">
        <f t="shared" si="432"/>
        <v>61.988122923588037</v>
      </c>
    </row>
    <row r="966" spans="1:8" ht="39.200000000000003" customHeight="1" x14ac:dyDescent="0.25">
      <c r="A966" s="458" t="s">
        <v>791</v>
      </c>
      <c r="B966" s="454" t="s">
        <v>491</v>
      </c>
      <c r="C966" s="454" t="s">
        <v>118</v>
      </c>
      <c r="D966" s="454" t="s">
        <v>1306</v>
      </c>
      <c r="E966" s="454"/>
      <c r="F966" s="451">
        <f>'Пр.4 ведом.21'!G827</f>
        <v>73.7</v>
      </c>
      <c r="G966" s="451">
        <f>'Пр.4 ведом.21'!H827</f>
        <v>73.72</v>
      </c>
      <c r="H966" s="451">
        <f t="shared" si="432"/>
        <v>100.02713704206241</v>
      </c>
    </row>
    <row r="967" spans="1:8" ht="40.700000000000003" customHeight="1" x14ac:dyDescent="0.25">
      <c r="A967" s="458" t="s">
        <v>272</v>
      </c>
      <c r="B967" s="454" t="s">
        <v>491</v>
      </c>
      <c r="C967" s="454" t="s">
        <v>118</v>
      </c>
      <c r="D967" s="454" t="s">
        <v>1306</v>
      </c>
      <c r="E967" s="454" t="s">
        <v>273</v>
      </c>
      <c r="F967" s="451">
        <f t="shared" ref="F967:G967" si="458">F968</f>
        <v>73.7</v>
      </c>
      <c r="G967" s="451">
        <f t="shared" si="458"/>
        <v>73.72</v>
      </c>
      <c r="H967" s="451">
        <f t="shared" si="432"/>
        <v>100.02713704206241</v>
      </c>
    </row>
    <row r="968" spans="1:8" ht="15.75" customHeight="1" x14ac:dyDescent="0.25">
      <c r="A968" s="458" t="s">
        <v>274</v>
      </c>
      <c r="B968" s="454" t="s">
        <v>491</v>
      </c>
      <c r="C968" s="454" t="s">
        <v>118</v>
      </c>
      <c r="D968" s="454" t="s">
        <v>1306</v>
      </c>
      <c r="E968" s="454" t="s">
        <v>275</v>
      </c>
      <c r="F968" s="451">
        <f>'Пр.4 ведом.21'!G827</f>
        <v>73.7</v>
      </c>
      <c r="G968" s="451">
        <f>'Пр.4 ведом.21'!H827</f>
        <v>73.72</v>
      </c>
      <c r="H968" s="451">
        <f t="shared" si="432"/>
        <v>100.02713704206241</v>
      </c>
    </row>
    <row r="969" spans="1:8" ht="34.5" customHeight="1" x14ac:dyDescent="0.25">
      <c r="A969" s="45" t="s">
        <v>764</v>
      </c>
      <c r="B969" s="454" t="s">
        <v>491</v>
      </c>
      <c r="C969" s="454" t="s">
        <v>118</v>
      </c>
      <c r="D969" s="454" t="s">
        <v>1269</v>
      </c>
      <c r="E969" s="454"/>
      <c r="F969" s="451">
        <f>'Пр.4 ведом.21'!G830</f>
        <v>1130.3</v>
      </c>
      <c r="G969" s="451">
        <f>'Пр.4 ведом.21'!H830</f>
        <v>672.61699999999996</v>
      </c>
      <c r="H969" s="451">
        <f t="shared" si="432"/>
        <v>59.507829779704501</v>
      </c>
    </row>
    <row r="970" spans="1:8" ht="39.75" customHeight="1" x14ac:dyDescent="0.25">
      <c r="A970" s="31" t="s">
        <v>272</v>
      </c>
      <c r="B970" s="454" t="s">
        <v>491</v>
      </c>
      <c r="C970" s="454" t="s">
        <v>118</v>
      </c>
      <c r="D970" s="454" t="s">
        <v>1269</v>
      </c>
      <c r="E970" s="454" t="s">
        <v>273</v>
      </c>
      <c r="F970" s="451">
        <f>F971</f>
        <v>1130.3</v>
      </c>
      <c r="G970" s="451">
        <f t="shared" ref="G970" si="459">G971</f>
        <v>672.61699999999996</v>
      </c>
      <c r="H970" s="451">
        <f t="shared" si="432"/>
        <v>59.507829779704501</v>
      </c>
    </row>
    <row r="971" spans="1:8" ht="15.75" x14ac:dyDescent="0.25">
      <c r="A971" s="31" t="s">
        <v>274</v>
      </c>
      <c r="B971" s="454" t="s">
        <v>491</v>
      </c>
      <c r="C971" s="454" t="s">
        <v>118</v>
      </c>
      <c r="D971" s="454" t="s">
        <v>1269</v>
      </c>
      <c r="E971" s="454" t="s">
        <v>275</v>
      </c>
      <c r="F971" s="451">
        <f>'Пр.4 ведом.21'!G830</f>
        <v>1130.3</v>
      </c>
      <c r="G971" s="451">
        <f>'Пр.4 ведом.21'!H830</f>
        <v>672.61699999999996</v>
      </c>
      <c r="H971" s="451">
        <f t="shared" ref="H971:H1034" si="460">G971/F971*100</f>
        <v>59.507829779704501</v>
      </c>
    </row>
    <row r="972" spans="1:8" ht="47.25" x14ac:dyDescent="0.25">
      <c r="A972" s="456" t="s">
        <v>900</v>
      </c>
      <c r="B972" s="457" t="s">
        <v>491</v>
      </c>
      <c r="C972" s="457" t="s">
        <v>118</v>
      </c>
      <c r="D972" s="457" t="s">
        <v>1270</v>
      </c>
      <c r="E972" s="457"/>
      <c r="F972" s="450">
        <f>F973</f>
        <v>763.5</v>
      </c>
      <c r="G972" s="450">
        <f t="shared" ref="G972:G973" si="461">G973</f>
        <v>496.97300000000001</v>
      </c>
      <c r="H972" s="450">
        <f t="shared" si="460"/>
        <v>65.091421087098894</v>
      </c>
    </row>
    <row r="973" spans="1:8" ht="103.7" customHeight="1" x14ac:dyDescent="0.25">
      <c r="A973" s="31" t="s">
        <v>464</v>
      </c>
      <c r="B973" s="454" t="s">
        <v>491</v>
      </c>
      <c r="C973" s="454" t="s">
        <v>118</v>
      </c>
      <c r="D973" s="454" t="s">
        <v>1405</v>
      </c>
      <c r="E973" s="454"/>
      <c r="F973" s="451">
        <f>F974</f>
        <v>763.5</v>
      </c>
      <c r="G973" s="451">
        <f t="shared" si="461"/>
        <v>496.97300000000001</v>
      </c>
      <c r="H973" s="451">
        <f t="shared" si="460"/>
        <v>65.091421087098894</v>
      </c>
    </row>
    <row r="974" spans="1:8" ht="47.25" x14ac:dyDescent="0.25">
      <c r="A974" s="458" t="s">
        <v>272</v>
      </c>
      <c r="B974" s="454" t="s">
        <v>491</v>
      </c>
      <c r="C974" s="454" t="s">
        <v>118</v>
      </c>
      <c r="D974" s="454" t="s">
        <v>1405</v>
      </c>
      <c r="E974" s="454" t="s">
        <v>273</v>
      </c>
      <c r="F974" s="451">
        <f t="shared" ref="F974:G987" si="462">F975</f>
        <v>763.5</v>
      </c>
      <c r="G974" s="451">
        <f t="shared" si="462"/>
        <v>496.97300000000001</v>
      </c>
      <c r="H974" s="451">
        <f t="shared" si="460"/>
        <v>65.091421087098894</v>
      </c>
    </row>
    <row r="975" spans="1:8" ht="15.75" x14ac:dyDescent="0.25">
      <c r="A975" s="458" t="s">
        <v>274</v>
      </c>
      <c r="B975" s="454" t="s">
        <v>491</v>
      </c>
      <c r="C975" s="454" t="s">
        <v>118</v>
      </c>
      <c r="D975" s="454" t="s">
        <v>1405</v>
      </c>
      <c r="E975" s="454" t="s">
        <v>275</v>
      </c>
      <c r="F975" s="451">
        <f>'Пр.4 ведом.21'!G834</f>
        <v>763.5</v>
      </c>
      <c r="G975" s="451">
        <f>'Пр.4 ведом.21'!H834</f>
        <v>496.97300000000001</v>
      </c>
      <c r="H975" s="451">
        <f t="shared" si="460"/>
        <v>65.091421087098894</v>
      </c>
    </row>
    <row r="976" spans="1:8" s="449" customFormat="1" ht="47.25" x14ac:dyDescent="0.25">
      <c r="A976" s="456" t="s">
        <v>1707</v>
      </c>
      <c r="B976" s="457" t="s">
        <v>491</v>
      </c>
      <c r="C976" s="457" t="s">
        <v>118</v>
      </c>
      <c r="D976" s="457" t="s">
        <v>1705</v>
      </c>
      <c r="E976" s="457"/>
      <c r="F976" s="450">
        <f>F977</f>
        <v>5022.2</v>
      </c>
      <c r="G976" s="450">
        <f t="shared" ref="G976:G977" si="463">G977</f>
        <v>0</v>
      </c>
      <c r="H976" s="450">
        <f t="shared" si="460"/>
        <v>0</v>
      </c>
    </row>
    <row r="977" spans="1:8" s="449" customFormat="1" ht="55.5" customHeight="1" x14ac:dyDescent="0.25">
      <c r="A977" s="31" t="s">
        <v>1708</v>
      </c>
      <c r="B977" s="454" t="s">
        <v>491</v>
      </c>
      <c r="C977" s="454" t="s">
        <v>118</v>
      </c>
      <c r="D977" s="454" t="s">
        <v>1706</v>
      </c>
      <c r="E977" s="454"/>
      <c r="F977" s="451">
        <f>F978</f>
        <v>5022.2</v>
      </c>
      <c r="G977" s="451">
        <f t="shared" si="463"/>
        <v>0</v>
      </c>
      <c r="H977" s="451">
        <f t="shared" si="460"/>
        <v>0</v>
      </c>
    </row>
    <row r="978" spans="1:8" s="449" customFormat="1" ht="47.25" x14ac:dyDescent="0.25">
      <c r="A978" s="458" t="s">
        <v>272</v>
      </c>
      <c r="B978" s="454" t="s">
        <v>491</v>
      </c>
      <c r="C978" s="454" t="s">
        <v>118</v>
      </c>
      <c r="D978" s="454" t="s">
        <v>1706</v>
      </c>
      <c r="E978" s="454" t="s">
        <v>273</v>
      </c>
      <c r="F978" s="451">
        <f t="shared" si="462"/>
        <v>5022.2</v>
      </c>
      <c r="G978" s="451">
        <f t="shared" si="462"/>
        <v>0</v>
      </c>
      <c r="H978" s="451">
        <f t="shared" si="460"/>
        <v>0</v>
      </c>
    </row>
    <row r="979" spans="1:8" s="449" customFormat="1" ht="15.75" x14ac:dyDescent="0.25">
      <c r="A979" s="458" t="s">
        <v>274</v>
      </c>
      <c r="B979" s="454" t="s">
        <v>491</v>
      </c>
      <c r="C979" s="454" t="s">
        <v>118</v>
      </c>
      <c r="D979" s="454" t="s">
        <v>1706</v>
      </c>
      <c r="E979" s="454" t="s">
        <v>275</v>
      </c>
      <c r="F979" s="451">
        <f>'Пр.4 ведом.21'!G838</f>
        <v>5022.2</v>
      </c>
      <c r="G979" s="451">
        <f>'Пр.4 ведом.21'!H838</f>
        <v>0</v>
      </c>
      <c r="H979" s="451">
        <f t="shared" si="460"/>
        <v>0</v>
      </c>
    </row>
    <row r="980" spans="1:8" s="200" customFormat="1" ht="63" x14ac:dyDescent="0.25">
      <c r="A980" s="456" t="s">
        <v>1193</v>
      </c>
      <c r="B980" s="457" t="s">
        <v>491</v>
      </c>
      <c r="C980" s="457" t="s">
        <v>118</v>
      </c>
      <c r="D980" s="457" t="s">
        <v>1271</v>
      </c>
      <c r="E980" s="457"/>
      <c r="F980" s="450">
        <f>F981</f>
        <v>769.23</v>
      </c>
      <c r="G980" s="450">
        <f t="shared" ref="G980:G982" si="464">G981</f>
        <v>769.23</v>
      </c>
      <c r="H980" s="450">
        <f t="shared" si="460"/>
        <v>100</v>
      </c>
    </row>
    <row r="981" spans="1:8" s="200" customFormat="1" ht="63" x14ac:dyDescent="0.25">
      <c r="A981" s="458" t="s">
        <v>1195</v>
      </c>
      <c r="B981" s="454" t="s">
        <v>491</v>
      </c>
      <c r="C981" s="454" t="s">
        <v>118</v>
      </c>
      <c r="D981" s="454" t="s">
        <v>1326</v>
      </c>
      <c r="E981" s="454"/>
      <c r="F981" s="451">
        <f>F982</f>
        <v>769.23</v>
      </c>
      <c r="G981" s="451">
        <f t="shared" si="464"/>
        <v>769.23</v>
      </c>
      <c r="H981" s="451">
        <f t="shared" si="460"/>
        <v>100</v>
      </c>
    </row>
    <row r="982" spans="1:8" s="200" customFormat="1" ht="47.25" x14ac:dyDescent="0.25">
      <c r="A982" s="458" t="s">
        <v>272</v>
      </c>
      <c r="B982" s="454" t="s">
        <v>491</v>
      </c>
      <c r="C982" s="454" t="s">
        <v>118</v>
      </c>
      <c r="D982" s="454" t="s">
        <v>1326</v>
      </c>
      <c r="E982" s="454" t="s">
        <v>273</v>
      </c>
      <c r="F982" s="451">
        <f>F983</f>
        <v>769.23</v>
      </c>
      <c r="G982" s="451">
        <f t="shared" si="464"/>
        <v>769.23</v>
      </c>
      <c r="H982" s="451">
        <f t="shared" si="460"/>
        <v>100</v>
      </c>
    </row>
    <row r="983" spans="1:8" s="200" customFormat="1" ht="15.75" x14ac:dyDescent="0.25">
      <c r="A983" s="458" t="s">
        <v>274</v>
      </c>
      <c r="B983" s="454" t="s">
        <v>491</v>
      </c>
      <c r="C983" s="454" t="s">
        <v>118</v>
      </c>
      <c r="D983" s="454" t="s">
        <v>1326</v>
      </c>
      <c r="E983" s="454" t="s">
        <v>275</v>
      </c>
      <c r="F983" s="451">
        <f>'Пр.4 ведом.21'!G842</f>
        <v>769.23</v>
      </c>
      <c r="G983" s="451">
        <f>'Пр.4 ведом.21'!H842</f>
        <v>769.23</v>
      </c>
      <c r="H983" s="451">
        <f t="shared" si="460"/>
        <v>100</v>
      </c>
    </row>
    <row r="984" spans="1:8" ht="47.25" x14ac:dyDescent="0.25">
      <c r="A984" s="462" t="s">
        <v>1355</v>
      </c>
      <c r="B984" s="457" t="s">
        <v>491</v>
      </c>
      <c r="C984" s="457" t="s">
        <v>118</v>
      </c>
      <c r="D984" s="457" t="s">
        <v>705</v>
      </c>
      <c r="E984" s="465"/>
      <c r="F984" s="450">
        <f t="shared" si="462"/>
        <v>556.79999999999995</v>
      </c>
      <c r="G984" s="450">
        <f t="shared" si="462"/>
        <v>353.95400000000001</v>
      </c>
      <c r="H984" s="450">
        <f t="shared" si="460"/>
        <v>63.569324712643684</v>
      </c>
    </row>
    <row r="985" spans="1:8" ht="47.25" x14ac:dyDescent="0.25">
      <c r="A985" s="462" t="s">
        <v>890</v>
      </c>
      <c r="B985" s="457" t="s">
        <v>491</v>
      </c>
      <c r="C985" s="457" t="s">
        <v>118</v>
      </c>
      <c r="D985" s="457" t="s">
        <v>888</v>
      </c>
      <c r="E985" s="465"/>
      <c r="F985" s="450">
        <f>F986</f>
        <v>556.79999999999995</v>
      </c>
      <c r="G985" s="450">
        <f t="shared" si="462"/>
        <v>353.95400000000001</v>
      </c>
      <c r="H985" s="450">
        <f t="shared" si="460"/>
        <v>63.569324712643684</v>
      </c>
    </row>
    <row r="986" spans="1:8" ht="47.25" x14ac:dyDescent="0.25">
      <c r="A986" s="98" t="s">
        <v>780</v>
      </c>
      <c r="B986" s="454" t="s">
        <v>491</v>
      </c>
      <c r="C986" s="454" t="s">
        <v>118</v>
      </c>
      <c r="D986" s="454" t="s">
        <v>936</v>
      </c>
      <c r="E986" s="460"/>
      <c r="F986" s="451">
        <f>F987</f>
        <v>556.79999999999995</v>
      </c>
      <c r="G986" s="451">
        <f t="shared" si="462"/>
        <v>353.95400000000001</v>
      </c>
      <c r="H986" s="451">
        <f t="shared" si="460"/>
        <v>63.569324712643684</v>
      </c>
    </row>
    <row r="987" spans="1:8" ht="47.25" x14ac:dyDescent="0.25">
      <c r="A987" s="29" t="s">
        <v>272</v>
      </c>
      <c r="B987" s="454" t="s">
        <v>491</v>
      </c>
      <c r="C987" s="454" t="s">
        <v>118</v>
      </c>
      <c r="D987" s="454" t="s">
        <v>936</v>
      </c>
      <c r="E987" s="460" t="s">
        <v>273</v>
      </c>
      <c r="F987" s="451">
        <f>F988</f>
        <v>556.79999999999995</v>
      </c>
      <c r="G987" s="451">
        <f t="shared" si="462"/>
        <v>353.95400000000001</v>
      </c>
      <c r="H987" s="451">
        <f t="shared" si="460"/>
        <v>63.569324712643684</v>
      </c>
    </row>
    <row r="988" spans="1:8" ht="15.75" x14ac:dyDescent="0.25">
      <c r="A988" s="182" t="s">
        <v>274</v>
      </c>
      <c r="B988" s="454" t="s">
        <v>491</v>
      </c>
      <c r="C988" s="454" t="s">
        <v>118</v>
      </c>
      <c r="D988" s="454" t="s">
        <v>936</v>
      </c>
      <c r="E988" s="460" t="s">
        <v>275</v>
      </c>
      <c r="F988" s="451">
        <f>'Пр.4 ведом.21'!G847</f>
        <v>556.79999999999995</v>
      </c>
      <c r="G988" s="451">
        <f>'Пр.4 ведом.21'!H847</f>
        <v>353.95400000000001</v>
      </c>
      <c r="H988" s="451">
        <f t="shared" si="460"/>
        <v>63.569324712643684</v>
      </c>
    </row>
    <row r="989" spans="1:8" ht="31.5" x14ac:dyDescent="0.25">
      <c r="A989" s="456" t="s">
        <v>500</v>
      </c>
      <c r="B989" s="457" t="s">
        <v>491</v>
      </c>
      <c r="C989" s="457" t="s">
        <v>234</v>
      </c>
      <c r="D989" s="457"/>
      <c r="E989" s="457"/>
      <c r="F989" s="450">
        <f>F990+F998+F1010</f>
        <v>13010.900000000001</v>
      </c>
      <c r="G989" s="450">
        <f t="shared" ref="G989" si="465">G990+G998+G1010</f>
        <v>9084.5859999999993</v>
      </c>
      <c r="H989" s="450">
        <f t="shared" si="460"/>
        <v>69.822886964007097</v>
      </c>
    </row>
    <row r="990" spans="1:8" ht="31.5" x14ac:dyDescent="0.25">
      <c r="A990" s="456" t="s">
        <v>917</v>
      </c>
      <c r="B990" s="457" t="s">
        <v>491</v>
      </c>
      <c r="C990" s="457" t="s">
        <v>234</v>
      </c>
      <c r="D990" s="457" t="s">
        <v>858</v>
      </c>
      <c r="E990" s="457"/>
      <c r="F990" s="450">
        <f>F991</f>
        <v>5214.5</v>
      </c>
      <c r="G990" s="450">
        <f t="shared" ref="G990" si="466">G991</f>
        <v>3483.5710000000004</v>
      </c>
      <c r="H990" s="450">
        <f t="shared" si="460"/>
        <v>66.805465528813883</v>
      </c>
    </row>
    <row r="991" spans="1:8" ht="15.75" x14ac:dyDescent="0.25">
      <c r="A991" s="456" t="s">
        <v>918</v>
      </c>
      <c r="B991" s="457" t="s">
        <v>491</v>
      </c>
      <c r="C991" s="457" t="s">
        <v>234</v>
      </c>
      <c r="D991" s="457" t="s">
        <v>859</v>
      </c>
      <c r="E991" s="457"/>
      <c r="F991" s="450">
        <f>F992+F995</f>
        <v>5214.5</v>
      </c>
      <c r="G991" s="450">
        <f t="shared" ref="G991" si="467">G992+G995</f>
        <v>3483.5710000000004</v>
      </c>
      <c r="H991" s="450">
        <f t="shared" si="460"/>
        <v>66.805465528813883</v>
      </c>
    </row>
    <row r="992" spans="1:8" ht="31.5" x14ac:dyDescent="0.25">
      <c r="A992" s="458" t="s">
        <v>897</v>
      </c>
      <c r="B992" s="454" t="s">
        <v>491</v>
      </c>
      <c r="C992" s="454" t="s">
        <v>234</v>
      </c>
      <c r="D992" s="454" t="s">
        <v>860</v>
      </c>
      <c r="E992" s="454"/>
      <c r="F992" s="451">
        <f>F993</f>
        <v>4946.5</v>
      </c>
      <c r="G992" s="451">
        <f t="shared" ref="G992:G993" si="468">G993</f>
        <v>3469.3960000000002</v>
      </c>
      <c r="H992" s="451">
        <f t="shared" si="460"/>
        <v>70.138400889517854</v>
      </c>
    </row>
    <row r="993" spans="1:8" ht="78.75" x14ac:dyDescent="0.25">
      <c r="A993" s="458" t="s">
        <v>127</v>
      </c>
      <c r="B993" s="454" t="s">
        <v>491</v>
      </c>
      <c r="C993" s="454" t="s">
        <v>234</v>
      </c>
      <c r="D993" s="454" t="s">
        <v>860</v>
      </c>
      <c r="E993" s="454" t="s">
        <v>128</v>
      </c>
      <c r="F993" s="451">
        <f>F994</f>
        <v>4946.5</v>
      </c>
      <c r="G993" s="451">
        <f t="shared" si="468"/>
        <v>3469.3960000000002</v>
      </c>
      <c r="H993" s="451">
        <f t="shared" si="460"/>
        <v>70.138400889517854</v>
      </c>
    </row>
    <row r="994" spans="1:8" ht="31.5" x14ac:dyDescent="0.25">
      <c r="A994" s="458" t="s">
        <v>129</v>
      </c>
      <c r="B994" s="454" t="s">
        <v>491</v>
      </c>
      <c r="C994" s="454" t="s">
        <v>234</v>
      </c>
      <c r="D994" s="454" t="s">
        <v>860</v>
      </c>
      <c r="E994" s="454" t="s">
        <v>130</v>
      </c>
      <c r="F994" s="451">
        <f>'Пр.4 ведом.21'!G853</f>
        <v>4946.5</v>
      </c>
      <c r="G994" s="451">
        <f>'Пр.4 ведом.21'!H853</f>
        <v>3469.3960000000002</v>
      </c>
      <c r="H994" s="451">
        <f t="shared" si="460"/>
        <v>70.138400889517854</v>
      </c>
    </row>
    <row r="995" spans="1:8" ht="47.25" x14ac:dyDescent="0.25">
      <c r="A995" s="458" t="s">
        <v>839</v>
      </c>
      <c r="B995" s="454" t="s">
        <v>491</v>
      </c>
      <c r="C995" s="454" t="s">
        <v>234</v>
      </c>
      <c r="D995" s="454" t="s">
        <v>862</v>
      </c>
      <c r="E995" s="454"/>
      <c r="F995" s="451">
        <f>F996</f>
        <v>268</v>
      </c>
      <c r="G995" s="451">
        <f t="shared" ref="G995:G996" si="469">G996</f>
        <v>14.175000000000001</v>
      </c>
      <c r="H995" s="451">
        <f t="shared" si="460"/>
        <v>5.2891791044776122</v>
      </c>
    </row>
    <row r="996" spans="1:8" ht="78.75" x14ac:dyDescent="0.25">
      <c r="A996" s="458" t="s">
        <v>127</v>
      </c>
      <c r="B996" s="454" t="s">
        <v>491</v>
      </c>
      <c r="C996" s="454" t="s">
        <v>234</v>
      </c>
      <c r="D996" s="454" t="s">
        <v>862</v>
      </c>
      <c r="E996" s="454" t="s">
        <v>128</v>
      </c>
      <c r="F996" s="451">
        <f>F997</f>
        <v>268</v>
      </c>
      <c r="G996" s="451">
        <f t="shared" si="469"/>
        <v>14.175000000000001</v>
      </c>
      <c r="H996" s="451">
        <f t="shared" si="460"/>
        <v>5.2891791044776122</v>
      </c>
    </row>
    <row r="997" spans="1:8" ht="31.5" x14ac:dyDescent="0.25">
      <c r="A997" s="458" t="s">
        <v>129</v>
      </c>
      <c r="B997" s="454" t="s">
        <v>491</v>
      </c>
      <c r="C997" s="454" t="s">
        <v>234</v>
      </c>
      <c r="D997" s="454" t="s">
        <v>862</v>
      </c>
      <c r="E997" s="454" t="s">
        <v>130</v>
      </c>
      <c r="F997" s="451">
        <f>'Пр.4 ведом.21'!G856</f>
        <v>268</v>
      </c>
      <c r="G997" s="451">
        <f>'Пр.4 ведом.21'!H856</f>
        <v>14.175000000000001</v>
      </c>
      <c r="H997" s="451">
        <f t="shared" si="460"/>
        <v>5.2891791044776122</v>
      </c>
    </row>
    <row r="998" spans="1:8" ht="15.75" x14ac:dyDescent="0.25">
      <c r="A998" s="456" t="s">
        <v>141</v>
      </c>
      <c r="B998" s="457" t="s">
        <v>491</v>
      </c>
      <c r="C998" s="457" t="s">
        <v>234</v>
      </c>
      <c r="D998" s="457" t="s">
        <v>866</v>
      </c>
      <c r="E998" s="457"/>
      <c r="F998" s="450">
        <f>F999</f>
        <v>5314.7</v>
      </c>
      <c r="G998" s="450">
        <f t="shared" ref="G998" si="470">G999</f>
        <v>4400</v>
      </c>
      <c r="H998" s="450">
        <f t="shared" si="460"/>
        <v>82.78924492445482</v>
      </c>
    </row>
    <row r="999" spans="1:8" ht="31.5" x14ac:dyDescent="0.25">
      <c r="A999" s="456" t="s">
        <v>929</v>
      </c>
      <c r="B999" s="457" t="s">
        <v>491</v>
      </c>
      <c r="C999" s="457" t="s">
        <v>234</v>
      </c>
      <c r="D999" s="457" t="s">
        <v>914</v>
      </c>
      <c r="E999" s="457"/>
      <c r="F999" s="450">
        <f>F1000+F1007</f>
        <v>5314.7</v>
      </c>
      <c r="G999" s="450">
        <f t="shared" ref="G999" si="471">G1000+G1007</f>
        <v>4400</v>
      </c>
      <c r="H999" s="450">
        <f t="shared" si="460"/>
        <v>82.78924492445482</v>
      </c>
    </row>
    <row r="1000" spans="1:8" ht="31.5" x14ac:dyDescent="0.25">
      <c r="A1000" s="458" t="s">
        <v>903</v>
      </c>
      <c r="B1000" s="454" t="s">
        <v>491</v>
      </c>
      <c r="C1000" s="454" t="s">
        <v>234</v>
      </c>
      <c r="D1000" s="454" t="s">
        <v>915</v>
      </c>
      <c r="E1000" s="454"/>
      <c r="F1000" s="451">
        <f>F1001+F1003+F1005</f>
        <v>5067.2139999999999</v>
      </c>
      <c r="G1000" s="451">
        <f t="shared" ref="G1000" si="472">G1001+G1003+G1005</f>
        <v>4152.5739999999996</v>
      </c>
      <c r="H1000" s="451">
        <f t="shared" si="460"/>
        <v>81.949844628626295</v>
      </c>
    </row>
    <row r="1001" spans="1:8" ht="78.75" x14ac:dyDescent="0.25">
      <c r="A1001" s="458" t="s">
        <v>127</v>
      </c>
      <c r="B1001" s="454" t="s">
        <v>491</v>
      </c>
      <c r="C1001" s="454" t="s">
        <v>234</v>
      </c>
      <c r="D1001" s="454" t="s">
        <v>915</v>
      </c>
      <c r="E1001" s="454" t="s">
        <v>128</v>
      </c>
      <c r="F1001" s="451">
        <f>F1002</f>
        <v>4689.3999999999996</v>
      </c>
      <c r="G1001" s="451">
        <f t="shared" ref="G1001" si="473">G1002</f>
        <v>3977.69</v>
      </c>
      <c r="H1001" s="451">
        <f t="shared" si="460"/>
        <v>84.823005075276157</v>
      </c>
    </row>
    <row r="1002" spans="1:8" ht="21.75" customHeight="1" x14ac:dyDescent="0.25">
      <c r="A1002" s="458" t="s">
        <v>342</v>
      </c>
      <c r="B1002" s="454" t="s">
        <v>491</v>
      </c>
      <c r="C1002" s="454" t="s">
        <v>234</v>
      </c>
      <c r="D1002" s="454" t="s">
        <v>915</v>
      </c>
      <c r="E1002" s="454" t="s">
        <v>209</v>
      </c>
      <c r="F1002" s="451">
        <f>'Пр.4 ведом.21'!G861</f>
        <v>4689.3999999999996</v>
      </c>
      <c r="G1002" s="451">
        <f>'Пр.4 ведом.21'!H861</f>
        <v>3977.69</v>
      </c>
      <c r="H1002" s="451">
        <f t="shared" si="460"/>
        <v>84.823005075276157</v>
      </c>
    </row>
    <row r="1003" spans="1:8" ht="31.5" x14ac:dyDescent="0.25">
      <c r="A1003" s="458" t="s">
        <v>131</v>
      </c>
      <c r="B1003" s="454" t="s">
        <v>491</v>
      </c>
      <c r="C1003" s="454" t="s">
        <v>234</v>
      </c>
      <c r="D1003" s="454" t="s">
        <v>915</v>
      </c>
      <c r="E1003" s="454" t="s">
        <v>132</v>
      </c>
      <c r="F1003" s="451">
        <f t="shared" ref="F1003:G1003" si="474">F1004</f>
        <v>326.81400000000002</v>
      </c>
      <c r="G1003" s="451">
        <f t="shared" si="474"/>
        <v>172.38499999999999</v>
      </c>
      <c r="H1003" s="451">
        <f t="shared" si="460"/>
        <v>52.747128335995399</v>
      </c>
    </row>
    <row r="1004" spans="1:8" ht="47.25" x14ac:dyDescent="0.25">
      <c r="A1004" s="458" t="s">
        <v>133</v>
      </c>
      <c r="B1004" s="454" t="s">
        <v>491</v>
      </c>
      <c r="C1004" s="454" t="s">
        <v>234</v>
      </c>
      <c r="D1004" s="454" t="s">
        <v>915</v>
      </c>
      <c r="E1004" s="454" t="s">
        <v>134</v>
      </c>
      <c r="F1004" s="451">
        <f>'Пр.4 ведом.21'!G863</f>
        <v>326.81400000000002</v>
      </c>
      <c r="G1004" s="451">
        <f>'Пр.4 ведом.21'!H863</f>
        <v>172.38499999999999</v>
      </c>
      <c r="H1004" s="451">
        <f t="shared" si="460"/>
        <v>52.747128335995399</v>
      </c>
    </row>
    <row r="1005" spans="1:8" ht="15.75" x14ac:dyDescent="0.25">
      <c r="A1005" s="458" t="s">
        <v>135</v>
      </c>
      <c r="B1005" s="454" t="s">
        <v>491</v>
      </c>
      <c r="C1005" s="454" t="s">
        <v>234</v>
      </c>
      <c r="D1005" s="454" t="s">
        <v>915</v>
      </c>
      <c r="E1005" s="454" t="s">
        <v>145</v>
      </c>
      <c r="F1005" s="451">
        <f>F1006</f>
        <v>51</v>
      </c>
      <c r="G1005" s="451">
        <f t="shared" ref="G1005" si="475">G1006</f>
        <v>2.4990000000000001</v>
      </c>
      <c r="H1005" s="451">
        <f t="shared" si="460"/>
        <v>4.9000000000000004</v>
      </c>
    </row>
    <row r="1006" spans="1:8" ht="15.75" x14ac:dyDescent="0.25">
      <c r="A1006" s="458" t="s">
        <v>568</v>
      </c>
      <c r="B1006" s="454" t="s">
        <v>491</v>
      </c>
      <c r="C1006" s="454" t="s">
        <v>234</v>
      </c>
      <c r="D1006" s="454" t="s">
        <v>915</v>
      </c>
      <c r="E1006" s="454" t="s">
        <v>138</v>
      </c>
      <c r="F1006" s="451">
        <f>'Пр.4 ведом.21'!G865</f>
        <v>51</v>
      </c>
      <c r="G1006" s="451">
        <f>'Пр.4 ведом.21'!H865</f>
        <v>2.4990000000000001</v>
      </c>
      <c r="H1006" s="451">
        <f t="shared" si="460"/>
        <v>4.9000000000000004</v>
      </c>
    </row>
    <row r="1007" spans="1:8" ht="47.25" x14ac:dyDescent="0.25">
      <c r="A1007" s="458" t="s">
        <v>839</v>
      </c>
      <c r="B1007" s="454" t="s">
        <v>491</v>
      </c>
      <c r="C1007" s="454" t="s">
        <v>234</v>
      </c>
      <c r="D1007" s="454" t="s">
        <v>916</v>
      </c>
      <c r="E1007" s="454"/>
      <c r="F1007" s="451">
        <f>F1008</f>
        <v>247.48599999999999</v>
      </c>
      <c r="G1007" s="451">
        <f t="shared" ref="G1007" si="476">G1008</f>
        <v>247.42599999999999</v>
      </c>
      <c r="H1007" s="451">
        <f t="shared" si="460"/>
        <v>99.975756204391359</v>
      </c>
    </row>
    <row r="1008" spans="1:8" ht="78.75" x14ac:dyDescent="0.25">
      <c r="A1008" s="458" t="s">
        <v>127</v>
      </c>
      <c r="B1008" s="454" t="s">
        <v>491</v>
      </c>
      <c r="C1008" s="454" t="s">
        <v>234</v>
      </c>
      <c r="D1008" s="454" t="s">
        <v>916</v>
      </c>
      <c r="E1008" s="454" t="s">
        <v>128</v>
      </c>
      <c r="F1008" s="451">
        <f t="shared" ref="F1008:G1008" si="477">F1009</f>
        <v>247.48599999999999</v>
      </c>
      <c r="G1008" s="451">
        <f t="shared" si="477"/>
        <v>247.42599999999999</v>
      </c>
      <c r="H1008" s="451">
        <f t="shared" si="460"/>
        <v>99.975756204391359</v>
      </c>
    </row>
    <row r="1009" spans="1:8" ht="31.5" x14ac:dyDescent="0.25">
      <c r="A1009" s="458" t="s">
        <v>129</v>
      </c>
      <c r="B1009" s="454" t="s">
        <v>491</v>
      </c>
      <c r="C1009" s="454" t="s">
        <v>234</v>
      </c>
      <c r="D1009" s="454" t="s">
        <v>916</v>
      </c>
      <c r="E1009" s="454" t="s">
        <v>130</v>
      </c>
      <c r="F1009" s="451">
        <f>'Пр.4 ведом.21'!G868</f>
        <v>247.48599999999999</v>
      </c>
      <c r="G1009" s="451">
        <f>'Пр.4 ведом.21'!H868</f>
        <v>247.42599999999999</v>
      </c>
      <c r="H1009" s="451">
        <f t="shared" si="460"/>
        <v>99.975756204391359</v>
      </c>
    </row>
    <row r="1010" spans="1:8" ht="47.25" x14ac:dyDescent="0.25">
      <c r="A1010" s="462" t="s">
        <v>1372</v>
      </c>
      <c r="B1010" s="457" t="s">
        <v>491</v>
      </c>
      <c r="C1010" s="457" t="s">
        <v>234</v>
      </c>
      <c r="D1010" s="7" t="s">
        <v>482</v>
      </c>
      <c r="E1010" s="457"/>
      <c r="F1010" s="450">
        <f>F1011</f>
        <v>2481.6999999999998</v>
      </c>
      <c r="G1010" s="450">
        <f t="shared" ref="G1010:G1011" si="478">G1011</f>
        <v>1201.0149999999999</v>
      </c>
      <c r="H1010" s="450">
        <f t="shared" si="460"/>
        <v>48.394850304226935</v>
      </c>
    </row>
    <row r="1011" spans="1:8" ht="33.75" customHeight="1" x14ac:dyDescent="0.25">
      <c r="A1011" s="58" t="s">
        <v>951</v>
      </c>
      <c r="B1011" s="457" t="s">
        <v>491</v>
      </c>
      <c r="C1011" s="457" t="s">
        <v>234</v>
      </c>
      <c r="D1011" s="7" t="s">
        <v>1272</v>
      </c>
      <c r="E1011" s="457"/>
      <c r="F1011" s="450">
        <f>F1012</f>
        <v>2481.6999999999998</v>
      </c>
      <c r="G1011" s="450">
        <f t="shared" si="478"/>
        <v>1201.0149999999999</v>
      </c>
      <c r="H1011" s="450">
        <f t="shared" si="460"/>
        <v>48.394850304226935</v>
      </c>
    </row>
    <row r="1012" spans="1:8" ht="31.5" x14ac:dyDescent="0.25">
      <c r="A1012" s="29" t="s">
        <v>952</v>
      </c>
      <c r="B1012" s="454" t="s">
        <v>491</v>
      </c>
      <c r="C1012" s="454" t="s">
        <v>234</v>
      </c>
      <c r="D1012" s="461" t="s">
        <v>1273</v>
      </c>
      <c r="E1012" s="454"/>
      <c r="F1012" s="360">
        <f>F1013+F1015</f>
        <v>2481.6999999999998</v>
      </c>
      <c r="G1012" s="360">
        <f t="shared" ref="G1012" si="479">G1013+G1015</f>
        <v>1201.0149999999999</v>
      </c>
      <c r="H1012" s="451">
        <f t="shared" si="460"/>
        <v>48.394850304226935</v>
      </c>
    </row>
    <row r="1013" spans="1:8" ht="78.75" x14ac:dyDescent="0.25">
      <c r="A1013" s="458" t="s">
        <v>127</v>
      </c>
      <c r="B1013" s="454" t="s">
        <v>491</v>
      </c>
      <c r="C1013" s="454" t="s">
        <v>234</v>
      </c>
      <c r="D1013" s="461" t="s">
        <v>1273</v>
      </c>
      <c r="E1013" s="454" t="s">
        <v>128</v>
      </c>
      <c r="F1013" s="360">
        <f>F1014</f>
        <v>1981.7</v>
      </c>
      <c r="G1013" s="360">
        <f t="shared" ref="G1013" si="480">G1014</f>
        <v>1020.025</v>
      </c>
      <c r="H1013" s="451">
        <f t="shared" si="460"/>
        <v>51.472220820507644</v>
      </c>
    </row>
    <row r="1014" spans="1:8" ht="21.75" customHeight="1" x14ac:dyDescent="0.25">
      <c r="A1014" s="458" t="s">
        <v>342</v>
      </c>
      <c r="B1014" s="454" t="s">
        <v>491</v>
      </c>
      <c r="C1014" s="454" t="s">
        <v>234</v>
      </c>
      <c r="D1014" s="461" t="s">
        <v>1273</v>
      </c>
      <c r="E1014" s="454" t="s">
        <v>209</v>
      </c>
      <c r="F1014" s="360">
        <f>'Пр.4 ведом.21'!G873</f>
        <v>1981.7</v>
      </c>
      <c r="G1014" s="360">
        <f>'Пр.4 ведом.21'!H873</f>
        <v>1020.025</v>
      </c>
      <c r="H1014" s="451">
        <f t="shared" si="460"/>
        <v>51.472220820507644</v>
      </c>
    </row>
    <row r="1015" spans="1:8" ht="36" customHeight="1" x14ac:dyDescent="0.25">
      <c r="A1015" s="29" t="s">
        <v>131</v>
      </c>
      <c r="B1015" s="454" t="s">
        <v>491</v>
      </c>
      <c r="C1015" s="454" t="s">
        <v>234</v>
      </c>
      <c r="D1015" s="461" t="s">
        <v>1273</v>
      </c>
      <c r="E1015" s="454" t="s">
        <v>132</v>
      </c>
      <c r="F1015" s="360">
        <f>F1016</f>
        <v>500</v>
      </c>
      <c r="G1015" s="360">
        <f t="shared" ref="G1015" si="481">G1016</f>
        <v>180.99</v>
      </c>
      <c r="H1015" s="451">
        <f t="shared" si="460"/>
        <v>36.198</v>
      </c>
    </row>
    <row r="1016" spans="1:8" ht="47.25" x14ac:dyDescent="0.25">
      <c r="A1016" s="29" t="s">
        <v>133</v>
      </c>
      <c r="B1016" s="454" t="s">
        <v>491</v>
      </c>
      <c r="C1016" s="454" t="s">
        <v>234</v>
      </c>
      <c r="D1016" s="461" t="s">
        <v>1273</v>
      </c>
      <c r="E1016" s="454" t="s">
        <v>134</v>
      </c>
      <c r="F1016" s="451">
        <f>'Пр.4 ведом.21'!G875</f>
        <v>500</v>
      </c>
      <c r="G1016" s="451">
        <f>'Пр.4 ведом.21'!H875</f>
        <v>180.99</v>
      </c>
      <c r="H1016" s="451">
        <f t="shared" si="460"/>
        <v>36.198</v>
      </c>
    </row>
    <row r="1017" spans="1:8" ht="15.75" x14ac:dyDescent="0.25">
      <c r="A1017" s="462" t="s">
        <v>582</v>
      </c>
      <c r="B1017" s="7" t="s">
        <v>238</v>
      </c>
      <c r="C1017" s="461"/>
      <c r="D1017" s="461"/>
      <c r="E1017" s="461"/>
      <c r="F1017" s="450">
        <f t="shared" ref="F1017:G1017" si="482">F1018</f>
        <v>5788.4</v>
      </c>
      <c r="G1017" s="450">
        <f t="shared" si="482"/>
        <v>4027.6170900000002</v>
      </c>
      <c r="H1017" s="450">
        <f t="shared" si="460"/>
        <v>69.580835636790823</v>
      </c>
    </row>
    <row r="1018" spans="1:8" ht="15.75" x14ac:dyDescent="0.25">
      <c r="A1018" s="462" t="s">
        <v>583</v>
      </c>
      <c r="B1018" s="7" t="s">
        <v>238</v>
      </c>
      <c r="C1018" s="7" t="s">
        <v>213</v>
      </c>
      <c r="D1018" s="7"/>
      <c r="E1018" s="7"/>
      <c r="F1018" s="450">
        <f>F1019+F1031</f>
        <v>5788.4</v>
      </c>
      <c r="G1018" s="450">
        <f t="shared" ref="G1018" si="483">G1019+G1031</f>
        <v>4027.6170900000002</v>
      </c>
      <c r="H1018" s="450">
        <f t="shared" si="460"/>
        <v>69.580835636790823</v>
      </c>
    </row>
    <row r="1019" spans="1:8" ht="15.75" x14ac:dyDescent="0.25">
      <c r="A1019" s="456" t="s">
        <v>141</v>
      </c>
      <c r="B1019" s="457" t="s">
        <v>238</v>
      </c>
      <c r="C1019" s="457" t="s">
        <v>213</v>
      </c>
      <c r="D1019" s="457" t="s">
        <v>267</v>
      </c>
      <c r="E1019" s="457"/>
      <c r="F1019" s="450">
        <f>F1020</f>
        <v>5710.4</v>
      </c>
      <c r="G1019" s="450">
        <f t="shared" ref="G1019" si="484">G1020</f>
        <v>3975.6170900000002</v>
      </c>
      <c r="H1019" s="450">
        <f t="shared" si="460"/>
        <v>69.620641110955461</v>
      </c>
    </row>
    <row r="1020" spans="1:8" ht="15.75" x14ac:dyDescent="0.25">
      <c r="A1020" s="456" t="s">
        <v>954</v>
      </c>
      <c r="B1020" s="457" t="s">
        <v>238</v>
      </c>
      <c r="C1020" s="457" t="s">
        <v>213</v>
      </c>
      <c r="D1020" s="457" t="s">
        <v>1204</v>
      </c>
      <c r="E1020" s="457"/>
      <c r="F1020" s="450">
        <f>F1021+F1028</f>
        <v>5710.4</v>
      </c>
      <c r="G1020" s="450">
        <f t="shared" ref="G1020" si="485">G1021+G1028</f>
        <v>3975.6170900000002</v>
      </c>
      <c r="H1020" s="450">
        <f t="shared" si="460"/>
        <v>69.620641110955461</v>
      </c>
    </row>
    <row r="1021" spans="1:8" ht="15.75" x14ac:dyDescent="0.25">
      <c r="A1021" s="458" t="s">
        <v>801</v>
      </c>
      <c r="B1021" s="454" t="s">
        <v>238</v>
      </c>
      <c r="C1021" s="454" t="s">
        <v>213</v>
      </c>
      <c r="D1021" s="454" t="s">
        <v>1205</v>
      </c>
      <c r="E1021" s="454"/>
      <c r="F1021" s="451">
        <f>F1022+F1024+F1026</f>
        <v>5452.4</v>
      </c>
      <c r="G1021" s="451">
        <f t="shared" ref="G1021" si="486">G1022+G1024+G1026</f>
        <v>3717.6170900000002</v>
      </c>
      <c r="H1021" s="451">
        <f t="shared" si="460"/>
        <v>68.183132015259346</v>
      </c>
    </row>
    <row r="1022" spans="1:8" ht="78.75" x14ac:dyDescent="0.25">
      <c r="A1022" s="458" t="s">
        <v>127</v>
      </c>
      <c r="B1022" s="454" t="s">
        <v>238</v>
      </c>
      <c r="C1022" s="454" t="s">
        <v>213</v>
      </c>
      <c r="D1022" s="454" t="s">
        <v>1205</v>
      </c>
      <c r="E1022" s="454" t="s">
        <v>128</v>
      </c>
      <c r="F1022" s="451">
        <f>F1023</f>
        <v>4650.3999999999996</v>
      </c>
      <c r="G1022" s="451">
        <f t="shared" ref="G1022" si="487">G1023</f>
        <v>3160.4586300000001</v>
      </c>
      <c r="H1022" s="451">
        <f t="shared" si="460"/>
        <v>67.9610061500086</v>
      </c>
    </row>
    <row r="1023" spans="1:8" ht="31.5" x14ac:dyDescent="0.25">
      <c r="A1023" s="458" t="s">
        <v>208</v>
      </c>
      <c r="B1023" s="454" t="s">
        <v>238</v>
      </c>
      <c r="C1023" s="454" t="s">
        <v>213</v>
      </c>
      <c r="D1023" s="454" t="s">
        <v>1205</v>
      </c>
      <c r="E1023" s="454" t="s">
        <v>209</v>
      </c>
      <c r="F1023" s="451">
        <f>'Пр.4 ведом.21'!G496</f>
        <v>4650.3999999999996</v>
      </c>
      <c r="G1023" s="451">
        <f>'Пр.4 ведом.21'!H496</f>
        <v>3160.4586300000001</v>
      </c>
      <c r="H1023" s="451">
        <f t="shared" si="460"/>
        <v>67.9610061500086</v>
      </c>
    </row>
    <row r="1024" spans="1:8" ht="31.5" x14ac:dyDescent="0.25">
      <c r="A1024" s="458" t="s">
        <v>131</v>
      </c>
      <c r="B1024" s="454" t="s">
        <v>238</v>
      </c>
      <c r="C1024" s="454" t="s">
        <v>213</v>
      </c>
      <c r="D1024" s="454" t="s">
        <v>1205</v>
      </c>
      <c r="E1024" s="454" t="s">
        <v>132</v>
      </c>
      <c r="F1024" s="451">
        <f t="shared" ref="F1024:G1024" si="488">F1025</f>
        <v>771.90000000000009</v>
      </c>
      <c r="G1024" s="451">
        <f t="shared" si="488"/>
        <v>544.72546</v>
      </c>
      <c r="H1024" s="451">
        <f t="shared" si="460"/>
        <v>70.569433864490207</v>
      </c>
    </row>
    <row r="1025" spans="1:8" ht="47.25" x14ac:dyDescent="0.25">
      <c r="A1025" s="458" t="s">
        <v>133</v>
      </c>
      <c r="B1025" s="454" t="s">
        <v>238</v>
      </c>
      <c r="C1025" s="454" t="s">
        <v>213</v>
      </c>
      <c r="D1025" s="454" t="s">
        <v>1205</v>
      </c>
      <c r="E1025" s="454" t="s">
        <v>134</v>
      </c>
      <c r="F1025" s="451">
        <f>'Пр.4 ведом.21'!G498</f>
        <v>771.90000000000009</v>
      </c>
      <c r="G1025" s="451">
        <f>'Пр.4 ведом.21'!H498</f>
        <v>544.72546</v>
      </c>
      <c r="H1025" s="451">
        <f t="shared" si="460"/>
        <v>70.569433864490207</v>
      </c>
    </row>
    <row r="1026" spans="1:8" ht="15.75" x14ac:dyDescent="0.25">
      <c r="A1026" s="458" t="s">
        <v>135</v>
      </c>
      <c r="B1026" s="454" t="s">
        <v>238</v>
      </c>
      <c r="C1026" s="454" t="s">
        <v>213</v>
      </c>
      <c r="D1026" s="454" t="s">
        <v>1205</v>
      </c>
      <c r="E1026" s="454" t="s">
        <v>145</v>
      </c>
      <c r="F1026" s="360">
        <f t="shared" ref="F1026:G1026" si="489">F1027</f>
        <v>30.1</v>
      </c>
      <c r="G1026" s="360">
        <f t="shared" si="489"/>
        <v>12.433</v>
      </c>
      <c r="H1026" s="451">
        <f t="shared" si="460"/>
        <v>41.305647840531556</v>
      </c>
    </row>
    <row r="1027" spans="1:8" ht="15.75" x14ac:dyDescent="0.25">
      <c r="A1027" s="458" t="s">
        <v>568</v>
      </c>
      <c r="B1027" s="454" t="s">
        <v>238</v>
      </c>
      <c r="C1027" s="454" t="s">
        <v>213</v>
      </c>
      <c r="D1027" s="454" t="s">
        <v>1205</v>
      </c>
      <c r="E1027" s="454" t="s">
        <v>138</v>
      </c>
      <c r="F1027" s="360">
        <f>'Пр.4 ведом.21'!G500</f>
        <v>30.1</v>
      </c>
      <c r="G1027" s="360">
        <f>'Пр.4 ведом.21'!H500</f>
        <v>12.433</v>
      </c>
      <c r="H1027" s="451">
        <f t="shared" si="460"/>
        <v>41.305647840531556</v>
      </c>
    </row>
    <row r="1028" spans="1:8" ht="47.25" x14ac:dyDescent="0.25">
      <c r="A1028" s="458" t="s">
        <v>839</v>
      </c>
      <c r="B1028" s="454" t="s">
        <v>238</v>
      </c>
      <c r="C1028" s="454" t="s">
        <v>213</v>
      </c>
      <c r="D1028" s="454" t="s">
        <v>1313</v>
      </c>
      <c r="E1028" s="454"/>
      <c r="F1028" s="451">
        <f>F1029</f>
        <v>258</v>
      </c>
      <c r="G1028" s="451">
        <f t="shared" ref="G1028:G1029" si="490">G1029</f>
        <v>258</v>
      </c>
      <c r="H1028" s="451">
        <f t="shared" si="460"/>
        <v>100</v>
      </c>
    </row>
    <row r="1029" spans="1:8" ht="78.75" x14ac:dyDescent="0.25">
      <c r="A1029" s="458" t="s">
        <v>127</v>
      </c>
      <c r="B1029" s="454" t="s">
        <v>238</v>
      </c>
      <c r="C1029" s="454" t="s">
        <v>213</v>
      </c>
      <c r="D1029" s="454" t="s">
        <v>1313</v>
      </c>
      <c r="E1029" s="454" t="s">
        <v>128</v>
      </c>
      <c r="F1029" s="451">
        <f>F1030</f>
        <v>258</v>
      </c>
      <c r="G1029" s="451">
        <f t="shared" si="490"/>
        <v>258</v>
      </c>
      <c r="H1029" s="451">
        <f t="shared" si="460"/>
        <v>100</v>
      </c>
    </row>
    <row r="1030" spans="1:8" ht="31.5" x14ac:dyDescent="0.25">
      <c r="A1030" s="458" t="s">
        <v>129</v>
      </c>
      <c r="B1030" s="454" t="s">
        <v>238</v>
      </c>
      <c r="C1030" s="454" t="s">
        <v>213</v>
      </c>
      <c r="D1030" s="454" t="s">
        <v>1313</v>
      </c>
      <c r="E1030" s="454" t="s">
        <v>209</v>
      </c>
      <c r="F1030" s="451">
        <f>'Пр.4 ведом.21'!G504</f>
        <v>258</v>
      </c>
      <c r="G1030" s="451">
        <f>'Пр.4 ведом.21'!H504</f>
        <v>258</v>
      </c>
      <c r="H1030" s="451">
        <f t="shared" si="460"/>
        <v>100</v>
      </c>
    </row>
    <row r="1031" spans="1:8" ht="47.25" x14ac:dyDescent="0.25">
      <c r="A1031" s="462" t="s">
        <v>1355</v>
      </c>
      <c r="B1031" s="457" t="s">
        <v>238</v>
      </c>
      <c r="C1031" s="457" t="s">
        <v>213</v>
      </c>
      <c r="D1031" s="457" t="s">
        <v>705</v>
      </c>
      <c r="E1031" s="465"/>
      <c r="F1031" s="450">
        <f>F1032</f>
        <v>78</v>
      </c>
      <c r="G1031" s="450">
        <f t="shared" ref="G1031:G1034" si="491">G1032</f>
        <v>52</v>
      </c>
      <c r="H1031" s="450">
        <f t="shared" si="460"/>
        <v>66.666666666666657</v>
      </c>
    </row>
    <row r="1032" spans="1:8" s="200" customFormat="1" ht="47.25" x14ac:dyDescent="0.25">
      <c r="A1032" s="462" t="s">
        <v>890</v>
      </c>
      <c r="B1032" s="457" t="s">
        <v>238</v>
      </c>
      <c r="C1032" s="457" t="s">
        <v>213</v>
      </c>
      <c r="D1032" s="457" t="s">
        <v>888</v>
      </c>
      <c r="E1032" s="465"/>
      <c r="F1032" s="450">
        <f>F1033</f>
        <v>78</v>
      </c>
      <c r="G1032" s="450">
        <f t="shared" si="491"/>
        <v>52</v>
      </c>
      <c r="H1032" s="450">
        <f t="shared" si="460"/>
        <v>66.666666666666657</v>
      </c>
    </row>
    <row r="1033" spans="1:8" s="200" customFormat="1" ht="47.25" x14ac:dyDescent="0.25">
      <c r="A1033" s="98" t="s">
        <v>1004</v>
      </c>
      <c r="B1033" s="454" t="s">
        <v>238</v>
      </c>
      <c r="C1033" s="454" t="s">
        <v>213</v>
      </c>
      <c r="D1033" s="454" t="s">
        <v>889</v>
      </c>
      <c r="E1033" s="460"/>
      <c r="F1033" s="451">
        <f>F1034</f>
        <v>78</v>
      </c>
      <c r="G1033" s="451">
        <f t="shared" si="491"/>
        <v>52</v>
      </c>
      <c r="H1033" s="451">
        <f t="shared" si="460"/>
        <v>66.666666666666657</v>
      </c>
    </row>
    <row r="1034" spans="1:8" s="200" customFormat="1" ht="31.5" x14ac:dyDescent="0.25">
      <c r="A1034" s="458" t="s">
        <v>131</v>
      </c>
      <c r="B1034" s="454" t="s">
        <v>238</v>
      </c>
      <c r="C1034" s="454" t="s">
        <v>213</v>
      </c>
      <c r="D1034" s="454" t="s">
        <v>889</v>
      </c>
      <c r="E1034" s="460" t="s">
        <v>132</v>
      </c>
      <c r="F1034" s="451">
        <f>F1035</f>
        <v>78</v>
      </c>
      <c r="G1034" s="451">
        <f t="shared" si="491"/>
        <v>52</v>
      </c>
      <c r="H1034" s="451">
        <f t="shared" si="460"/>
        <v>66.666666666666657</v>
      </c>
    </row>
    <row r="1035" spans="1:8" s="200" customFormat="1" ht="47.25" x14ac:dyDescent="0.25">
      <c r="A1035" s="458" t="s">
        <v>133</v>
      </c>
      <c r="B1035" s="454" t="s">
        <v>238</v>
      </c>
      <c r="C1035" s="454" t="s">
        <v>213</v>
      </c>
      <c r="D1035" s="454" t="s">
        <v>889</v>
      </c>
      <c r="E1035" s="460" t="s">
        <v>134</v>
      </c>
      <c r="F1035" s="451">
        <f>'Пр.4 ведом.21'!G509</f>
        <v>78</v>
      </c>
      <c r="G1035" s="451">
        <f>'Пр.4 ведом.21'!H509</f>
        <v>52</v>
      </c>
      <c r="H1035" s="451">
        <f t="shared" ref="H1035:H1036" si="492">G1035/F1035*100</f>
        <v>66.666666666666657</v>
      </c>
    </row>
    <row r="1036" spans="1:8" ht="15.75" x14ac:dyDescent="0.25">
      <c r="A1036" s="61" t="s">
        <v>587</v>
      </c>
      <c r="B1036" s="7"/>
      <c r="C1036" s="7"/>
      <c r="D1036" s="7"/>
      <c r="E1036" s="7"/>
      <c r="F1036" s="364">
        <f>F10+F228+F255+F317+F503+F792+F945+F1017+F891</f>
        <v>963354.73499999999</v>
      </c>
      <c r="G1036" s="364">
        <f t="shared" ref="G1036" si="493">G10+G228+G255+G317+G503+G792+G945+G1017+G891</f>
        <v>634551.37690000003</v>
      </c>
      <c r="H1036" s="450">
        <f t="shared" si="492"/>
        <v>65.868921784040438</v>
      </c>
    </row>
    <row r="1037" spans="1:8" x14ac:dyDescent="0.25">
      <c r="F1037" s="115">
        <f>'Пр.4 ведом.21'!G1144</f>
        <v>963354.73499999999</v>
      </c>
      <c r="G1037" s="115">
        <f>'Пр.4 ведом.21'!H1144</f>
        <v>634551.37690000003</v>
      </c>
      <c r="H1037" s="115">
        <f>'Пр.4 ведом.21'!I1144</f>
        <v>65.868921784040438</v>
      </c>
    </row>
    <row r="1038" spans="1:8" x14ac:dyDescent="0.25">
      <c r="F1038" s="115">
        <f>F1037-F1036</f>
        <v>0</v>
      </c>
      <c r="G1038" s="115">
        <f t="shared" ref="G1038:H1038" si="494">G1037-G1036</f>
        <v>0</v>
      </c>
      <c r="H1038" s="115">
        <f t="shared" si="494"/>
        <v>0</v>
      </c>
    </row>
  </sheetData>
  <mergeCells count="6">
    <mergeCell ref="G1:H1"/>
    <mergeCell ref="G3:H3"/>
    <mergeCell ref="A7:H7"/>
    <mergeCell ref="G5:H5"/>
    <mergeCell ref="G4:H4"/>
    <mergeCell ref="G2:H2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G310" sqref="G310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1"/>
      <c r="E1" s="201"/>
      <c r="F1" s="554" t="s">
        <v>1524</v>
      </c>
      <c r="G1" s="554"/>
    </row>
    <row r="2" spans="1:10" ht="15.75" x14ac:dyDescent="0.25">
      <c r="A2" s="56"/>
      <c r="B2" s="56"/>
      <c r="C2" s="56"/>
      <c r="D2" s="201"/>
      <c r="E2" s="201"/>
      <c r="F2" s="554" t="s">
        <v>1522</v>
      </c>
      <c r="G2" s="554"/>
    </row>
    <row r="3" spans="1:10" ht="18.75" x14ac:dyDescent="0.3">
      <c r="A3" s="56"/>
      <c r="B3" s="56"/>
      <c r="C3" s="56"/>
      <c r="D3" s="201"/>
      <c r="E3" s="185"/>
      <c r="F3" s="554" t="s">
        <v>1521</v>
      </c>
      <c r="G3" s="554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63" t="s">
        <v>1307</v>
      </c>
      <c r="B5" s="563"/>
      <c r="C5" s="563"/>
      <c r="D5" s="563"/>
      <c r="E5" s="563"/>
      <c r="F5" s="563"/>
      <c r="G5" s="563"/>
    </row>
    <row r="6" spans="1:10" x14ac:dyDescent="0.25">
      <c r="A6" s="56"/>
      <c r="B6" s="56"/>
      <c r="C6" s="56"/>
      <c r="D6" s="56"/>
      <c r="E6" s="56"/>
      <c r="F6" s="115"/>
      <c r="G6" s="268" t="s">
        <v>1</v>
      </c>
    </row>
    <row r="7" spans="1:10" ht="35.450000000000003" customHeight="1" x14ac:dyDescent="0.25">
      <c r="A7" s="221" t="s">
        <v>592</v>
      </c>
      <c r="B7" s="222" t="s">
        <v>112</v>
      </c>
      <c r="C7" s="222" t="s">
        <v>113</v>
      </c>
      <c r="D7" s="222" t="s">
        <v>114</v>
      </c>
      <c r="E7" s="222" t="s">
        <v>115</v>
      </c>
      <c r="F7" s="269" t="s">
        <v>1083</v>
      </c>
      <c r="G7" s="269" t="s">
        <v>1308</v>
      </c>
      <c r="H7" s="227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313759.11</v>
      </c>
      <c r="I7" s="227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308385.36999999994</v>
      </c>
    </row>
    <row r="8" spans="1:10" s="200" customFormat="1" ht="16.350000000000001" customHeight="1" x14ac:dyDescent="0.25">
      <c r="A8" s="293" t="s">
        <v>1416</v>
      </c>
      <c r="B8" s="294"/>
      <c r="C8" s="294"/>
      <c r="D8" s="294"/>
      <c r="E8" s="294"/>
      <c r="F8" s="295">
        <f>'пр.4.1. рдпр 22-23'!D10</f>
        <v>12458.06185</v>
      </c>
      <c r="G8" s="295">
        <f>'пр.4.1. рдпр 22-23'!E10</f>
        <v>25451.88</v>
      </c>
      <c r="H8" s="227"/>
      <c r="I8" s="227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136839.41</v>
      </c>
      <c r="G9" s="4">
        <f>G10+G29+G45+G106+G136+G128</f>
        <v>123993.72</v>
      </c>
      <c r="H9" s="220"/>
      <c r="I9" s="220"/>
      <c r="J9" s="220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20"/>
      <c r="I10" s="220"/>
    </row>
    <row r="11" spans="1:10" ht="31.5" x14ac:dyDescent="0.25">
      <c r="A11" s="23" t="s">
        <v>917</v>
      </c>
      <c r="B11" s="7" t="s">
        <v>118</v>
      </c>
      <c r="C11" s="7" t="s">
        <v>213</v>
      </c>
      <c r="D11" s="7" t="s">
        <v>858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918</v>
      </c>
      <c r="B12" s="7" t="s">
        <v>118</v>
      </c>
      <c r="C12" s="7" t="s">
        <v>213</v>
      </c>
      <c r="D12" s="7" t="s">
        <v>859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1331</v>
      </c>
      <c r="E13" s="40"/>
      <c r="F13" s="6">
        <f>F14+F16</f>
        <v>4826.8999999999996</v>
      </c>
      <c r="G13" s="6">
        <f>G14+G16</f>
        <v>4826.8999999999996</v>
      </c>
      <c r="H13" s="227">
        <f>F13+F18+F48+F57+F60+F118+F125+F446+F453+F717+F798+F803+F926+F929+F722</f>
        <v>104071.91</v>
      </c>
      <c r="I13" s="227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1331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1331</v>
      </c>
      <c r="E15" s="40" t="s">
        <v>130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1331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1331</v>
      </c>
      <c r="E17" s="40" t="s">
        <v>134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839</v>
      </c>
      <c r="B18" s="40" t="s">
        <v>118</v>
      </c>
      <c r="C18" s="40" t="s">
        <v>213</v>
      </c>
      <c r="D18" s="40" t="s">
        <v>862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862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862</v>
      </c>
      <c r="E20" s="40" t="s">
        <v>130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1341</v>
      </c>
      <c r="B21" s="24" t="s">
        <v>118</v>
      </c>
      <c r="C21" s="7" t="s">
        <v>213</v>
      </c>
      <c r="D21" s="24" t="s">
        <v>162</v>
      </c>
      <c r="E21" s="7"/>
      <c r="F21" s="361">
        <f>F22</f>
        <v>40.5</v>
      </c>
      <c r="G21" s="361">
        <f>G22</f>
        <v>40.5</v>
      </c>
    </row>
    <row r="22" spans="1:9" ht="78.75" x14ac:dyDescent="0.25">
      <c r="A22" s="215" t="s">
        <v>843</v>
      </c>
      <c r="B22" s="24" t="s">
        <v>118</v>
      </c>
      <c r="C22" s="7" t="s">
        <v>213</v>
      </c>
      <c r="D22" s="7" t="s">
        <v>850</v>
      </c>
      <c r="E22" s="7"/>
      <c r="F22" s="361">
        <f>F23+F26</f>
        <v>40.5</v>
      </c>
      <c r="G22" s="361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993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992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992</v>
      </c>
      <c r="E28" s="20" t="s">
        <v>134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5540</v>
      </c>
      <c r="G29" s="4">
        <f t="shared" si="2"/>
        <v>5540</v>
      </c>
    </row>
    <row r="30" spans="1:9" ht="31.5" x14ac:dyDescent="0.25">
      <c r="A30" s="23" t="s">
        <v>917</v>
      </c>
      <c r="B30" s="7" t="s">
        <v>118</v>
      </c>
      <c r="C30" s="7" t="s">
        <v>215</v>
      </c>
      <c r="D30" s="7" t="s">
        <v>858</v>
      </c>
      <c r="E30" s="7"/>
      <c r="F30" s="4">
        <f t="shared" si="2"/>
        <v>5540</v>
      </c>
      <c r="G30" s="4">
        <f t="shared" si="2"/>
        <v>5540</v>
      </c>
    </row>
    <row r="31" spans="1:9" ht="31.5" x14ac:dyDescent="0.25">
      <c r="A31" s="23" t="s">
        <v>986</v>
      </c>
      <c r="B31" s="7" t="s">
        <v>118</v>
      </c>
      <c r="C31" s="7" t="s">
        <v>215</v>
      </c>
      <c r="D31" s="7" t="s">
        <v>987</v>
      </c>
      <c r="E31" s="7"/>
      <c r="F31" s="4">
        <f>F37+F42+F32</f>
        <v>5540</v>
      </c>
      <c r="G31" s="4">
        <f>G37+G42+G32</f>
        <v>5540</v>
      </c>
    </row>
    <row r="32" spans="1:9" s="200" customFormat="1" ht="47.25" x14ac:dyDescent="0.25">
      <c r="A32" s="284" t="s">
        <v>1366</v>
      </c>
      <c r="B32" s="20" t="s">
        <v>118</v>
      </c>
      <c r="C32" s="20" t="s">
        <v>215</v>
      </c>
      <c r="D32" s="20" t="s">
        <v>1404</v>
      </c>
      <c r="E32" s="24"/>
      <c r="F32" s="6">
        <f>F33+F35</f>
        <v>4247.6000000000004</v>
      </c>
      <c r="G32" s="6">
        <f>G33+G35</f>
        <v>4247.6000000000004</v>
      </c>
      <c r="H32" s="227">
        <f>F32+F37+F109+F114</f>
        <v>7286.5</v>
      </c>
      <c r="I32" s="227">
        <f>G32+G37+G109+G114</f>
        <v>7286.5</v>
      </c>
    </row>
    <row r="33" spans="1:9" s="200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1404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200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1404</v>
      </c>
      <c r="E34" s="20" t="s">
        <v>130</v>
      </c>
      <c r="F34" s="6">
        <f>'пр.6.1.ведом.22-23'!G1072</f>
        <v>4154.6000000000004</v>
      </c>
      <c r="G34" s="6">
        <f>'пр.6.1.ведом.22-23'!H1072</f>
        <v>4154.6000000000004</v>
      </c>
    </row>
    <row r="35" spans="1:9" s="200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1404</v>
      </c>
      <c r="E35" s="20" t="s">
        <v>132</v>
      </c>
      <c r="F35" s="6">
        <f>F36</f>
        <v>93</v>
      </c>
      <c r="G35" s="6">
        <f>G36</f>
        <v>93</v>
      </c>
    </row>
    <row r="36" spans="1:9" s="200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1404</v>
      </c>
      <c r="E36" s="20" t="s">
        <v>134</v>
      </c>
      <c r="F36" s="6">
        <f>'пр.6.1.ведом.22-23'!G1074</f>
        <v>93</v>
      </c>
      <c r="G36" s="6">
        <f>'пр.6.1.ведом.22-23'!H1074</f>
        <v>93</v>
      </c>
    </row>
    <row r="37" spans="1:9" ht="31.5" x14ac:dyDescent="0.25">
      <c r="A37" s="25" t="s">
        <v>990</v>
      </c>
      <c r="B37" s="40" t="s">
        <v>118</v>
      </c>
      <c r="C37" s="40" t="s">
        <v>215</v>
      </c>
      <c r="D37" s="40" t="s">
        <v>991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991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991</v>
      </c>
      <c r="E39" s="40" t="s">
        <v>130</v>
      </c>
      <c r="F39" s="6">
        <f>'пр.6.1.ведом.22-23'!G1077</f>
        <v>1240.4000000000001</v>
      </c>
      <c r="G39" s="6">
        <f>'пр.6.1.ведом.22-23'!H1077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991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991</v>
      </c>
      <c r="E41" s="40" t="s">
        <v>134</v>
      </c>
      <c r="F41" s="6">
        <f>'пр.6.1.ведом.22-23'!G1079</f>
        <v>0</v>
      </c>
      <c r="G41" s="6">
        <f>'пр.6.1.ведом.22-23'!H1079</f>
        <v>0</v>
      </c>
    </row>
    <row r="42" spans="1:9" ht="47.25" hidden="1" x14ac:dyDescent="0.25">
      <c r="A42" s="25" t="s">
        <v>839</v>
      </c>
      <c r="B42" s="40" t="s">
        <v>118</v>
      </c>
      <c r="C42" s="40" t="s">
        <v>215</v>
      </c>
      <c r="D42" s="40" t="s">
        <v>989</v>
      </c>
      <c r="E42" s="40"/>
      <c r="F42" s="6">
        <f>'Пр.3 Рд,пр, ЦС,ВР 21'!F40</f>
        <v>52</v>
      </c>
      <c r="G42" s="6">
        <f t="shared" si="1"/>
        <v>52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989</v>
      </c>
      <c r="E43" s="40" t="s">
        <v>128</v>
      </c>
      <c r="F43" s="6">
        <f>'Пр.3 Рд,пр, ЦС,ВР 21'!F41</f>
        <v>52</v>
      </c>
      <c r="G43" s="6">
        <f t="shared" si="1"/>
        <v>52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989</v>
      </c>
      <c r="E44" s="40" t="s">
        <v>130</v>
      </c>
      <c r="F44" s="6">
        <f>'Пр.3 Рд,пр, ЦС,ВР 21'!F42</f>
        <v>52</v>
      </c>
      <c r="G44" s="6">
        <f t="shared" si="1"/>
        <v>52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56977.11</v>
      </c>
      <c r="G45" s="4">
        <f>G46+G85</f>
        <v>43788.420000000006</v>
      </c>
      <c r="H45" s="227">
        <f>'пр.6.1.ведом.22-23'!H490+'пр.6.1.ведом.22-23'!H52</f>
        <v>43788.42</v>
      </c>
      <c r="I45" s="227">
        <f>H46-F45</f>
        <v>5218.0900000000038</v>
      </c>
    </row>
    <row r="46" spans="1:9" ht="31.5" x14ac:dyDescent="0.25">
      <c r="A46" s="23" t="s">
        <v>917</v>
      </c>
      <c r="B46" s="7" t="s">
        <v>118</v>
      </c>
      <c r="C46" s="7" t="s">
        <v>150</v>
      </c>
      <c r="D46" s="7" t="s">
        <v>858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918</v>
      </c>
      <c r="B47" s="7" t="s">
        <v>118</v>
      </c>
      <c r="C47" s="7" t="s">
        <v>150</v>
      </c>
      <c r="D47" s="7" t="s">
        <v>859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897</v>
      </c>
      <c r="B48" s="40" t="s">
        <v>118</v>
      </c>
      <c r="C48" s="40" t="s">
        <v>150</v>
      </c>
      <c r="D48" s="40" t="s">
        <v>860</v>
      </c>
      <c r="E48" s="40"/>
      <c r="F48" s="6">
        <f>F49+F51+F53+F55</f>
        <v>48838.31</v>
      </c>
      <c r="G48" s="6">
        <f>G49+G51+G53+G55</f>
        <v>35865.120000000003</v>
      </c>
      <c r="H48" s="227">
        <f>'пр.6.1.ведом.22-23'!G55+'пр.6.1.ведом.22-23'!G493</f>
        <v>48838.31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860</v>
      </c>
      <c r="E49" s="40" t="s">
        <v>128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860</v>
      </c>
      <c r="E50" s="40" t="s">
        <v>130</v>
      </c>
      <c r="F50" s="6">
        <f>'пр.6.1.ведом.22-23'!G495+'пр.6.1.ведом.22-23'!G57</f>
        <v>42632.909999999996</v>
      </c>
      <c r="G50" s="6">
        <f>'пр.6.1.ведом.22-23'!H495+'пр.6.1.ведом.22-23'!H57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860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860</v>
      </c>
      <c r="E52" s="40" t="s">
        <v>134</v>
      </c>
      <c r="F52" s="6">
        <f>'пр.6.1.ведом.22-23'!G59+'пр.6.1.ведом.22-23'!G497</f>
        <v>5999.4</v>
      </c>
      <c r="G52" s="6">
        <f>'пр.6.1.ведом.22-23'!H59+'пр.6.1.ведом.22-23'!H497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860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860</v>
      </c>
      <c r="E54" s="40" t="s">
        <v>251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860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860</v>
      </c>
      <c r="E56" s="40" t="s">
        <v>138</v>
      </c>
      <c r="F56" s="6">
        <f>'пр.6.1.ведом.22-23'!G63+'пр.6.1.ведом.22-23'!G499</f>
        <v>206</v>
      </c>
      <c r="G56" s="6">
        <f>'пр.6.1.ведом.22-23'!H63+'пр.6.1.ведом.22-23'!H499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861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861</v>
      </c>
      <c r="E59" s="20" t="s">
        <v>130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839</v>
      </c>
      <c r="B60" s="40" t="s">
        <v>118</v>
      </c>
      <c r="C60" s="20" t="s">
        <v>150</v>
      </c>
      <c r="D60" s="40" t="s">
        <v>862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862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862</v>
      </c>
      <c r="E62" s="40" t="s">
        <v>130</v>
      </c>
      <c r="F62" s="6">
        <f>'пр.6.1.ведом.22-23'!G69+'пр.6.1.ведом.22-23'!G502</f>
        <v>2053</v>
      </c>
      <c r="G62" s="6">
        <f>'пр.6.1.ведом.22-23'!H69+'пр.6.1.ведом.22-23'!H502</f>
        <v>2053</v>
      </c>
      <c r="H62" s="227">
        <f>'пр.6.1.ведом.22-23'!G500+'пр.6.1.ведом.22-23'!G67</f>
        <v>2053</v>
      </c>
    </row>
    <row r="63" spans="1:9" ht="47.25" x14ac:dyDescent="0.25">
      <c r="A63" s="23" t="s">
        <v>885</v>
      </c>
      <c r="B63" s="7" t="s">
        <v>118</v>
      </c>
      <c r="C63" s="24" t="s">
        <v>150</v>
      </c>
      <c r="D63" s="7" t="s">
        <v>863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1073</v>
      </c>
      <c r="E64" s="7"/>
      <c r="F64" s="6">
        <f>F65</f>
        <v>0</v>
      </c>
      <c r="G64" s="6">
        <f>G65</f>
        <v>0</v>
      </c>
      <c r="H64" s="227">
        <f>F64+F67+F72+F77+F82+F286+F342+F875</f>
        <v>62895.3</v>
      </c>
      <c r="I64" s="227">
        <f>G64+G67+G72+G77+G82+G286+G342+G875</f>
        <v>62646.400000000001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1073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1073</v>
      </c>
      <c r="E66" s="40" t="s">
        <v>134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920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920</v>
      </c>
      <c r="E68" s="40" t="s">
        <v>128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920</v>
      </c>
      <c r="E69" s="40" t="s">
        <v>130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920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920</v>
      </c>
      <c r="E71" s="40" t="s">
        <v>134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1028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1028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1028</v>
      </c>
      <c r="E74" s="40" t="s">
        <v>130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1028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1028</v>
      </c>
      <c r="E76" s="40" t="s">
        <v>134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921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921</v>
      </c>
      <c r="E79" s="40" t="s">
        <v>130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921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921</v>
      </c>
      <c r="E81" s="40" t="s">
        <v>134</v>
      </c>
      <c r="F81" s="6">
        <f>'пр.6.1.ведом.22-23'!G88</f>
        <v>34</v>
      </c>
      <c r="G81" s="6">
        <f>'пр.6.1.ведом.22-23'!H88</f>
        <v>34</v>
      </c>
    </row>
    <row r="82" spans="1:7" s="200" customFormat="1" ht="94.5" x14ac:dyDescent="0.25">
      <c r="A82" s="31" t="s">
        <v>1170</v>
      </c>
      <c r="B82" s="20" t="s">
        <v>118</v>
      </c>
      <c r="C82" s="20" t="s">
        <v>150</v>
      </c>
      <c r="D82" s="20" t="s">
        <v>1169</v>
      </c>
      <c r="E82" s="20"/>
      <c r="F82" s="26">
        <f>F83</f>
        <v>22.3</v>
      </c>
      <c r="G82" s="26">
        <f>G83</f>
        <v>22.3</v>
      </c>
    </row>
    <row r="83" spans="1:7" s="200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1169</v>
      </c>
      <c r="E83" s="20" t="s">
        <v>128</v>
      </c>
      <c r="F83" s="26">
        <f>F84</f>
        <v>22.3</v>
      </c>
      <c r="G83" s="26">
        <f>G84</f>
        <v>22.3</v>
      </c>
    </row>
    <row r="84" spans="1:7" s="200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1169</v>
      </c>
      <c r="E84" s="20" t="s">
        <v>130</v>
      </c>
      <c r="F84" s="26">
        <f>'пр.6.1.ведом.22-23'!G506</f>
        <v>22.3</v>
      </c>
      <c r="G84" s="6">
        <f>'пр.6.1.ведом.22-23'!H506</f>
        <v>22.3</v>
      </c>
    </row>
    <row r="85" spans="1:7" ht="47.25" x14ac:dyDescent="0.25">
      <c r="A85" s="23" t="s">
        <v>1367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289" t="s">
        <v>1342</v>
      </c>
      <c r="B86" s="24" t="s">
        <v>118</v>
      </c>
      <c r="C86" s="24" t="s">
        <v>150</v>
      </c>
      <c r="D86" s="7" t="s">
        <v>849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1309</v>
      </c>
      <c r="B87" s="20" t="s">
        <v>118</v>
      </c>
      <c r="C87" s="20" t="s">
        <v>150</v>
      </c>
      <c r="D87" s="40" t="s">
        <v>841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841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841</v>
      </c>
      <c r="E89" s="20" t="s">
        <v>134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15" t="s">
        <v>843</v>
      </c>
      <c r="B90" s="24" t="s">
        <v>118</v>
      </c>
      <c r="C90" s="24" t="s">
        <v>150</v>
      </c>
      <c r="D90" s="7" t="s">
        <v>850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4" t="s">
        <v>165</v>
      </c>
      <c r="B91" s="20" t="s">
        <v>118</v>
      </c>
      <c r="C91" s="20" t="s">
        <v>150</v>
      </c>
      <c r="D91" s="40" t="s">
        <v>842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842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842</v>
      </c>
      <c r="E93" s="20" t="s">
        <v>130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842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842</v>
      </c>
      <c r="E95" s="20" t="s">
        <v>134</v>
      </c>
      <c r="F95" s="6">
        <f>'пр.6.1.ведом.22-23'!G99</f>
        <v>40</v>
      </c>
      <c r="G95" s="6">
        <f>'пр.6.1.ведом.22-23'!H99</f>
        <v>40</v>
      </c>
    </row>
    <row r="96" spans="1:7" s="200" customFormat="1" ht="47.25" hidden="1" x14ac:dyDescent="0.25">
      <c r="A96" s="31" t="s">
        <v>1095</v>
      </c>
      <c r="B96" s="20" t="s">
        <v>118</v>
      </c>
      <c r="C96" s="20" t="s">
        <v>150</v>
      </c>
      <c r="D96" s="40" t="s">
        <v>993</v>
      </c>
      <c r="E96" s="20"/>
      <c r="F96" s="26">
        <f>F97</f>
        <v>0</v>
      </c>
      <c r="G96" s="26">
        <f>G97</f>
        <v>0</v>
      </c>
    </row>
    <row r="97" spans="1:8" s="200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993</v>
      </c>
      <c r="E97" s="20" t="s">
        <v>132</v>
      </c>
      <c r="F97" s="26">
        <f>F98</f>
        <v>0</v>
      </c>
      <c r="G97" s="26">
        <f>G98</f>
        <v>0</v>
      </c>
    </row>
    <row r="98" spans="1:8" s="200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'пр.6.1.ведом.22-23'!G102</f>
        <v>0</v>
      </c>
      <c r="G98" s="26">
        <f>'пр.6.1.ведом.22-23'!H102</f>
        <v>0</v>
      </c>
    </row>
    <row r="99" spans="1:8" s="200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992</v>
      </c>
      <c r="E99" s="20"/>
      <c r="F99" s="26">
        <f>F100</f>
        <v>0</v>
      </c>
      <c r="G99" s="26">
        <f>G100</f>
        <v>0</v>
      </c>
    </row>
    <row r="100" spans="1:8" s="200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992</v>
      </c>
      <c r="E100" s="20" t="s">
        <v>132</v>
      </c>
      <c r="F100" s="26">
        <f>F101</f>
        <v>0</v>
      </c>
      <c r="G100" s="26">
        <f>G101</f>
        <v>0</v>
      </c>
    </row>
    <row r="101" spans="1:8" s="200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992</v>
      </c>
      <c r="E101" s="20" t="s">
        <v>134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16" t="s">
        <v>1003</v>
      </c>
      <c r="B102" s="24" t="s">
        <v>118</v>
      </c>
      <c r="C102" s="24" t="s">
        <v>150</v>
      </c>
      <c r="D102" s="7" t="s">
        <v>851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844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844</v>
      </c>
      <c r="E105" s="20" t="s">
        <v>134</v>
      </c>
      <c r="F105" s="6">
        <f>'пр.6.1.ведом.22-23'!G109</f>
        <v>0.5</v>
      </c>
      <c r="G105" s="6">
        <f>'пр.6.1.ведом.22-23'!H109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27">
        <f>'пр.6.1.ведом.22-23'!H113+'пр.6.1.ведом.22-23'!H12+'пр.6.1.ведом.22-23'!H1083</f>
        <v>16636.7</v>
      </c>
    </row>
    <row r="107" spans="1:8" ht="31.5" x14ac:dyDescent="0.25">
      <c r="A107" s="23" t="s">
        <v>917</v>
      </c>
      <c r="B107" s="7" t="s">
        <v>118</v>
      </c>
      <c r="C107" s="7" t="s">
        <v>120</v>
      </c>
      <c r="D107" s="7" t="s">
        <v>858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986</v>
      </c>
      <c r="B108" s="7" t="s">
        <v>118</v>
      </c>
      <c r="C108" s="7" t="s">
        <v>120</v>
      </c>
      <c r="D108" s="7" t="s">
        <v>987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897</v>
      </c>
      <c r="B109" s="20" t="s">
        <v>118</v>
      </c>
      <c r="C109" s="20" t="s">
        <v>120</v>
      </c>
      <c r="D109" s="20" t="s">
        <v>991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991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991</v>
      </c>
      <c r="E111" s="20" t="s">
        <v>130</v>
      </c>
      <c r="F111" s="6">
        <f>'пр.6.1.ведом.22-23'!G1088</f>
        <v>1734.5</v>
      </c>
      <c r="G111" s="6">
        <f>'пр.6.1.ведом.22-23'!H1088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991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991</v>
      </c>
      <c r="E113" s="20" t="s">
        <v>134</v>
      </c>
      <c r="F113" s="6">
        <f>'пр.6.1.ведом.22-23'!G1090</f>
        <v>18</v>
      </c>
      <c r="G113" s="6">
        <f>'пр.6.1.ведом.22-23'!H1090</f>
        <v>18</v>
      </c>
    </row>
    <row r="114" spans="1:7" ht="47.25" x14ac:dyDescent="0.25">
      <c r="A114" s="25" t="s">
        <v>839</v>
      </c>
      <c r="B114" s="20" t="s">
        <v>118</v>
      </c>
      <c r="C114" s="20" t="s">
        <v>120</v>
      </c>
      <c r="D114" s="20" t="s">
        <v>989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989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989</v>
      </c>
      <c r="E116" s="20" t="s">
        <v>130</v>
      </c>
      <c r="F116" s="6">
        <f>'пр.6.1.ведом.22-23'!G1093</f>
        <v>46</v>
      </c>
      <c r="G116" s="6">
        <f>'пр.6.1.ведом.22-23'!H1093</f>
        <v>46</v>
      </c>
    </row>
    <row r="117" spans="1:7" ht="15.75" x14ac:dyDescent="0.25">
      <c r="A117" s="23" t="s">
        <v>918</v>
      </c>
      <c r="B117" s="7" t="s">
        <v>118</v>
      </c>
      <c r="C117" s="7" t="s">
        <v>120</v>
      </c>
      <c r="D117" s="7" t="s">
        <v>859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897</v>
      </c>
      <c r="B118" s="40" t="s">
        <v>118</v>
      </c>
      <c r="C118" s="40" t="s">
        <v>120</v>
      </c>
      <c r="D118" s="40" t="s">
        <v>860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860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860</v>
      </c>
      <c r="E120" s="40" t="s">
        <v>130</v>
      </c>
      <c r="F120" s="6">
        <f>'пр.6.1.ведом.22-23'!G118+'пр.6.1.ведом.22-23'!G17</f>
        <v>13367.2</v>
      </c>
      <c r="G120" s="6">
        <f>'пр.6.1.ведом.22-23'!H118+'пр.6.1.ведом.22-23'!H17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860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860</v>
      </c>
      <c r="E122" s="40" t="s">
        <v>134</v>
      </c>
      <c r="F122" s="6">
        <f>'пр.6.1.ведом.22-23'!G19</f>
        <v>977</v>
      </c>
      <c r="G122" s="6">
        <f>'пр.6.1.ведом.22-23'!H19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860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860</v>
      </c>
      <c r="E124" s="40" t="s">
        <v>138</v>
      </c>
      <c r="F124" s="6">
        <f>'пр.6.1.ведом.22-23'!G21</f>
        <v>28</v>
      </c>
      <c r="G124" s="6">
        <f>'пр.6.1.ведом.22-23'!H21</f>
        <v>28</v>
      </c>
    </row>
    <row r="125" spans="1:7" ht="47.25" x14ac:dyDescent="0.25">
      <c r="A125" s="25" t="s">
        <v>839</v>
      </c>
      <c r="B125" s="20" t="s">
        <v>118</v>
      </c>
      <c r="C125" s="20" t="s">
        <v>120</v>
      </c>
      <c r="D125" s="20" t="s">
        <v>862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862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862</v>
      </c>
      <c r="E127" s="20" t="s">
        <v>130</v>
      </c>
      <c r="F127" s="6">
        <f>'пр.6.1.ведом.22-23'!G24+'пр.6.1.ведом.22-23'!G121</f>
        <v>466</v>
      </c>
      <c r="G127" s="6">
        <f>'пр.6.1.ведом.22-23'!H24+'пр.6.1.ведом.22-23'!H121</f>
        <v>466</v>
      </c>
    </row>
    <row r="128" spans="1:7" s="200" customFormat="1" ht="15.75" hidden="1" customHeight="1" x14ac:dyDescent="0.25">
      <c r="A128" s="23" t="s">
        <v>1148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0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866</v>
      </c>
      <c r="E129" s="20"/>
      <c r="F129" s="21">
        <f t="shared" si="6"/>
        <v>0</v>
      </c>
      <c r="G129" s="21">
        <f t="shared" si="6"/>
        <v>0</v>
      </c>
    </row>
    <row r="130" spans="1:8" s="200" customFormat="1" ht="31.7" hidden="1" customHeight="1" x14ac:dyDescent="0.25">
      <c r="A130" s="23" t="s">
        <v>870</v>
      </c>
      <c r="B130" s="24" t="s">
        <v>118</v>
      </c>
      <c r="C130" s="24" t="s">
        <v>264</v>
      </c>
      <c r="D130" s="24" t="s">
        <v>865</v>
      </c>
      <c r="E130" s="20"/>
      <c r="F130" s="21">
        <f t="shared" si="6"/>
        <v>0</v>
      </c>
      <c r="G130" s="21">
        <f t="shared" si="6"/>
        <v>0</v>
      </c>
    </row>
    <row r="131" spans="1:8" s="200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1147</v>
      </c>
      <c r="E131" s="20"/>
      <c r="F131" s="26">
        <f>F132+F134</f>
        <v>0</v>
      </c>
      <c r="G131" s="26">
        <f>G132+G134</f>
        <v>0</v>
      </c>
    </row>
    <row r="132" spans="1:8" s="200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1147</v>
      </c>
      <c r="E132" s="20" t="s">
        <v>128</v>
      </c>
      <c r="F132" s="26">
        <f>F133</f>
        <v>0</v>
      </c>
      <c r="G132" s="26">
        <f>G133</f>
        <v>0</v>
      </c>
    </row>
    <row r="133" spans="1:8" s="200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1147</v>
      </c>
      <c r="E133" s="20" t="s">
        <v>130</v>
      </c>
      <c r="F133" s="26">
        <f>'пр.6.1.ведом.22-23'!G127</f>
        <v>0</v>
      </c>
      <c r="G133" s="26">
        <f>'пр.6.1.ведом.22-23'!H127</f>
        <v>0</v>
      </c>
    </row>
    <row r="134" spans="1:8" s="200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1147</v>
      </c>
      <c r="E134" s="20" t="s">
        <v>132</v>
      </c>
      <c r="F134" s="26">
        <f>F135</f>
        <v>0</v>
      </c>
      <c r="G134" s="26">
        <f>G135</f>
        <v>0</v>
      </c>
    </row>
    <row r="135" spans="1:8" s="200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1147</v>
      </c>
      <c r="E135" s="20" t="s">
        <v>134</v>
      </c>
      <c r="F135" s="26">
        <f>'пр.6.1.ведом.22-23'!G129</f>
        <v>0</v>
      </c>
      <c r="G135" s="26">
        <f>'пр.6.1.ведом.22-23'!H129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954</v>
      </c>
      <c r="B138" s="24" t="s">
        <v>118</v>
      </c>
      <c r="C138" s="24" t="s">
        <v>140</v>
      </c>
      <c r="D138" s="24" t="s">
        <v>953</v>
      </c>
      <c r="E138" s="24"/>
      <c r="F138" s="362">
        <f>F142+F139</f>
        <v>41282.100000000006</v>
      </c>
      <c r="G138" s="362">
        <f>G142+G139</f>
        <v>41282.100000000006</v>
      </c>
    </row>
    <row r="139" spans="1:8" ht="47.25" x14ac:dyDescent="0.25">
      <c r="A139" s="25" t="s">
        <v>839</v>
      </c>
      <c r="B139" s="20" t="s">
        <v>118</v>
      </c>
      <c r="C139" s="20" t="s">
        <v>140</v>
      </c>
      <c r="D139" s="20" t="s">
        <v>956</v>
      </c>
      <c r="E139" s="20"/>
      <c r="F139" s="6">
        <f>F140</f>
        <v>1072</v>
      </c>
      <c r="G139" s="6">
        <f>G140</f>
        <v>1072</v>
      </c>
      <c r="H139" s="227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956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956</v>
      </c>
      <c r="E141" s="20" t="s">
        <v>209</v>
      </c>
      <c r="F141" s="6">
        <f>'пр.6.1.ведом.22-23'!G838</f>
        <v>1072</v>
      </c>
      <c r="G141" s="6">
        <f>'пр.6.1.ведом.22-23'!H838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955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955</v>
      </c>
      <c r="E144" s="20" t="s">
        <v>209</v>
      </c>
      <c r="F144" s="6">
        <f>'пр.6.1.ведом.22-23'!G841</f>
        <v>32825.800000000003</v>
      </c>
      <c r="G144" s="6">
        <f>'пр.6.1.ведом.22-23'!H841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955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955</v>
      </c>
      <c r="E146" s="20" t="s">
        <v>134</v>
      </c>
      <c r="F146" s="6">
        <f>'пр.6.1.ведом.22-23'!G843</f>
        <v>6963.3</v>
      </c>
      <c r="G146" s="6">
        <f>'пр.6.1.ведом.22-23'!H843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955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955</v>
      </c>
      <c r="E148" s="20" t="s">
        <v>138</v>
      </c>
      <c r="F148" s="6">
        <f>'пр.6.1.ведом.22-23'!G845</f>
        <v>421</v>
      </c>
      <c r="G148" s="6">
        <f>'пр.6.1.ведом.22-23'!H845</f>
        <v>421</v>
      </c>
    </row>
    <row r="149" spans="1:8" ht="31.5" x14ac:dyDescent="0.25">
      <c r="A149" s="23" t="s">
        <v>870</v>
      </c>
      <c r="B149" s="24" t="s">
        <v>118</v>
      </c>
      <c r="C149" s="24" t="s">
        <v>140</v>
      </c>
      <c r="D149" s="24" t="s">
        <v>865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1011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1011</v>
      </c>
      <c r="E152" s="20" t="s">
        <v>134</v>
      </c>
      <c r="F152" s="6">
        <f>'пр.6.1.ведом.22-23'!G512</f>
        <v>5202.1000000000004</v>
      </c>
      <c r="G152" s="6">
        <f>'пр.6.1.ведом.22-23'!H512</f>
        <v>5202.1000000000004</v>
      </c>
    </row>
    <row r="153" spans="1:8" ht="47.25" hidden="1" x14ac:dyDescent="0.25">
      <c r="A153" s="25" t="s">
        <v>931</v>
      </c>
      <c r="B153" s="20" t="s">
        <v>118</v>
      </c>
      <c r="C153" s="20" t="s">
        <v>140</v>
      </c>
      <c r="D153" s="20" t="s">
        <v>1012</v>
      </c>
      <c r="E153" s="20"/>
      <c r="F153" s="6">
        <f>'Пр.3 Рд,пр, ЦС,ВР 21'!F159</f>
        <v>0</v>
      </c>
      <c r="G153" s="6">
        <f t="shared" ref="G153:G154" si="7">F153</f>
        <v>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1012</v>
      </c>
      <c r="E154" s="20" t="s">
        <v>132</v>
      </c>
      <c r="F154" s="6">
        <f>'Пр.3 Рд,пр, ЦС,ВР 21'!F160</f>
        <v>0</v>
      </c>
      <c r="G154" s="6">
        <f t="shared" si="7"/>
        <v>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1012</v>
      </c>
      <c r="E155" s="20" t="s">
        <v>134</v>
      </c>
      <c r="F155" s="6">
        <f>'Пр.3 Рд,пр, ЦС,ВР 21'!F161</f>
        <v>0</v>
      </c>
      <c r="G155" s="6">
        <f t="shared" ref="G155:G202" si="8">F155</f>
        <v>0</v>
      </c>
    </row>
    <row r="156" spans="1:8" s="200" customFormat="1" ht="15.75" hidden="1" x14ac:dyDescent="0.25">
      <c r="A156" s="25" t="s">
        <v>1138</v>
      </c>
      <c r="B156" s="20" t="s">
        <v>118</v>
      </c>
      <c r="C156" s="20" t="s">
        <v>140</v>
      </c>
      <c r="D156" s="20" t="s">
        <v>1139</v>
      </c>
      <c r="E156" s="20"/>
      <c r="F156" s="26">
        <f>F157</f>
        <v>0</v>
      </c>
      <c r="G156" s="26">
        <f>G157</f>
        <v>0</v>
      </c>
    </row>
    <row r="157" spans="1:8" s="200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1139</v>
      </c>
      <c r="E157" s="20" t="s">
        <v>145</v>
      </c>
      <c r="F157" s="26">
        <f>F158</f>
        <v>0</v>
      </c>
      <c r="G157" s="26">
        <f>G158</f>
        <v>0</v>
      </c>
    </row>
    <row r="158" spans="1:8" s="200" customFormat="1" ht="15.75" hidden="1" x14ac:dyDescent="0.25">
      <c r="A158" s="25" t="s">
        <v>1138</v>
      </c>
      <c r="B158" s="20" t="s">
        <v>118</v>
      </c>
      <c r="C158" s="20" t="s">
        <v>140</v>
      </c>
      <c r="D158" s="20" t="s">
        <v>1139</v>
      </c>
      <c r="E158" s="20" t="s">
        <v>1140</v>
      </c>
      <c r="F158" s="26">
        <f>'пр.6.1.ведом.22-23'!G30</f>
        <v>0</v>
      </c>
      <c r="G158" s="26">
        <f>'пр.6.1.ведом.22-23'!H30</f>
        <v>0</v>
      </c>
    </row>
    <row r="159" spans="1:8" ht="31.5" x14ac:dyDescent="0.25">
      <c r="A159" s="23" t="s">
        <v>922</v>
      </c>
      <c r="B159" s="24" t="s">
        <v>118</v>
      </c>
      <c r="C159" s="24" t="s">
        <v>140</v>
      </c>
      <c r="D159" s="24" t="s">
        <v>867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928</v>
      </c>
      <c r="B160" s="20" t="s">
        <v>118</v>
      </c>
      <c r="C160" s="20" t="s">
        <v>140</v>
      </c>
      <c r="D160" s="20" t="s">
        <v>868</v>
      </c>
      <c r="E160" s="20"/>
      <c r="F160" s="6">
        <f>F161+F163</f>
        <v>5701</v>
      </c>
      <c r="G160" s="6">
        <f>G161+G163</f>
        <v>5701</v>
      </c>
      <c r="H160" s="227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868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868</v>
      </c>
      <c r="E162" s="20" t="s">
        <v>209</v>
      </c>
      <c r="F162" s="6">
        <f>'пр.6.1.ведом.22-23'!G135</f>
        <v>4501</v>
      </c>
      <c r="G162" s="6">
        <f>'пр.6.1.ведом.22-23'!H135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868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868</v>
      </c>
      <c r="E164" s="20" t="s">
        <v>134</v>
      </c>
      <c r="F164" s="6">
        <f>'пр.6.1.ведом.22-23'!G137</f>
        <v>1200</v>
      </c>
      <c r="G164" s="6">
        <f>'пр.6.1.ведом.22-23'!H137</f>
        <v>1200</v>
      </c>
    </row>
    <row r="165" spans="1:7" ht="47.25" x14ac:dyDescent="0.25">
      <c r="A165" s="25" t="s">
        <v>839</v>
      </c>
      <c r="B165" s="20" t="s">
        <v>118</v>
      </c>
      <c r="C165" s="20" t="s">
        <v>140</v>
      </c>
      <c r="D165" s="20" t="s">
        <v>869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869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869</v>
      </c>
      <c r="E167" s="20" t="s">
        <v>209</v>
      </c>
      <c r="F167" s="6">
        <f>'пр.6.1.ведом.22-23'!G140</f>
        <v>128</v>
      </c>
      <c r="G167" s="6">
        <f>'пр.6.1.ведом.22-23'!H140</f>
        <v>128</v>
      </c>
    </row>
    <row r="168" spans="1:7" ht="47.25" x14ac:dyDescent="0.25">
      <c r="A168" s="23" t="s">
        <v>1375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1382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45" t="s">
        <v>1045</v>
      </c>
      <c r="B170" s="7" t="s">
        <v>118</v>
      </c>
      <c r="C170" s="7" t="s">
        <v>140</v>
      </c>
      <c r="D170" s="7" t="s">
        <v>909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1096</v>
      </c>
      <c r="B171" s="40" t="s">
        <v>118</v>
      </c>
      <c r="C171" s="40" t="s">
        <v>140</v>
      </c>
      <c r="D171" s="40" t="s">
        <v>1199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1199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1199</v>
      </c>
      <c r="E173" s="40" t="s">
        <v>134</v>
      </c>
      <c r="F173" s="6">
        <f>'пр.6.1.ведом.22-23'!G250</f>
        <v>200</v>
      </c>
      <c r="G173" s="6">
        <f>'пр.6.1.ведом.22-23'!H250</f>
        <v>500</v>
      </c>
    </row>
    <row r="174" spans="1:7" ht="47.25" hidden="1" x14ac:dyDescent="0.25">
      <c r="A174" s="35" t="s">
        <v>886</v>
      </c>
      <c r="B174" s="20" t="s">
        <v>118</v>
      </c>
      <c r="C174" s="20" t="s">
        <v>140</v>
      </c>
      <c r="D174" s="20" t="s">
        <v>1298</v>
      </c>
      <c r="E174" s="24"/>
      <c r="F174" s="6" t="e">
        <f>'Пр.3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1298</v>
      </c>
      <c r="E175" s="20" t="s">
        <v>132</v>
      </c>
      <c r="F175" s="6" t="e">
        <f>'Пр.3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1298</v>
      </c>
      <c r="E176" s="20" t="s">
        <v>134</v>
      </c>
      <c r="F176" s="6" t="e">
        <f>'Пр.3 Рд,пр, ЦС,ВР 21'!#REF!</f>
        <v>#REF!</v>
      </c>
      <c r="G176" s="6" t="e">
        <f t="shared" si="8"/>
        <v>#REF!</v>
      </c>
    </row>
    <row r="177" spans="1:7" s="200" customFormat="1" ht="63" x14ac:dyDescent="0.25">
      <c r="A177" s="34" t="s">
        <v>1221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200" customFormat="1" ht="63" x14ac:dyDescent="0.25">
      <c r="A178" s="34" t="s">
        <v>1025</v>
      </c>
      <c r="B178" s="24" t="s">
        <v>118</v>
      </c>
      <c r="C178" s="24" t="s">
        <v>140</v>
      </c>
      <c r="D178" s="24" t="s">
        <v>934</v>
      </c>
      <c r="E178" s="24"/>
      <c r="F178" s="21">
        <f>F181</f>
        <v>12</v>
      </c>
      <c r="G178" s="21">
        <f>G181</f>
        <v>40</v>
      </c>
    </row>
    <row r="179" spans="1:7" s="200" customFormat="1" ht="47.25" x14ac:dyDescent="0.25">
      <c r="A179" s="31" t="s">
        <v>1081</v>
      </c>
      <c r="B179" s="20" t="s">
        <v>118</v>
      </c>
      <c r="C179" s="20" t="s">
        <v>140</v>
      </c>
      <c r="D179" s="20" t="s">
        <v>1026</v>
      </c>
      <c r="E179" s="20"/>
      <c r="F179" s="26">
        <f>F180</f>
        <v>12</v>
      </c>
      <c r="G179" s="26">
        <f>G180</f>
        <v>40</v>
      </c>
    </row>
    <row r="180" spans="1:7" s="200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1026</v>
      </c>
      <c r="E180" s="20" t="s">
        <v>132</v>
      </c>
      <c r="F180" s="26">
        <f>F181</f>
        <v>12</v>
      </c>
      <c r="G180" s="26">
        <f>G181</f>
        <v>40</v>
      </c>
    </row>
    <row r="181" spans="1:7" s="200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1026</v>
      </c>
      <c r="E181" s="20" t="s">
        <v>134</v>
      </c>
      <c r="F181" s="26">
        <f>'пр.6.1.ведом.22-23'!G145</f>
        <v>12</v>
      </c>
      <c r="G181" s="26">
        <f>'пр.6.1.ведом.22-23'!H145</f>
        <v>40</v>
      </c>
    </row>
    <row r="182" spans="1:7" ht="47.25" x14ac:dyDescent="0.25">
      <c r="A182" s="23" t="s">
        <v>1358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1050</v>
      </c>
      <c r="B183" s="24" t="s">
        <v>118</v>
      </c>
      <c r="C183" s="24" t="s">
        <v>140</v>
      </c>
      <c r="D183" s="24" t="s">
        <v>1051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1052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1052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1052</v>
      </c>
      <c r="E186" s="20" t="s">
        <v>134</v>
      </c>
      <c r="F186" s="6">
        <f>'пр.6.1.ведом.22-23'!G763+'пр.6.1.ведом.22-23'!G544+'пр.6.1.ведом.22-23'!G255</f>
        <v>100</v>
      </c>
      <c r="G186" s="6">
        <f>'пр.6.1.ведом.22-23'!H763+'пр.6.1.ведом.22-23'!H544+'пр.6.1.ведом.22-23'!H255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1053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1053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1053</v>
      </c>
      <c r="E189" s="20" t="s">
        <v>134</v>
      </c>
      <c r="F189" s="6">
        <f>'пр.6.1.ведом.22-23'!G264</f>
        <v>20</v>
      </c>
      <c r="G189" s="6">
        <f>'пр.6.1.ведом.22-23'!H264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1054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1054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1054</v>
      </c>
      <c r="E192" s="20" t="s">
        <v>134</v>
      </c>
      <c r="F192" s="6">
        <f>'пр.6.1.ведом.22-23'!G258</f>
        <v>0</v>
      </c>
      <c r="G192" s="6">
        <f>'пр.6.1.ведом.22-23'!H258</f>
        <v>0</v>
      </c>
    </row>
    <row r="193" spans="1:7" ht="31.5" hidden="1" x14ac:dyDescent="0.25">
      <c r="A193" s="25" t="s">
        <v>994</v>
      </c>
      <c r="B193" s="20" t="s">
        <v>118</v>
      </c>
      <c r="C193" s="20" t="s">
        <v>140</v>
      </c>
      <c r="D193" s="20" t="s">
        <v>1055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1055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1055</v>
      </c>
      <c r="E195" s="20" t="s">
        <v>134</v>
      </c>
      <c r="F195" s="6">
        <f>'пр.6.1.ведом.22-23'!G261</f>
        <v>0</v>
      </c>
      <c r="G195" s="6">
        <f>'пр.6.1.ведом.22-23'!H261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1056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1056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1056</v>
      </c>
      <c r="E198" s="20" t="s">
        <v>134</v>
      </c>
      <c r="F198" s="6">
        <f>'пр.6.1.ведом.22-23'!G267</f>
        <v>0</v>
      </c>
      <c r="G198" s="6">
        <f>'пр.6.1.ведом.22-23'!H267</f>
        <v>0</v>
      </c>
    </row>
    <row r="199" spans="1:7" ht="57.2" customHeight="1" x14ac:dyDescent="0.25">
      <c r="A199" s="41" t="s">
        <v>1355</v>
      </c>
      <c r="B199" s="8" t="s">
        <v>118</v>
      </c>
      <c r="C199" s="8" t="s">
        <v>140</v>
      </c>
      <c r="D199" s="24" t="s">
        <v>705</v>
      </c>
      <c r="E199" s="217"/>
      <c r="F199" s="59">
        <f>F200+F204</f>
        <v>48</v>
      </c>
      <c r="G199" s="59">
        <f>G200+G204</f>
        <v>48</v>
      </c>
    </row>
    <row r="200" spans="1:7" ht="47.25" x14ac:dyDescent="0.25">
      <c r="A200" s="206" t="s">
        <v>846</v>
      </c>
      <c r="B200" s="24" t="s">
        <v>118</v>
      </c>
      <c r="C200" s="24" t="s">
        <v>140</v>
      </c>
      <c r="D200" s="24" t="s">
        <v>852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847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847</v>
      </c>
      <c r="E203" s="20" t="s">
        <v>134</v>
      </c>
      <c r="F203" s="6">
        <f>'пр.6.1.ведом.22-23'!G150+'пр.6.1.ведом.22-23'!G272</f>
        <v>33</v>
      </c>
      <c r="G203" s="6">
        <f>'пр.6.1.ведом.22-23'!H150+'пр.6.1.ведом.22-23'!H272</f>
        <v>33</v>
      </c>
    </row>
    <row r="204" spans="1:7" ht="47.25" x14ac:dyDescent="0.25">
      <c r="A204" s="207" t="s">
        <v>1023</v>
      </c>
      <c r="B204" s="24" t="s">
        <v>118</v>
      </c>
      <c r="C204" s="24" t="s">
        <v>140</v>
      </c>
      <c r="D204" s="24" t="s">
        <v>853</v>
      </c>
      <c r="E204" s="217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848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848</v>
      </c>
      <c r="E207" s="32" t="s">
        <v>134</v>
      </c>
      <c r="F207" s="6">
        <f>'пр.6.1.ведом.22-23'!G154</f>
        <v>15</v>
      </c>
      <c r="G207" s="6">
        <f>'пр.6.1.ведом.22-23'!H154</f>
        <v>15</v>
      </c>
    </row>
    <row r="208" spans="1:7" ht="63" hidden="1" x14ac:dyDescent="0.25">
      <c r="A208" s="212" t="s">
        <v>1383</v>
      </c>
      <c r="B208" s="24" t="s">
        <v>118</v>
      </c>
      <c r="C208" s="24" t="s">
        <v>140</v>
      </c>
      <c r="D208" s="24" t="s">
        <v>782</v>
      </c>
      <c r="E208" s="217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930</v>
      </c>
      <c r="B209" s="24" t="s">
        <v>118</v>
      </c>
      <c r="C209" s="24" t="s">
        <v>140</v>
      </c>
      <c r="D209" s="24" t="s">
        <v>1020</v>
      </c>
      <c r="E209" s="217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2" t="s">
        <v>790</v>
      </c>
      <c r="B210" s="20" t="s">
        <v>118</v>
      </c>
      <c r="C210" s="20" t="s">
        <v>140</v>
      </c>
      <c r="D210" s="20" t="s">
        <v>1021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2" t="s">
        <v>131</v>
      </c>
      <c r="B211" s="20" t="s">
        <v>118</v>
      </c>
      <c r="C211" s="20" t="s">
        <v>140</v>
      </c>
      <c r="D211" s="20" t="s">
        <v>1021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2" t="s">
        <v>133</v>
      </c>
      <c r="B212" s="20" t="s">
        <v>118</v>
      </c>
      <c r="C212" s="20" t="s">
        <v>140</v>
      </c>
      <c r="D212" s="20" t="s">
        <v>1021</v>
      </c>
      <c r="E212" s="32" t="s">
        <v>134</v>
      </c>
      <c r="F212" s="6">
        <f>'пр.6.1.ведом.22-23'!G520</f>
        <v>0</v>
      </c>
      <c r="G212" s="6">
        <f>'пр.6.1.ведом.22-23'!H520</f>
        <v>0</v>
      </c>
    </row>
    <row r="213" spans="1:7" ht="78.75" x14ac:dyDescent="0.25">
      <c r="A213" s="41" t="s">
        <v>1345</v>
      </c>
      <c r="B213" s="8" t="s">
        <v>118</v>
      </c>
      <c r="C213" s="8" t="s">
        <v>140</v>
      </c>
      <c r="D213" s="337" t="s">
        <v>817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08" t="s">
        <v>854</v>
      </c>
      <c r="B214" s="8" t="s">
        <v>118</v>
      </c>
      <c r="C214" s="8" t="s">
        <v>140</v>
      </c>
      <c r="D214" s="193" t="s">
        <v>1076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6">
        <f>'пр.6.1.ведом.22-23'!G159</f>
        <v>45</v>
      </c>
      <c r="G217" s="6">
        <f>'пр.6.1.ведом.22-23'!H159</f>
        <v>50</v>
      </c>
    </row>
    <row r="218" spans="1:7" ht="62.45" customHeight="1" x14ac:dyDescent="0.25">
      <c r="A218" s="41" t="s">
        <v>1346</v>
      </c>
      <c r="B218" s="8" t="s">
        <v>118</v>
      </c>
      <c r="C218" s="8" t="s">
        <v>140</v>
      </c>
      <c r="D218" s="193" t="s">
        <v>818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3" t="s">
        <v>864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6">
        <f>'пр.6.1.ведом.22-23'!G164</f>
        <v>80</v>
      </c>
      <c r="G222" s="6">
        <f>'пр.6.1.ведом.22-23'!H164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870</v>
      </c>
      <c r="B226" s="24" t="s">
        <v>213</v>
      </c>
      <c r="C226" s="24" t="s">
        <v>219</v>
      </c>
      <c r="D226" s="24" t="s">
        <v>865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871</v>
      </c>
      <c r="E227" s="20"/>
      <c r="F227" s="6">
        <f>'Пр.3 Рд,пр, ЦС,ВР 21'!F225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871</v>
      </c>
      <c r="E228" s="20" t="s">
        <v>132</v>
      </c>
      <c r="F228" s="6">
        <f>'Пр.3 Рд,пр, ЦС,ВР 21'!F226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871</v>
      </c>
      <c r="E229" s="20" t="s">
        <v>134</v>
      </c>
      <c r="F229" s="6">
        <f>'Пр.3 Рд,пр, ЦС,ВР 21'!F227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1348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870</v>
      </c>
      <c r="B233" s="24" t="s">
        <v>215</v>
      </c>
      <c r="C233" s="24" t="s">
        <v>244</v>
      </c>
      <c r="D233" s="24" t="s">
        <v>865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875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875</v>
      </c>
      <c r="E236" s="20" t="s">
        <v>134</v>
      </c>
      <c r="F236" s="6">
        <f>'пр.6.1.ведом.22-23'!G178</f>
        <v>1785</v>
      </c>
      <c r="G236" s="6">
        <f>'пр.6.1.ведом.22-23'!H178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876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876</v>
      </c>
      <c r="E239" s="20" t="s">
        <v>134</v>
      </c>
      <c r="F239" s="6">
        <f>'пр.6.1.ведом.22-23'!G181+'пр.6.1.ведом.22-23'!G852</f>
        <v>304</v>
      </c>
      <c r="G239" s="6">
        <f>'пр.6.1.ведом.22-23'!H181+'пр.6.1.ведом.22-23'!H852</f>
        <v>304</v>
      </c>
    </row>
    <row r="240" spans="1:7" ht="47.25" x14ac:dyDescent="0.25">
      <c r="A240" s="23" t="s">
        <v>923</v>
      </c>
      <c r="B240" s="24" t="s">
        <v>215</v>
      </c>
      <c r="C240" s="24" t="s">
        <v>244</v>
      </c>
      <c r="D240" s="24" t="s">
        <v>872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927</v>
      </c>
      <c r="B241" s="20" t="s">
        <v>215</v>
      </c>
      <c r="C241" s="20" t="s">
        <v>244</v>
      </c>
      <c r="D241" s="20" t="s">
        <v>873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873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873</v>
      </c>
      <c r="E243" s="20" t="s">
        <v>209</v>
      </c>
      <c r="F243" s="6">
        <f>'пр.6.1.ведом.22-23'!G185</f>
        <v>5693.1</v>
      </c>
      <c r="G243" s="6">
        <f>'пр.6.1.ведом.22-23'!H185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873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873</v>
      </c>
      <c r="E245" s="20" t="s">
        <v>134</v>
      </c>
      <c r="F245" s="6">
        <f>'пр.6.1.ведом.22-23'!G187</f>
        <v>163</v>
      </c>
      <c r="G245" s="6">
        <f>'пр.6.1.ведом.22-23'!H187</f>
        <v>163</v>
      </c>
    </row>
    <row r="246" spans="1:9" ht="47.25" x14ac:dyDescent="0.25">
      <c r="A246" s="25" t="s">
        <v>839</v>
      </c>
      <c r="B246" s="20" t="s">
        <v>215</v>
      </c>
      <c r="C246" s="20" t="s">
        <v>244</v>
      </c>
      <c r="D246" s="20" t="s">
        <v>874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874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874</v>
      </c>
      <c r="E248" s="20" t="s">
        <v>130</v>
      </c>
      <c r="F248" s="6">
        <f>'пр.6.1.ведом.22-23'!G190</f>
        <v>252</v>
      </c>
      <c r="G248" s="6">
        <f>'пр.6.1.ведом.22-23'!H190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6525.2</v>
      </c>
      <c r="G249" s="4">
        <f>G263+G269+G283+G250</f>
        <v>6535.8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1384</v>
      </c>
      <c r="B251" s="24" t="s">
        <v>150</v>
      </c>
      <c r="C251" s="24" t="s">
        <v>234</v>
      </c>
      <c r="D251" s="193" t="s">
        <v>182</v>
      </c>
      <c r="E251" s="217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1006</v>
      </c>
      <c r="B252" s="24" t="s">
        <v>150</v>
      </c>
      <c r="C252" s="24" t="s">
        <v>234</v>
      </c>
      <c r="D252" s="246" t="s">
        <v>877</v>
      </c>
      <c r="E252" s="217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898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898</v>
      </c>
      <c r="E255" s="32" t="s">
        <v>160</v>
      </c>
      <c r="F255" s="6">
        <f>'пр.6.1.ведом.22-23'!G197</f>
        <v>274</v>
      </c>
      <c r="G255" s="6">
        <f>'пр.6.1.ведом.22-23'!H197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880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880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880</v>
      </c>
      <c r="E258" s="20" t="s">
        <v>160</v>
      </c>
      <c r="F258" s="6">
        <f>'пр.6.1.ведом.22-23'!G200</f>
        <v>0</v>
      </c>
      <c r="G258" s="6">
        <f>'пр.6.1.ведом.22-23'!H200</f>
        <v>0</v>
      </c>
    </row>
    <row r="259" spans="1:7" ht="47.25" hidden="1" x14ac:dyDescent="0.25">
      <c r="A259" s="209" t="s">
        <v>1007</v>
      </c>
      <c r="B259" s="24" t="s">
        <v>150</v>
      </c>
      <c r="C259" s="24" t="s">
        <v>234</v>
      </c>
      <c r="D259" s="193" t="s">
        <v>879</v>
      </c>
      <c r="E259" s="217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878</v>
      </c>
      <c r="B260" s="20" t="s">
        <v>150</v>
      </c>
      <c r="C260" s="20" t="s">
        <v>234</v>
      </c>
      <c r="D260" s="5" t="s">
        <v>899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899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899</v>
      </c>
      <c r="E262" s="32" t="s">
        <v>160</v>
      </c>
      <c r="F262" s="6">
        <f>'пр.6.1.ведом.22-23'!G204</f>
        <v>0</v>
      </c>
      <c r="G262" s="6">
        <f>'пр.6.1.ведом.22-23'!H204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870</v>
      </c>
      <c r="B265" s="24" t="s">
        <v>150</v>
      </c>
      <c r="C265" s="24" t="s">
        <v>299</v>
      </c>
      <c r="D265" s="24" t="s">
        <v>865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957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957</v>
      </c>
      <c r="E268" s="20" t="s">
        <v>134</v>
      </c>
      <c r="F268" s="6">
        <f>'пр.6.1.ведом.22-23'!G859</f>
        <v>3258</v>
      </c>
      <c r="G268" s="6">
        <f>'пр.6.1.ведом.22-23'!H859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2319</v>
      </c>
      <c r="G269" s="4">
        <f t="shared" si="20"/>
        <v>2319</v>
      </c>
    </row>
    <row r="270" spans="1:7" ht="47.25" x14ac:dyDescent="0.25">
      <c r="A270" s="34" t="s">
        <v>1373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24" t="s">
        <v>150</v>
      </c>
      <c r="C271" s="24" t="s">
        <v>219</v>
      </c>
      <c r="D271" s="7" t="s">
        <v>958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1001</v>
      </c>
      <c r="B272" s="20" t="s">
        <v>150</v>
      </c>
      <c r="C272" s="20" t="s">
        <v>219</v>
      </c>
      <c r="D272" s="40" t="s">
        <v>1000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1000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1000</v>
      </c>
      <c r="E274" s="20" t="s">
        <v>134</v>
      </c>
      <c r="F274" s="6">
        <f>'пр.6.1.ведом.22-23'!G865</f>
        <v>0</v>
      </c>
      <c r="G274" s="6">
        <f>'пр.6.1.ведом.22-23'!H865</f>
        <v>0</v>
      </c>
    </row>
    <row r="275" spans="1:7" ht="47.25" x14ac:dyDescent="0.25">
      <c r="A275" s="34" t="s">
        <v>1061</v>
      </c>
      <c r="B275" s="24" t="s">
        <v>150</v>
      </c>
      <c r="C275" s="24" t="s">
        <v>219</v>
      </c>
      <c r="D275" s="24" t="s">
        <v>959</v>
      </c>
      <c r="E275" s="24"/>
      <c r="F275" s="362">
        <f t="shared" ref="F275:G279" si="22">F276</f>
        <v>2319</v>
      </c>
      <c r="G275" s="362">
        <f t="shared" si="22"/>
        <v>2319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1002</v>
      </c>
      <c r="E276" s="20"/>
      <c r="F276" s="6">
        <f>F279+F277</f>
        <v>2319</v>
      </c>
      <c r="G276" s="6">
        <f>G279+G277</f>
        <v>2319</v>
      </c>
    </row>
    <row r="277" spans="1:7" s="200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1002</v>
      </c>
      <c r="E277" s="20" t="s">
        <v>128</v>
      </c>
      <c r="F277" s="26">
        <f>F278</f>
        <v>1807</v>
      </c>
      <c r="G277" s="26">
        <f>G278</f>
        <v>1807</v>
      </c>
    </row>
    <row r="278" spans="1:7" s="200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1002</v>
      </c>
      <c r="E278" s="20" t="s">
        <v>209</v>
      </c>
      <c r="F278" s="26">
        <f>'пр.6.1.ведом.22-23'!G869</f>
        <v>1807</v>
      </c>
      <c r="G278" s="26">
        <f>'пр.6.1.ведом.22-23'!H869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1002</v>
      </c>
      <c r="E279" s="20" t="s">
        <v>132</v>
      </c>
      <c r="F279" s="6">
        <f t="shared" si="22"/>
        <v>512</v>
      </c>
      <c r="G279" s="6">
        <f t="shared" si="22"/>
        <v>512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1002</v>
      </c>
      <c r="E280" s="20" t="s">
        <v>134</v>
      </c>
      <c r="F280" s="6">
        <f>'пр.6.1.ведом.22-23'!G871</f>
        <v>512</v>
      </c>
      <c r="G280" s="6">
        <f>'пр.6.1.ведом.22-23'!H871</f>
        <v>512</v>
      </c>
    </row>
    <row r="281" spans="1:7" ht="15.75" x14ac:dyDescent="0.25">
      <c r="A281" s="25" t="s">
        <v>135</v>
      </c>
      <c r="B281" s="20" t="s">
        <v>150</v>
      </c>
      <c r="C281" s="20" t="s">
        <v>219</v>
      </c>
      <c r="D281" s="40" t="s">
        <v>1002</v>
      </c>
      <c r="E281" s="20" t="s">
        <v>145</v>
      </c>
      <c r="F281" s="6">
        <f>'Пр.3 Рд,пр, ЦС,ВР 21'!F284</f>
        <v>0</v>
      </c>
      <c r="G281" s="6">
        <f t="shared" si="15"/>
        <v>0</v>
      </c>
    </row>
    <row r="282" spans="1:7" ht="15.75" x14ac:dyDescent="0.25">
      <c r="A282" s="25" t="s">
        <v>568</v>
      </c>
      <c r="B282" s="20" t="s">
        <v>150</v>
      </c>
      <c r="C282" s="20" t="s">
        <v>219</v>
      </c>
      <c r="D282" s="40" t="s">
        <v>1002</v>
      </c>
      <c r="E282" s="20" t="s">
        <v>138</v>
      </c>
      <c r="F282" s="6">
        <f>'Пр.3 Рд,пр, ЦС,ВР 21'!F285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917</v>
      </c>
      <c r="B284" s="24" t="s">
        <v>150</v>
      </c>
      <c r="C284" s="24" t="s">
        <v>238</v>
      </c>
      <c r="D284" s="24" t="s">
        <v>858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885</v>
      </c>
      <c r="B285" s="24" t="s">
        <v>150</v>
      </c>
      <c r="C285" s="24" t="s">
        <v>238</v>
      </c>
      <c r="D285" s="24" t="s">
        <v>863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924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924</v>
      </c>
      <c r="E288" s="20" t="s">
        <v>130</v>
      </c>
      <c r="F288" s="6">
        <f>'пр.6.1.ведом.22-23'!G210</f>
        <v>205.8</v>
      </c>
      <c r="G288" s="6">
        <f>'пр.6.1.ведом.22-23'!H210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924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924</v>
      </c>
      <c r="E290" s="20" t="s">
        <v>134</v>
      </c>
      <c r="F290" s="6">
        <f>'пр.6.1.ведом.22-23'!G212</f>
        <v>58.4</v>
      </c>
      <c r="G290" s="6">
        <f>'пр.6.1.ведом.22-23'!H212</f>
        <v>69</v>
      </c>
    </row>
    <row r="291" spans="1:7" ht="47.25" x14ac:dyDescent="0.25">
      <c r="A291" s="23" t="s">
        <v>1375</v>
      </c>
      <c r="B291" s="24" t="s">
        <v>150</v>
      </c>
      <c r="C291" s="24" t="s">
        <v>238</v>
      </c>
      <c r="D291" s="24" t="s">
        <v>344</v>
      </c>
      <c r="E291" s="217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0" t="s">
        <v>1043</v>
      </c>
      <c r="B293" s="24" t="s">
        <v>150</v>
      </c>
      <c r="C293" s="24" t="s">
        <v>238</v>
      </c>
      <c r="D293" s="24" t="s">
        <v>907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1317</v>
      </c>
      <c r="E294" s="20"/>
      <c r="F294" s="6">
        <f>'Пр.3 Рд,пр, ЦС,ВР 21'!F297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1317</v>
      </c>
      <c r="E295" s="20" t="s">
        <v>249</v>
      </c>
      <c r="F295" s="6">
        <f>'Пр.3 Рд,пр, ЦС,ВР 21'!F298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1317</v>
      </c>
      <c r="E296" s="20" t="s">
        <v>251</v>
      </c>
      <c r="F296" s="6">
        <f>'Пр.3 Рд,пр, ЦС,ВР 21'!F299</f>
        <v>0</v>
      </c>
      <c r="G296" s="6">
        <f t="shared" si="23"/>
        <v>0</v>
      </c>
    </row>
    <row r="297" spans="1:7" ht="47.25" x14ac:dyDescent="0.25">
      <c r="A297" s="23" t="s">
        <v>1041</v>
      </c>
      <c r="B297" s="24" t="s">
        <v>150</v>
      </c>
      <c r="C297" s="24" t="s">
        <v>238</v>
      </c>
      <c r="D297" s="24" t="s">
        <v>1200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1509</v>
      </c>
      <c r="B298" s="20" t="s">
        <v>150</v>
      </c>
      <c r="C298" s="20" t="s">
        <v>238</v>
      </c>
      <c r="D298" s="20" t="s">
        <v>1201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1201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1201</v>
      </c>
      <c r="E300" s="20" t="s">
        <v>160</v>
      </c>
      <c r="F300" s="6">
        <f>'пр.6.1.ведом.22-23'!G284</f>
        <v>260</v>
      </c>
      <c r="G300" s="6">
        <f>'пр.6.1.ведом.22-23'!H284</f>
        <v>260</v>
      </c>
    </row>
    <row r="301" spans="1:7" ht="31.5" hidden="1" x14ac:dyDescent="0.25">
      <c r="A301" s="23" t="s">
        <v>995</v>
      </c>
      <c r="B301" s="24" t="s">
        <v>150</v>
      </c>
      <c r="C301" s="24" t="s">
        <v>238</v>
      </c>
      <c r="D301" s="24" t="s">
        <v>1310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47" t="s">
        <v>1044</v>
      </c>
      <c r="B302" s="20" t="s">
        <v>150</v>
      </c>
      <c r="C302" s="20" t="s">
        <v>238</v>
      </c>
      <c r="D302" s="20" t="s">
        <v>1311</v>
      </c>
      <c r="E302" s="20"/>
      <c r="F302" s="6">
        <f>'Пр.3 Рд,пр, ЦС,ВР 21'!F305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1311</v>
      </c>
      <c r="E303" s="20" t="s">
        <v>132</v>
      </c>
      <c r="F303" s="6">
        <f>'Пр.3 Рд,пр, ЦС,ВР 21'!F306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1311</v>
      </c>
      <c r="E304" s="20" t="s">
        <v>134</v>
      </c>
      <c r="F304" s="6">
        <f>'Пр.3 Рд,пр, ЦС,ВР 21'!F307</f>
        <v>0</v>
      </c>
      <c r="G304" s="6">
        <f t="shared" si="23"/>
        <v>0</v>
      </c>
    </row>
    <row r="305" spans="1:9" s="200" customFormat="1" ht="47.25" hidden="1" x14ac:dyDescent="0.25">
      <c r="A305" s="207" t="s">
        <v>1103</v>
      </c>
      <c r="B305" s="24" t="s">
        <v>150</v>
      </c>
      <c r="C305" s="24" t="s">
        <v>238</v>
      </c>
      <c r="D305" s="24" t="s">
        <v>1202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0" customFormat="1" ht="31.5" hidden="1" x14ac:dyDescent="0.25">
      <c r="A306" s="226" t="s">
        <v>1104</v>
      </c>
      <c r="B306" s="20" t="s">
        <v>150</v>
      </c>
      <c r="C306" s="20" t="s">
        <v>238</v>
      </c>
      <c r="D306" s="20" t="s">
        <v>1203</v>
      </c>
      <c r="E306" s="20"/>
      <c r="F306" s="26">
        <f t="shared" si="25"/>
        <v>0</v>
      </c>
      <c r="G306" s="6">
        <f t="shared" si="25"/>
        <v>0</v>
      </c>
    </row>
    <row r="307" spans="1:9" s="200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1203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200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1203</v>
      </c>
      <c r="E308" s="20" t="s">
        <v>134</v>
      </c>
      <c r="F308" s="26">
        <f>'пр.6.1.ведом.22-23'!G292</f>
        <v>0</v>
      </c>
      <c r="G308" s="6">
        <f>'пр.6.1.ведом.22-23'!H292</f>
        <v>0</v>
      </c>
    </row>
    <row r="309" spans="1:9" ht="47.25" x14ac:dyDescent="0.25">
      <c r="A309" s="23" t="s">
        <v>1339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1065</v>
      </c>
      <c r="B310" s="24" t="s">
        <v>150</v>
      </c>
      <c r="C310" s="24" t="s">
        <v>238</v>
      </c>
      <c r="D310" s="24" t="s">
        <v>1062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1066</v>
      </c>
      <c r="B311" s="20" t="s">
        <v>150</v>
      </c>
      <c r="C311" s="20" t="s">
        <v>238</v>
      </c>
      <c r="D311" s="20" t="s">
        <v>1063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1063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1063</v>
      </c>
      <c r="E313" s="20" t="s">
        <v>160</v>
      </c>
      <c r="F313" s="6">
        <f>'пр.6.1.ведом.22-23'!G217</f>
        <v>150</v>
      </c>
      <c r="G313" s="6">
        <f>'пр.6.1.ведом.22-23'!H217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108619.1</v>
      </c>
      <c r="G314" s="4">
        <f>G315++G329+G393+G443</f>
        <v>116731.45000000001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7057.7999999999993</v>
      </c>
      <c r="G315" s="4">
        <f t="shared" si="27"/>
        <v>7057.7999999999993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866</v>
      </c>
      <c r="E316" s="24"/>
      <c r="F316" s="4">
        <f t="shared" si="27"/>
        <v>7057.7999999999993</v>
      </c>
      <c r="G316" s="4">
        <f t="shared" si="27"/>
        <v>7057.7999999999993</v>
      </c>
    </row>
    <row r="317" spans="1:9" ht="31.5" x14ac:dyDescent="0.25">
      <c r="A317" s="23" t="s">
        <v>870</v>
      </c>
      <c r="B317" s="24" t="s">
        <v>234</v>
      </c>
      <c r="C317" s="24" t="s">
        <v>118</v>
      </c>
      <c r="D317" s="24" t="s">
        <v>865</v>
      </c>
      <c r="E317" s="24"/>
      <c r="F317" s="4">
        <f>F318+F323+F326</f>
        <v>7057.7999999999993</v>
      </c>
      <c r="G317" s="4">
        <f>G318+G323+G326</f>
        <v>7057.7999999999993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960</v>
      </c>
      <c r="E318" s="24"/>
      <c r="F318" s="6">
        <f>'Пр.3 Рд,пр, ЦС,ВР 21'!F321</f>
        <v>997.40000000000009</v>
      </c>
      <c r="G318" s="6">
        <f t="shared" si="23"/>
        <v>997.40000000000009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960</v>
      </c>
      <c r="E319" s="20" t="s">
        <v>132</v>
      </c>
      <c r="F319" s="6">
        <f>'Пр.3 Рд,пр, ЦС,ВР 21'!F322</f>
        <v>997.40000000000009</v>
      </c>
      <c r="G319" s="6">
        <f t="shared" si="23"/>
        <v>997.40000000000009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960</v>
      </c>
      <c r="E320" s="20" t="s">
        <v>134</v>
      </c>
      <c r="F320" s="6">
        <f>'Пр.3 Рд,пр, ЦС,ВР 21'!F323</f>
        <v>997.40000000000009</v>
      </c>
      <c r="G320" s="6">
        <f t="shared" si="23"/>
        <v>997.40000000000009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960</v>
      </c>
      <c r="E321" s="20" t="s">
        <v>145</v>
      </c>
      <c r="F321" s="6">
        <f>'Пр.3 Рд,пр, ЦС,ВР 21'!F324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960</v>
      </c>
      <c r="E322" s="20" t="s">
        <v>160</v>
      </c>
      <c r="F322" s="6">
        <f>'Пр.3 Рд,пр, ЦС,ВР 21'!F325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961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961</v>
      </c>
      <c r="E325" s="20" t="s">
        <v>134</v>
      </c>
      <c r="F325" s="6">
        <f>'пр.6.1.ведом.22-23'!G885+'пр.6.1.ведом.22-23'!G527</f>
        <v>4920.3999999999996</v>
      </c>
      <c r="G325" s="6">
        <f>'пр.6.1.ведом.22-23'!H885+'пр.6.1.ведом.22-23'!H527</f>
        <v>4920.3999999999996</v>
      </c>
    </row>
    <row r="326" spans="1:7" ht="47.25" x14ac:dyDescent="0.25">
      <c r="A326" s="29" t="s">
        <v>932</v>
      </c>
      <c r="B326" s="20" t="s">
        <v>234</v>
      </c>
      <c r="C326" s="20" t="s">
        <v>118</v>
      </c>
      <c r="D326" s="20" t="s">
        <v>962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962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962</v>
      </c>
      <c r="E328" s="20" t="s">
        <v>134</v>
      </c>
      <c r="F328" s="6">
        <f>'пр.6.1.ведом.22-23'!G530+'пр.6.1.ведом.22-23'!G888</f>
        <v>1140</v>
      </c>
      <c r="G328" s="6">
        <f>'пр.6.1.ведом.22-23'!H530+'пр.6.1.ведом.22-23'!H888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63346.8</v>
      </c>
      <c r="G329" s="4">
        <f>G359+G330+G388</f>
        <v>71206.150000000009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866</v>
      </c>
      <c r="E330" s="24"/>
      <c r="F330" s="4">
        <f>F331+F342</f>
        <v>61357</v>
      </c>
      <c r="G330" s="4">
        <f>G331+G342</f>
        <v>69205.350000000006</v>
      </c>
    </row>
    <row r="331" spans="1:7" ht="31.5" x14ac:dyDescent="0.25">
      <c r="A331" s="23" t="s">
        <v>870</v>
      </c>
      <c r="B331" s="24" t="s">
        <v>234</v>
      </c>
      <c r="C331" s="24" t="s">
        <v>213</v>
      </c>
      <c r="D331" s="24" t="s">
        <v>865</v>
      </c>
      <c r="E331" s="24"/>
      <c r="F331" s="4">
        <f>F332+F337</f>
        <v>5707.199999999998</v>
      </c>
      <c r="G331" s="4">
        <f>G332+G337</f>
        <v>13555.550000000001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979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979</v>
      </c>
      <c r="E334" s="20" t="s">
        <v>134</v>
      </c>
      <c r="F334" s="6">
        <f>'пр.6.1.ведом.22-23'!G894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979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979</v>
      </c>
      <c r="E336" s="20" t="s">
        <v>160</v>
      </c>
      <c r="F336" s="6">
        <f>'пр.6.1.ведом.22-23'!G896</f>
        <v>0</v>
      </c>
      <c r="G336" s="6">
        <f t="shared" si="23"/>
        <v>0</v>
      </c>
    </row>
    <row r="337" spans="1:7" ht="47.25" x14ac:dyDescent="0.25">
      <c r="A337" s="29" t="s">
        <v>932</v>
      </c>
      <c r="B337" s="20" t="s">
        <v>234</v>
      </c>
      <c r="C337" s="20" t="s">
        <v>213</v>
      </c>
      <c r="D337" s="20" t="s">
        <v>962</v>
      </c>
      <c r="E337" s="20"/>
      <c r="F337" s="6">
        <f>F338</f>
        <v>5707.199999999998</v>
      </c>
      <c r="G337" s="6">
        <f>G338</f>
        <v>13555.550000000001</v>
      </c>
    </row>
    <row r="338" spans="1:7" ht="31.5" x14ac:dyDescent="0.25">
      <c r="A338" s="25" t="s">
        <v>131</v>
      </c>
      <c r="B338" s="20" t="s">
        <v>234</v>
      </c>
      <c r="C338" s="20" t="s">
        <v>213</v>
      </c>
      <c r="D338" s="20" t="s">
        <v>962</v>
      </c>
      <c r="E338" s="20" t="s">
        <v>132</v>
      </c>
      <c r="F338" s="6">
        <f>F339</f>
        <v>5707.199999999998</v>
      </c>
      <c r="G338" s="6">
        <f>G339</f>
        <v>13555.550000000001</v>
      </c>
    </row>
    <row r="339" spans="1:7" ht="47.25" x14ac:dyDescent="0.25">
      <c r="A339" s="25" t="s">
        <v>133</v>
      </c>
      <c r="B339" s="20" t="s">
        <v>234</v>
      </c>
      <c r="C339" s="20" t="s">
        <v>213</v>
      </c>
      <c r="D339" s="20" t="s">
        <v>962</v>
      </c>
      <c r="E339" s="20" t="s">
        <v>134</v>
      </c>
      <c r="F339" s="6">
        <f>'пр.6.1.ведом.22-23'!G899</f>
        <v>5707.199999999998</v>
      </c>
      <c r="G339" s="6">
        <f>'пр.6.1.ведом.22-23'!H899</f>
        <v>13555.550000000001</v>
      </c>
    </row>
    <row r="340" spans="1:7" ht="15.75" hidden="1" x14ac:dyDescent="0.25">
      <c r="A340" s="25" t="s">
        <v>135</v>
      </c>
      <c r="B340" s="20" t="s">
        <v>234</v>
      </c>
      <c r="C340" s="20" t="s">
        <v>213</v>
      </c>
      <c r="D340" s="20" t="s">
        <v>962</v>
      </c>
      <c r="E340" s="20" t="s">
        <v>145</v>
      </c>
      <c r="F340" s="6">
        <f>'Пр.3 Рд,пр, ЦС,ВР 21'!F347</f>
        <v>0</v>
      </c>
      <c r="G340" s="6">
        <f t="shared" si="23"/>
        <v>0</v>
      </c>
    </row>
    <row r="341" spans="1:7" ht="15.75" hidden="1" x14ac:dyDescent="0.25">
      <c r="A341" s="25" t="s">
        <v>146</v>
      </c>
      <c r="B341" s="20" t="s">
        <v>234</v>
      </c>
      <c r="C341" s="20" t="s">
        <v>213</v>
      </c>
      <c r="D341" s="20" t="s">
        <v>962</v>
      </c>
      <c r="E341" s="20" t="s">
        <v>147</v>
      </c>
      <c r="F341" s="6">
        <f>'Пр.3 Рд,пр, ЦС,ВР 21'!F348</f>
        <v>0</v>
      </c>
      <c r="G341" s="6">
        <f t="shared" si="23"/>
        <v>0</v>
      </c>
    </row>
    <row r="342" spans="1:7" ht="63" hidden="1" x14ac:dyDescent="0.25">
      <c r="A342" s="23" t="s">
        <v>1013</v>
      </c>
      <c r="B342" s="24" t="s">
        <v>234</v>
      </c>
      <c r="C342" s="24" t="s">
        <v>213</v>
      </c>
      <c r="D342" s="24" t="s">
        <v>980</v>
      </c>
      <c r="E342" s="24"/>
      <c r="F342" s="4">
        <f>F343+F348+F351+F356</f>
        <v>55649.8</v>
      </c>
      <c r="G342" s="4">
        <f>G343+G348+G351+G356</f>
        <v>55649.8</v>
      </c>
    </row>
    <row r="343" spans="1:7" ht="47.25" hidden="1" x14ac:dyDescent="0.25">
      <c r="A343" s="25" t="s">
        <v>827</v>
      </c>
      <c r="B343" s="20" t="s">
        <v>234</v>
      </c>
      <c r="C343" s="20" t="s">
        <v>213</v>
      </c>
      <c r="D343" s="20" t="s">
        <v>981</v>
      </c>
      <c r="E343" s="20"/>
      <c r="F343" s="6">
        <f>'Пр.3 Рд,пр, ЦС,ВР 21'!F350</f>
        <v>55649.8</v>
      </c>
      <c r="G343" s="6">
        <f t="shared" ref="G343:G387" si="28">F343</f>
        <v>55649.8</v>
      </c>
    </row>
    <row r="344" spans="1:7" ht="31.5" hidden="1" x14ac:dyDescent="0.25">
      <c r="A344" s="25" t="s">
        <v>131</v>
      </c>
      <c r="B344" s="20" t="s">
        <v>234</v>
      </c>
      <c r="C344" s="20" t="s">
        <v>213</v>
      </c>
      <c r="D344" s="20" t="s">
        <v>981</v>
      </c>
      <c r="E344" s="20" t="s">
        <v>132</v>
      </c>
      <c r="F344" s="6">
        <f>'Пр.3 Рд,пр, ЦС,ВР 21'!F351</f>
        <v>55649.8</v>
      </c>
      <c r="G344" s="6">
        <f t="shared" si="28"/>
        <v>55649.8</v>
      </c>
    </row>
    <row r="345" spans="1:7" ht="47.25" hidden="1" x14ac:dyDescent="0.25">
      <c r="A345" s="25" t="s">
        <v>133</v>
      </c>
      <c r="B345" s="20" t="s">
        <v>234</v>
      </c>
      <c r="C345" s="20" t="s">
        <v>213</v>
      </c>
      <c r="D345" s="20" t="s">
        <v>981</v>
      </c>
      <c r="E345" s="20" t="s">
        <v>134</v>
      </c>
      <c r="F345" s="6">
        <f>'Пр.3 Рд,пр, ЦС,ВР 21'!F352</f>
        <v>55649.8</v>
      </c>
      <c r="G345" s="6">
        <f t="shared" si="28"/>
        <v>55649.8</v>
      </c>
    </row>
    <row r="346" spans="1:7" ht="15.75" hidden="1" x14ac:dyDescent="0.25">
      <c r="A346" s="25" t="s">
        <v>135</v>
      </c>
      <c r="B346" s="20" t="s">
        <v>234</v>
      </c>
      <c r="C346" s="20" t="s">
        <v>213</v>
      </c>
      <c r="D346" s="20" t="s">
        <v>981</v>
      </c>
      <c r="E346" s="20" t="s">
        <v>837</v>
      </c>
      <c r="F346" s="6">
        <f>'Пр.3 Рд,пр, ЦС,ВР 21'!F353</f>
        <v>0</v>
      </c>
      <c r="G346" s="6">
        <f t="shared" si="28"/>
        <v>0</v>
      </c>
    </row>
    <row r="347" spans="1:7" ht="15.75" hidden="1" x14ac:dyDescent="0.25">
      <c r="A347" s="25" t="s">
        <v>568</v>
      </c>
      <c r="B347" s="20" t="s">
        <v>234</v>
      </c>
      <c r="C347" s="20" t="s">
        <v>213</v>
      </c>
      <c r="D347" s="20" t="s">
        <v>981</v>
      </c>
      <c r="E347" s="20" t="s">
        <v>1068</v>
      </c>
      <c r="F347" s="6">
        <f>'Пр.3 Рд,пр, ЦС,ВР 21'!F354</f>
        <v>0</v>
      </c>
      <c r="G347" s="6">
        <f t="shared" si="28"/>
        <v>0</v>
      </c>
    </row>
    <row r="348" spans="1:7" ht="63" hidden="1" x14ac:dyDescent="0.25">
      <c r="A348" s="25" t="s">
        <v>793</v>
      </c>
      <c r="B348" s="20" t="s">
        <v>234</v>
      </c>
      <c r="C348" s="20" t="s">
        <v>213</v>
      </c>
      <c r="D348" s="20" t="s">
        <v>982</v>
      </c>
      <c r="E348" s="20"/>
      <c r="F348" s="6">
        <f>'Пр.3 Рд,пр, ЦС,ВР 21'!F355</f>
        <v>0</v>
      </c>
      <c r="G348" s="6">
        <f t="shared" si="28"/>
        <v>0</v>
      </c>
    </row>
    <row r="349" spans="1:7" ht="31.5" hidden="1" x14ac:dyDescent="0.25">
      <c r="A349" s="25" t="s">
        <v>131</v>
      </c>
      <c r="B349" s="20" t="s">
        <v>234</v>
      </c>
      <c r="C349" s="20" t="s">
        <v>213</v>
      </c>
      <c r="D349" s="20" t="s">
        <v>982</v>
      </c>
      <c r="E349" s="20" t="s">
        <v>132</v>
      </c>
      <c r="F349" s="6">
        <f>'Пр.3 Рд,пр, ЦС,ВР 21'!F356</f>
        <v>0</v>
      </c>
      <c r="G349" s="6">
        <f t="shared" si="28"/>
        <v>0</v>
      </c>
    </row>
    <row r="350" spans="1:7" ht="47.25" hidden="1" x14ac:dyDescent="0.25">
      <c r="A350" s="25" t="s">
        <v>133</v>
      </c>
      <c r="B350" s="20" t="s">
        <v>234</v>
      </c>
      <c r="C350" s="20" t="s">
        <v>213</v>
      </c>
      <c r="D350" s="20" t="s">
        <v>982</v>
      </c>
      <c r="E350" s="20" t="s">
        <v>134</v>
      </c>
      <c r="F350" s="6">
        <f>'Пр.3 Рд,пр, ЦС,ВР 21'!F357</f>
        <v>0</v>
      </c>
      <c r="G350" s="6">
        <f t="shared" si="28"/>
        <v>0</v>
      </c>
    </row>
    <row r="351" spans="1:7" ht="47.25" hidden="1" x14ac:dyDescent="0.25">
      <c r="A351" s="97" t="s">
        <v>833</v>
      </c>
      <c r="B351" s="20" t="s">
        <v>234</v>
      </c>
      <c r="C351" s="20" t="s">
        <v>213</v>
      </c>
      <c r="D351" s="20" t="s">
        <v>983</v>
      </c>
      <c r="E351" s="20"/>
      <c r="F351" s="6">
        <f>'Пр.3 Рд,пр, ЦС,ВР 21'!F358</f>
        <v>0</v>
      </c>
      <c r="G351" s="6">
        <f t="shared" si="28"/>
        <v>0</v>
      </c>
    </row>
    <row r="352" spans="1:7" ht="47.25" hidden="1" x14ac:dyDescent="0.25">
      <c r="A352" s="25" t="s">
        <v>838</v>
      </c>
      <c r="B352" s="20" t="s">
        <v>234</v>
      </c>
      <c r="C352" s="20" t="s">
        <v>213</v>
      </c>
      <c r="D352" s="20" t="s">
        <v>983</v>
      </c>
      <c r="E352" s="20" t="s">
        <v>837</v>
      </c>
      <c r="F352" s="6">
        <f>'Пр.3 Рд,пр, ЦС,ВР 21'!F359</f>
        <v>0</v>
      </c>
      <c r="G352" s="6">
        <f t="shared" si="28"/>
        <v>0</v>
      </c>
    </row>
    <row r="353" spans="1:7" ht="63" hidden="1" x14ac:dyDescent="0.25">
      <c r="A353" s="25" t="s">
        <v>1049</v>
      </c>
      <c r="B353" s="20" t="s">
        <v>234</v>
      </c>
      <c r="C353" s="20" t="s">
        <v>213</v>
      </c>
      <c r="D353" s="20" t="s">
        <v>983</v>
      </c>
      <c r="E353" s="20" t="s">
        <v>1068</v>
      </c>
      <c r="F353" s="6">
        <f>'Пр.3 Рд,пр, ЦС,ВР 21'!F360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983</v>
      </c>
      <c r="E354" s="20" t="s">
        <v>145</v>
      </c>
      <c r="F354" s="6">
        <f>'Пр.3 Рд,пр, ЦС,ВР 21'!F361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983</v>
      </c>
      <c r="E355" s="20" t="s">
        <v>138</v>
      </c>
      <c r="F355" s="6">
        <f>'Пр.3 Рд,пр, ЦС,ВР 21'!F362</f>
        <v>0</v>
      </c>
      <c r="G355" s="6">
        <f t="shared" si="28"/>
        <v>0</v>
      </c>
    </row>
    <row r="356" spans="1:7" ht="31.5" hidden="1" x14ac:dyDescent="0.25">
      <c r="A356" s="25" t="s">
        <v>1069</v>
      </c>
      <c r="B356" s="20" t="s">
        <v>234</v>
      </c>
      <c r="C356" s="20" t="s">
        <v>213</v>
      </c>
      <c r="D356" s="20" t="s">
        <v>1070</v>
      </c>
      <c r="E356" s="20"/>
      <c r="F356" s="6">
        <f>'Пр.3 Рд,пр, ЦС,ВР 21'!F363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1070</v>
      </c>
      <c r="E357" s="20" t="s">
        <v>132</v>
      </c>
      <c r="F357" s="6">
        <f>'Пр.3 Рд,пр, ЦС,ВР 21'!F364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1070</v>
      </c>
      <c r="E358" s="20" t="s">
        <v>134</v>
      </c>
      <c r="F358" s="6">
        <f>'Пр.3 Рд,пр, ЦС,ВР 21'!F365</f>
        <v>0</v>
      </c>
      <c r="G358" s="6">
        <f t="shared" si="28"/>
        <v>0</v>
      </c>
    </row>
    <row r="359" spans="1:7" ht="63" x14ac:dyDescent="0.25">
      <c r="A359" s="23" t="s">
        <v>1535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1785.8000000000002</v>
      </c>
      <c r="G359" s="4">
        <f>G360+G364+G368+G372+G376+G380+G384</f>
        <v>1785.8000000000002</v>
      </c>
    </row>
    <row r="360" spans="1:7" ht="31.5" x14ac:dyDescent="0.25">
      <c r="A360" s="23" t="s">
        <v>963</v>
      </c>
      <c r="B360" s="24" t="s">
        <v>234</v>
      </c>
      <c r="C360" s="24" t="s">
        <v>213</v>
      </c>
      <c r="D360" s="24" t="s">
        <v>965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964</v>
      </c>
      <c r="B361" s="40" t="s">
        <v>234</v>
      </c>
      <c r="C361" s="40" t="s">
        <v>213</v>
      </c>
      <c r="D361" s="20" t="s">
        <v>966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966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966</v>
      </c>
      <c r="E363" s="40" t="s">
        <v>134</v>
      </c>
      <c r="F363" s="6">
        <f>'пр.6.1.ведом.22-23'!G923</f>
        <v>700</v>
      </c>
      <c r="G363" s="6">
        <f>'пр.6.1.ведом.22-23'!H923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24" t="s">
        <v>968</v>
      </c>
      <c r="E364" s="7"/>
      <c r="F364" s="4">
        <f>F365</f>
        <v>441</v>
      </c>
      <c r="G364" s="4">
        <f>G365</f>
        <v>441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971</v>
      </c>
      <c r="E365" s="40"/>
      <c r="F365" s="6">
        <f>'Пр.3 Рд,пр, ЦС,ВР 21'!F372</f>
        <v>441</v>
      </c>
      <c r="G365" s="6">
        <f t="shared" si="28"/>
        <v>441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971</v>
      </c>
      <c r="E366" s="40" t="s">
        <v>132</v>
      </c>
      <c r="F366" s="6">
        <f>'Пр.3 Рд,пр, ЦС,ВР 21'!F373</f>
        <v>441</v>
      </c>
      <c r="G366" s="6">
        <f t="shared" si="28"/>
        <v>441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971</v>
      </c>
      <c r="E367" s="40" t="s">
        <v>134</v>
      </c>
      <c r="F367" s="6">
        <f>'Пр.3 Рд,пр, ЦС,ВР 21'!F374</f>
        <v>441</v>
      </c>
      <c r="G367" s="6">
        <f t="shared" si="28"/>
        <v>441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24" t="s">
        <v>970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972</v>
      </c>
      <c r="E369" s="40"/>
      <c r="F369" s="6">
        <f>'Пр.3 Рд,пр, ЦС,ВР 21'!F376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972</v>
      </c>
      <c r="E370" s="40" t="s">
        <v>132</v>
      </c>
      <c r="F370" s="6">
        <f>'Пр.3 Рд,пр, ЦС,ВР 21'!F377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972</v>
      </c>
      <c r="E371" s="40" t="s">
        <v>134</v>
      </c>
      <c r="F371" s="6">
        <f>'Пр.3 Рд,пр, ЦС,ВР 21'!F378</f>
        <v>0</v>
      </c>
      <c r="G371" s="6">
        <f t="shared" si="28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24" t="s">
        <v>974</v>
      </c>
      <c r="E372" s="7"/>
      <c r="F372" s="4">
        <f>F373</f>
        <v>179.9</v>
      </c>
      <c r="G372" s="4">
        <f>G373</f>
        <v>179.9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975</v>
      </c>
      <c r="E373" s="40"/>
      <c r="F373" s="6">
        <f>'Пр.3 Рд,пр, ЦС,ВР 21'!F380</f>
        <v>179.9</v>
      </c>
      <c r="G373" s="6">
        <f t="shared" si="28"/>
        <v>179.9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975</v>
      </c>
      <c r="E374" s="40" t="s">
        <v>132</v>
      </c>
      <c r="F374" s="6">
        <f>'Пр.3 Рд,пр, ЦС,ВР 21'!F381</f>
        <v>179.9</v>
      </c>
      <c r="G374" s="6">
        <f t="shared" si="28"/>
        <v>179.9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975</v>
      </c>
      <c r="E375" s="40" t="s">
        <v>134</v>
      </c>
      <c r="F375" s="6">
        <f>'Пр.3 Рд,пр, ЦС,ВР 21'!F382</f>
        <v>179.9</v>
      </c>
      <c r="G375" s="6">
        <f t="shared" si="28"/>
        <v>179.9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24" t="s">
        <v>1015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1018</v>
      </c>
      <c r="E377" s="40"/>
      <c r="F377" s="6">
        <f>'Пр.3 Рд,пр, ЦС,ВР 21'!F384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1018</v>
      </c>
      <c r="E378" s="40" t="s">
        <v>132</v>
      </c>
      <c r="F378" s="6">
        <f>'Пр.3 Рд,пр, ЦС,ВР 21'!F385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1018</v>
      </c>
      <c r="E379" s="40" t="s">
        <v>134</v>
      </c>
      <c r="F379" s="6">
        <f>'Пр.3 Рд,пр, ЦС,ВР 21'!F386</f>
        <v>0</v>
      </c>
      <c r="G379" s="6">
        <f t="shared" si="28"/>
        <v>0</v>
      </c>
    </row>
    <row r="380" spans="1:7" ht="47.25" hidden="1" x14ac:dyDescent="0.25">
      <c r="A380" s="215" t="s">
        <v>1016</v>
      </c>
      <c r="B380" s="7" t="s">
        <v>234</v>
      </c>
      <c r="C380" s="7" t="s">
        <v>213</v>
      </c>
      <c r="D380" s="24" t="s">
        <v>1017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4" t="s">
        <v>531</v>
      </c>
      <c r="B381" s="40" t="s">
        <v>234</v>
      </c>
      <c r="C381" s="40" t="s">
        <v>213</v>
      </c>
      <c r="D381" s="20" t="s">
        <v>1019</v>
      </c>
      <c r="E381" s="40"/>
      <c r="F381" s="6">
        <f>'Пр.3 Рд,пр, ЦС,ВР 21'!F388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1019</v>
      </c>
      <c r="E382" s="40" t="s">
        <v>132</v>
      </c>
      <c r="F382" s="6">
        <f>'Пр.3 Рд,пр, ЦС,ВР 21'!F389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1019</v>
      </c>
      <c r="E383" s="40" t="s">
        <v>134</v>
      </c>
      <c r="F383" s="6">
        <f>'Пр.3 Рд,пр, ЦС,ВР 21'!F390</f>
        <v>0</v>
      </c>
      <c r="G383" s="6">
        <f t="shared" si="28"/>
        <v>0</v>
      </c>
    </row>
    <row r="384" spans="1:7" ht="31.5" hidden="1" x14ac:dyDescent="0.25">
      <c r="A384" s="215" t="s">
        <v>977</v>
      </c>
      <c r="B384" s="7" t="s">
        <v>234</v>
      </c>
      <c r="C384" s="7" t="s">
        <v>213</v>
      </c>
      <c r="D384" s="24" t="s">
        <v>978</v>
      </c>
      <c r="E384" s="7"/>
      <c r="F384" s="4">
        <f>F385</f>
        <v>464.90000000000003</v>
      </c>
      <c r="G384" s="4">
        <f>G385</f>
        <v>464.90000000000003</v>
      </c>
    </row>
    <row r="385" spans="1:9" ht="15.75" hidden="1" x14ac:dyDescent="0.25">
      <c r="A385" s="174" t="s">
        <v>533</v>
      </c>
      <c r="B385" s="40" t="s">
        <v>234</v>
      </c>
      <c r="C385" s="40" t="s">
        <v>213</v>
      </c>
      <c r="D385" s="20" t="s">
        <v>976</v>
      </c>
      <c r="E385" s="40"/>
      <c r="F385" s="6">
        <f>'Пр.3 Рд,пр, ЦС,ВР 21'!F392</f>
        <v>464.90000000000003</v>
      </c>
      <c r="G385" s="6">
        <f t="shared" si="28"/>
        <v>464.90000000000003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976</v>
      </c>
      <c r="E386" s="40" t="s">
        <v>132</v>
      </c>
      <c r="F386" s="6">
        <f>'Пр.3 Рд,пр, ЦС,ВР 21'!F393</f>
        <v>464.90000000000003</v>
      </c>
      <c r="G386" s="6">
        <f t="shared" si="28"/>
        <v>464.90000000000003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976</v>
      </c>
      <c r="E387" s="40" t="s">
        <v>134</v>
      </c>
      <c r="F387" s="6">
        <f>'Пр.3 Рд,пр, ЦС,ВР 21'!F394</f>
        <v>464.90000000000003</v>
      </c>
      <c r="G387" s="6">
        <f t="shared" si="28"/>
        <v>464.90000000000003</v>
      </c>
    </row>
    <row r="388" spans="1:9" s="200" customFormat="1" ht="47.25" x14ac:dyDescent="0.25">
      <c r="A388" s="23" t="s">
        <v>1536</v>
      </c>
      <c r="B388" s="7" t="s">
        <v>234</v>
      </c>
      <c r="C388" s="7" t="s">
        <v>213</v>
      </c>
      <c r="D388" s="24" t="s">
        <v>1142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0" customFormat="1" ht="31.5" x14ac:dyDescent="0.25">
      <c r="A389" s="23" t="s">
        <v>1540</v>
      </c>
      <c r="B389" s="7" t="s">
        <v>234</v>
      </c>
      <c r="C389" s="7" t="s">
        <v>213</v>
      </c>
      <c r="D389" s="24" t="s">
        <v>1144</v>
      </c>
      <c r="E389" s="7"/>
      <c r="F389" s="4">
        <f t="shared" si="30"/>
        <v>204</v>
      </c>
      <c r="G389" s="4">
        <f t="shared" si="30"/>
        <v>215</v>
      </c>
    </row>
    <row r="390" spans="1:9" s="200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1145</v>
      </c>
      <c r="E390" s="40"/>
      <c r="F390" s="6">
        <f t="shared" si="30"/>
        <v>204</v>
      </c>
      <c r="G390" s="6">
        <f t="shared" si="30"/>
        <v>215</v>
      </c>
    </row>
    <row r="391" spans="1:9" s="200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1145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200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1145</v>
      </c>
      <c r="E392" s="40" t="s">
        <v>134</v>
      </c>
      <c r="F392" s="6">
        <f>'пр.6.1.ведом.22-23'!G952</f>
        <v>204</v>
      </c>
      <c r="G392" s="6">
        <f>'пр.6.1.ведом.22-23'!H952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870</v>
      </c>
      <c r="B395" s="24" t="s">
        <v>234</v>
      </c>
      <c r="C395" s="24" t="s">
        <v>215</v>
      </c>
      <c r="D395" s="24" t="s">
        <v>865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1075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1075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1075</v>
      </c>
      <c r="E398" s="20" t="s">
        <v>134</v>
      </c>
      <c r="F398" s="6">
        <f>'пр.6.1.ведом.22-23'!G958</f>
        <v>1390</v>
      </c>
      <c r="G398" s="6">
        <f>'пр.6.1.ведом.22-23'!H958</f>
        <v>1390</v>
      </c>
    </row>
    <row r="399" spans="1:9" ht="47.25" x14ac:dyDescent="0.25">
      <c r="A399" s="23" t="s">
        <v>1365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1435</v>
      </c>
      <c r="B400" s="24" t="s">
        <v>234</v>
      </c>
      <c r="C400" s="24" t="s">
        <v>215</v>
      </c>
      <c r="D400" s="24" t="s">
        <v>1274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0" customFormat="1" ht="31.5" hidden="1" x14ac:dyDescent="0.25">
      <c r="A401" s="309" t="s">
        <v>1436</v>
      </c>
      <c r="B401" s="20" t="s">
        <v>234</v>
      </c>
      <c r="C401" s="20" t="s">
        <v>215</v>
      </c>
      <c r="D401" s="20" t="s">
        <v>1423</v>
      </c>
      <c r="E401" s="20"/>
      <c r="F401" s="26">
        <f t="shared" si="32"/>
        <v>0</v>
      </c>
      <c r="G401" s="6">
        <f t="shared" si="32"/>
        <v>0</v>
      </c>
    </row>
    <row r="402" spans="1:7" s="200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1423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200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1423</v>
      </c>
      <c r="E403" s="20" t="s">
        <v>134</v>
      </c>
      <c r="F403" s="26">
        <f>'пр.6.1.ведом.22-23'!G963</f>
        <v>0</v>
      </c>
      <c r="G403" s="6">
        <f>'пр.6.1.ведом.22-23'!H963</f>
        <v>0</v>
      </c>
    </row>
    <row r="404" spans="1:7" s="200" customFormat="1" ht="47.25" x14ac:dyDescent="0.25">
      <c r="A404" s="23" t="s">
        <v>1438</v>
      </c>
      <c r="B404" s="24" t="s">
        <v>234</v>
      </c>
      <c r="C404" s="24" t="s">
        <v>215</v>
      </c>
      <c r="D404" s="24" t="s">
        <v>1275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1434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1434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1434</v>
      </c>
      <c r="E407" s="20" t="s">
        <v>134</v>
      </c>
      <c r="F407" s="6">
        <f>'пр.6.1.ведом.22-23'!G967</f>
        <v>365</v>
      </c>
      <c r="G407" s="6">
        <f>'пр.6.1.ведом.22-23'!H967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1422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1422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1422</v>
      </c>
      <c r="E410" s="20" t="s">
        <v>134</v>
      </c>
      <c r="F410" s="6">
        <f>'пр.6.1.ведом.22-23'!G970</f>
        <v>1080</v>
      </c>
      <c r="G410" s="6">
        <f>'пр.6.1.ведом.22-23'!H970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1422</v>
      </c>
      <c r="E411" s="20" t="s">
        <v>145</v>
      </c>
      <c r="F411" s="6">
        <f>'Пр.3 Рд,пр, ЦС,ВР 21'!F418</f>
        <v>0</v>
      </c>
      <c r="G411" s="6">
        <f>'Пр.3 Рд,пр, ЦС,ВР 21'!G418</f>
        <v>0</v>
      </c>
    </row>
    <row r="412" spans="1:7" ht="47.25" hidden="1" x14ac:dyDescent="0.25">
      <c r="A412" s="25" t="s">
        <v>836</v>
      </c>
      <c r="B412" s="20" t="s">
        <v>234</v>
      </c>
      <c r="C412" s="20" t="s">
        <v>215</v>
      </c>
      <c r="D412" s="20" t="s">
        <v>1422</v>
      </c>
      <c r="E412" s="20" t="s">
        <v>147</v>
      </c>
      <c r="F412" s="6">
        <f>'Пр.3 Рд,пр, ЦС,ВР 21'!F419</f>
        <v>0</v>
      </c>
      <c r="G412" s="6">
        <f>'Пр.3 Рд,пр, ЦС,ВР 21'!G419</f>
        <v>0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1422</v>
      </c>
      <c r="E413" s="20" t="s">
        <v>138</v>
      </c>
      <c r="F413" s="6">
        <f>'Пр.3 Рд,пр, ЦС,ВР 21'!F420</f>
        <v>0</v>
      </c>
      <c r="G413" s="6">
        <f>'Пр.3 Рд,пр, ЦС,ВР 21'!G420</f>
        <v>0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1299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1299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1299</v>
      </c>
      <c r="E416" s="20" t="s">
        <v>134</v>
      </c>
      <c r="F416" s="6">
        <f>'пр.6.1.ведом.22-23'!G976</f>
        <v>0</v>
      </c>
      <c r="G416" s="6">
        <f>'пр.6.1.ведом.22-23'!H976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1276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1276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1276</v>
      </c>
      <c r="E419" s="20" t="s">
        <v>134</v>
      </c>
      <c r="F419" s="6">
        <f>'пр.6.1.ведом.22-23'!G979</f>
        <v>50</v>
      </c>
      <c r="G419" s="6">
        <f>'пр.6.1.ведом.22-23'!H979</f>
        <v>55</v>
      </c>
    </row>
    <row r="420" spans="1:7" ht="31.5" x14ac:dyDescent="0.25">
      <c r="A420" s="307" t="s">
        <v>1437</v>
      </c>
      <c r="B420" s="20" t="s">
        <v>234</v>
      </c>
      <c r="C420" s="20" t="s">
        <v>215</v>
      </c>
      <c r="D420" s="20" t="s">
        <v>1277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1277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1277</v>
      </c>
      <c r="E422" s="20" t="s">
        <v>134</v>
      </c>
      <c r="F422" s="6">
        <f>'пр.6.1.ведом.22-23'!G982</f>
        <v>300</v>
      </c>
      <c r="G422" s="6">
        <f>'пр.6.1.ведом.22-23'!H982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1277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1277</v>
      </c>
      <c r="E424" s="20" t="s">
        <v>138</v>
      </c>
      <c r="F424" s="6">
        <f>'пр.6.1.ведом.22-23'!G984</f>
        <v>75</v>
      </c>
      <c r="G424" s="6">
        <f>'пр.6.1.ведом.22-23'!H984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1278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1278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1278</v>
      </c>
      <c r="E427" s="20" t="s">
        <v>134</v>
      </c>
      <c r="F427" s="6">
        <f>'пр.6.1.ведом.22-23'!G987</f>
        <v>0</v>
      </c>
      <c r="G427" s="6">
        <f>'пр.6.1.ведом.22-23'!H987</f>
        <v>130</v>
      </c>
    </row>
    <row r="428" spans="1:7" s="200" customFormat="1" ht="31.5" x14ac:dyDescent="0.25">
      <c r="A428" s="224" t="s">
        <v>1089</v>
      </c>
      <c r="B428" s="20" t="s">
        <v>234</v>
      </c>
      <c r="C428" s="20" t="s">
        <v>215</v>
      </c>
      <c r="D428" s="20" t="s">
        <v>1279</v>
      </c>
      <c r="E428" s="20"/>
      <c r="F428" s="26">
        <f>F429</f>
        <v>50</v>
      </c>
      <c r="G428" s="26">
        <f>G429</f>
        <v>60</v>
      </c>
    </row>
    <row r="429" spans="1:7" s="200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1279</v>
      </c>
      <c r="E429" s="20" t="s">
        <v>132</v>
      </c>
      <c r="F429" s="26">
        <f>F430</f>
        <v>50</v>
      </c>
      <c r="G429" s="26">
        <f>G430</f>
        <v>60</v>
      </c>
    </row>
    <row r="430" spans="1:7" s="200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1279</v>
      </c>
      <c r="E430" s="20" t="s">
        <v>134</v>
      </c>
      <c r="F430" s="26">
        <f>'пр.6.1.ведом.22-23'!G990</f>
        <v>50</v>
      </c>
      <c r="G430" s="26">
        <f>'пр.6.1.ведом.22-23'!H990</f>
        <v>60</v>
      </c>
    </row>
    <row r="431" spans="1:7" ht="41.25" hidden="1" customHeight="1" x14ac:dyDescent="0.25">
      <c r="A431" s="23" t="s">
        <v>891</v>
      </c>
      <c r="B431" s="7" t="s">
        <v>234</v>
      </c>
      <c r="C431" s="7" t="s">
        <v>215</v>
      </c>
      <c r="D431" s="24" t="s">
        <v>1297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1328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1328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1328</v>
      </c>
      <c r="E434" s="20" t="s">
        <v>134</v>
      </c>
      <c r="F434" s="6">
        <f>'Пр.3 Рд,пр, ЦС,ВР 21'!F441</f>
        <v>0</v>
      </c>
      <c r="G434" s="6">
        <f t="shared" si="33"/>
        <v>0</v>
      </c>
    </row>
    <row r="435" spans="1:7" ht="63" hidden="1" x14ac:dyDescent="0.25">
      <c r="A435" s="25" t="s">
        <v>1071</v>
      </c>
      <c r="B435" s="20" t="s">
        <v>234</v>
      </c>
      <c r="C435" s="20" t="s">
        <v>215</v>
      </c>
      <c r="D435" s="20" t="s">
        <v>1296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1296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1296</v>
      </c>
      <c r="E437" s="20" t="s">
        <v>134</v>
      </c>
      <c r="F437" s="6">
        <f>'пр.6.1.ведом.22-23'!G997</f>
        <v>0</v>
      </c>
      <c r="G437" s="6">
        <f>'пр.6.1.ведом.22-23'!H997</f>
        <v>0</v>
      </c>
    </row>
    <row r="438" spans="1:7" ht="78.75" x14ac:dyDescent="0.25">
      <c r="A438" s="23" t="s">
        <v>1538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1067</v>
      </c>
      <c r="B439" s="24" t="s">
        <v>234</v>
      </c>
      <c r="C439" s="24" t="s">
        <v>215</v>
      </c>
      <c r="D439" s="24" t="s">
        <v>835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48" t="s">
        <v>710</v>
      </c>
      <c r="B440" s="20" t="s">
        <v>234</v>
      </c>
      <c r="C440" s="20" t="s">
        <v>215</v>
      </c>
      <c r="D440" s="20" t="s">
        <v>835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835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835</v>
      </c>
      <c r="E442" s="20" t="s">
        <v>134</v>
      </c>
      <c r="F442" s="6">
        <f>'пр.6.1.ведом.22-23'!G1002</f>
        <v>500</v>
      </c>
      <c r="G442" s="6">
        <f>'пр.6.1.ведом.22-23'!H1002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34404.5</v>
      </c>
      <c r="G443" s="4">
        <f>G444+G456+G473</f>
        <v>34404.5</v>
      </c>
    </row>
    <row r="444" spans="1:7" ht="31.5" x14ac:dyDescent="0.25">
      <c r="A444" s="23" t="s">
        <v>917</v>
      </c>
      <c r="B444" s="24" t="s">
        <v>234</v>
      </c>
      <c r="C444" s="24" t="s">
        <v>234</v>
      </c>
      <c r="D444" s="24" t="s">
        <v>858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918</v>
      </c>
      <c r="B445" s="24" t="s">
        <v>234</v>
      </c>
      <c r="C445" s="24" t="s">
        <v>234</v>
      </c>
      <c r="D445" s="24" t="s">
        <v>859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897</v>
      </c>
      <c r="B446" s="20" t="s">
        <v>234</v>
      </c>
      <c r="C446" s="20" t="s">
        <v>234</v>
      </c>
      <c r="D446" s="20" t="s">
        <v>860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860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860</v>
      </c>
      <c r="E448" s="20" t="s">
        <v>130</v>
      </c>
      <c r="F448" s="6">
        <f>'пр.6.1.ведом.22-23'!G1008</f>
        <v>12439.3</v>
      </c>
      <c r="G448" s="6">
        <f>'пр.6.1.ведом.22-23'!H1008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860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860</v>
      </c>
      <c r="E450" s="20" t="s">
        <v>134</v>
      </c>
      <c r="F450" s="6">
        <f>'пр.6.1.ведом.22-23'!G1010</f>
        <v>25</v>
      </c>
      <c r="G450" s="6">
        <f>'пр.6.1.ведом.22-23'!H1010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860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860</v>
      </c>
      <c r="E452" s="20" t="s">
        <v>138</v>
      </c>
      <c r="F452" s="6">
        <f>'пр.6.1.ведом.22-23'!G1012</f>
        <v>47</v>
      </c>
      <c r="G452" s="6">
        <f>'пр.6.1.ведом.22-23'!H1012</f>
        <v>47</v>
      </c>
    </row>
    <row r="453" spans="1:7" ht="47.25" x14ac:dyDescent="0.25">
      <c r="A453" s="25" t="s">
        <v>839</v>
      </c>
      <c r="B453" s="20" t="s">
        <v>234</v>
      </c>
      <c r="C453" s="20" t="s">
        <v>234</v>
      </c>
      <c r="D453" s="20" t="s">
        <v>862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862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862</v>
      </c>
      <c r="E455" s="20" t="s">
        <v>130</v>
      </c>
      <c r="F455" s="6">
        <f>'пр.6.1.ведом.22-23'!G1015</f>
        <v>368</v>
      </c>
      <c r="G455" s="6">
        <f>'пр.6.1.ведом.22-23'!H1015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866</v>
      </c>
      <c r="E456" s="24"/>
      <c r="F456" s="4">
        <f>F457+F464</f>
        <v>21525.200000000001</v>
      </c>
      <c r="G456" s="4">
        <f>G457+G464</f>
        <v>21525.200000000001</v>
      </c>
    </row>
    <row r="457" spans="1:7" ht="31.5" x14ac:dyDescent="0.25">
      <c r="A457" s="23" t="s">
        <v>870</v>
      </c>
      <c r="B457" s="24" t="s">
        <v>234</v>
      </c>
      <c r="C457" s="24" t="s">
        <v>234</v>
      </c>
      <c r="D457" s="24" t="s">
        <v>865</v>
      </c>
      <c r="E457" s="24"/>
      <c r="F457" s="362">
        <f>F458+F461</f>
        <v>10082</v>
      </c>
      <c r="G457" s="362">
        <f>G458+G461</f>
        <v>10082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984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984</v>
      </c>
      <c r="E460" s="20" t="s">
        <v>160</v>
      </c>
      <c r="F460" s="6">
        <f>'пр.6.1.ведом.22-23'!G1020</f>
        <v>982</v>
      </c>
      <c r="G460" s="6">
        <f>'пр.6.1.ведом.22-23'!H1020</f>
        <v>982</v>
      </c>
    </row>
    <row r="461" spans="1:7" ht="31.5" hidden="1" x14ac:dyDescent="0.25">
      <c r="A461" s="25" t="s">
        <v>823</v>
      </c>
      <c r="B461" s="20" t="s">
        <v>234</v>
      </c>
      <c r="C461" s="20" t="s">
        <v>234</v>
      </c>
      <c r="D461" s="20" t="s">
        <v>1072</v>
      </c>
      <c r="E461" s="20"/>
      <c r="F461" s="6">
        <f>'Пр.3 Рд,пр, ЦС,ВР 21'!F484</f>
        <v>9100</v>
      </c>
      <c r="G461" s="6">
        <f t="shared" si="33"/>
        <v>9100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1072</v>
      </c>
      <c r="E462" s="20" t="s">
        <v>145</v>
      </c>
      <c r="F462" s="6">
        <f>'Пр.3 Рд,пр, ЦС,ВР 21'!F485</f>
        <v>100</v>
      </c>
      <c r="G462" s="6">
        <f t="shared" si="33"/>
        <v>100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1072</v>
      </c>
      <c r="E463" s="20" t="s">
        <v>160</v>
      </c>
      <c r="F463" s="6">
        <f>'Пр.3 Рд,пр, ЦС,ВР 21'!F486</f>
        <v>100</v>
      </c>
      <c r="G463" s="6">
        <f t="shared" si="33"/>
        <v>100</v>
      </c>
    </row>
    <row r="464" spans="1:7" ht="47.25" x14ac:dyDescent="0.25">
      <c r="A464" s="23" t="s">
        <v>929</v>
      </c>
      <c r="B464" s="24" t="s">
        <v>234</v>
      </c>
      <c r="C464" s="24" t="s">
        <v>234</v>
      </c>
      <c r="D464" s="24" t="s">
        <v>914</v>
      </c>
      <c r="E464" s="24"/>
      <c r="F464" s="362">
        <f>F465+F470</f>
        <v>11443.2</v>
      </c>
      <c r="G464" s="362">
        <f>G465+G470</f>
        <v>11443.2</v>
      </c>
    </row>
    <row r="465" spans="1:10" ht="31.5" x14ac:dyDescent="0.25">
      <c r="A465" s="25" t="s">
        <v>903</v>
      </c>
      <c r="B465" s="20" t="s">
        <v>234</v>
      </c>
      <c r="C465" s="20" t="s">
        <v>234</v>
      </c>
      <c r="D465" s="20" t="s">
        <v>915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915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915</v>
      </c>
      <c r="E467" s="20" t="s">
        <v>209</v>
      </c>
      <c r="F467" s="6">
        <f>'пр.6.1.ведом.22-23'!G1027</f>
        <v>9193</v>
      </c>
      <c r="G467" s="6">
        <f>'пр.6.1.ведом.22-23'!H1027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915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915</v>
      </c>
      <c r="E469" s="20" t="s">
        <v>134</v>
      </c>
      <c r="F469" s="6">
        <f>'пр.6.1.ведом.22-23'!G1029</f>
        <v>1652.2</v>
      </c>
      <c r="G469" s="6">
        <f>'пр.6.1.ведом.22-23'!H1029</f>
        <v>1652.2</v>
      </c>
    </row>
    <row r="470" spans="1:10" ht="47.25" x14ac:dyDescent="0.25">
      <c r="A470" s="25" t="s">
        <v>839</v>
      </c>
      <c r="B470" s="20" t="s">
        <v>234</v>
      </c>
      <c r="C470" s="20" t="s">
        <v>234</v>
      </c>
      <c r="D470" s="20" t="s">
        <v>916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916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916</v>
      </c>
      <c r="E472" s="20" t="s">
        <v>130</v>
      </c>
      <c r="F472" s="6">
        <f>'пр.6.1.ведом.22-23'!G1032</f>
        <v>598</v>
      </c>
      <c r="G472" s="6">
        <f>'пр.6.1.ведом.22-23'!H1032</f>
        <v>598</v>
      </c>
    </row>
    <row r="473" spans="1:10" s="200" customFormat="1" ht="63" hidden="1" x14ac:dyDescent="0.25">
      <c r="A473" s="34" t="s">
        <v>1360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0" customFormat="1" ht="63" hidden="1" x14ac:dyDescent="0.25">
      <c r="A474" s="34" t="s">
        <v>1009</v>
      </c>
      <c r="B474" s="24" t="s">
        <v>234</v>
      </c>
      <c r="C474" s="24" t="s">
        <v>234</v>
      </c>
      <c r="D474" s="24" t="s">
        <v>934</v>
      </c>
      <c r="E474" s="24"/>
      <c r="F474" s="21">
        <f t="shared" si="36"/>
        <v>0</v>
      </c>
      <c r="G474" s="21">
        <f t="shared" si="36"/>
        <v>0</v>
      </c>
    </row>
    <row r="475" spans="1:10" s="200" customFormat="1" ht="47.25" hidden="1" x14ac:dyDescent="0.25">
      <c r="A475" s="31" t="s">
        <v>1081</v>
      </c>
      <c r="B475" s="20" t="s">
        <v>234</v>
      </c>
      <c r="C475" s="20" t="s">
        <v>234</v>
      </c>
      <c r="D475" s="20" t="s">
        <v>1026</v>
      </c>
      <c r="E475" s="20"/>
      <c r="F475" s="26">
        <f t="shared" si="36"/>
        <v>0</v>
      </c>
      <c r="G475" s="26">
        <f t="shared" si="36"/>
        <v>0</v>
      </c>
    </row>
    <row r="476" spans="1:10" s="200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1026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200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1026</v>
      </c>
      <c r="E477" s="20" t="s">
        <v>134</v>
      </c>
      <c r="F477" s="26">
        <f>'пр.6.1.ведом.22-23'!G1037</f>
        <v>0</v>
      </c>
      <c r="G477" s="6">
        <f>'пр.6.1.ведом.22-23'!H1037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366725.80999999994</v>
      </c>
      <c r="G478" s="4">
        <f>G479+G542+G714+G620+G689</f>
        <v>389859.16000000003</v>
      </c>
      <c r="H478" s="220"/>
      <c r="I478" s="220"/>
      <c r="J478" s="220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1359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937</v>
      </c>
      <c r="B481" s="24" t="s">
        <v>264</v>
      </c>
      <c r="C481" s="24" t="s">
        <v>118</v>
      </c>
      <c r="D481" s="24" t="s">
        <v>1231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1230</v>
      </c>
      <c r="B482" s="20" t="s">
        <v>264</v>
      </c>
      <c r="C482" s="20" t="s">
        <v>118</v>
      </c>
      <c r="D482" s="20" t="s">
        <v>1232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1232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1232</v>
      </c>
      <c r="E484" s="20" t="s">
        <v>275</v>
      </c>
      <c r="F484" s="360">
        <f>'пр.6.1.ведом.22-23'!G554</f>
        <v>14795.6</v>
      </c>
      <c r="G484" s="360">
        <f>'пр.6.1.ведом.22-23'!H554</f>
        <v>14795.6</v>
      </c>
    </row>
    <row r="485" spans="1:7" ht="47.25" x14ac:dyDescent="0.25">
      <c r="A485" s="23" t="s">
        <v>900</v>
      </c>
      <c r="B485" s="24" t="s">
        <v>264</v>
      </c>
      <c r="C485" s="24" t="s">
        <v>118</v>
      </c>
      <c r="D485" s="24" t="s">
        <v>1233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0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1393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0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1393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200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1393</v>
      </c>
      <c r="E488" s="20" t="s">
        <v>275</v>
      </c>
      <c r="F488" s="6">
        <f>'пр.6.1.ведом.22-23'!G558</f>
        <v>3230</v>
      </c>
      <c r="G488" s="6">
        <f>'пр.6.1.ведом.22-23'!H558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1234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1234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1234</v>
      </c>
      <c r="E491" s="20" t="s">
        <v>275</v>
      </c>
      <c r="F491" s="6">
        <f>'пр.6.1.ведом.22-23'!G561</f>
        <v>589</v>
      </c>
      <c r="G491" s="6">
        <f>'пр.6.1.ведом.22-23'!H561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1235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1235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1235</v>
      </c>
      <c r="E494" s="20" t="s">
        <v>275</v>
      </c>
      <c r="F494" s="6">
        <f>'пр.6.1.ведом.22-23'!G564</f>
        <v>1629.3</v>
      </c>
      <c r="G494" s="6">
        <f>'пр.6.1.ведом.22-23'!H564</f>
        <v>1629.3</v>
      </c>
    </row>
    <row r="495" spans="1:7" ht="94.5" x14ac:dyDescent="0.25">
      <c r="A495" s="31" t="s">
        <v>1184</v>
      </c>
      <c r="B495" s="20" t="s">
        <v>264</v>
      </c>
      <c r="C495" s="20" t="s">
        <v>118</v>
      </c>
      <c r="D495" s="20" t="s">
        <v>1236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1236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1236</v>
      </c>
      <c r="E497" s="20" t="s">
        <v>275</v>
      </c>
      <c r="F497" s="6">
        <f>'пр.6.1.ведом.22-23'!G567</f>
        <v>70113.2</v>
      </c>
      <c r="G497" s="6">
        <f>'пр.6.1.ведом.22-23'!H567</f>
        <v>74475.8</v>
      </c>
    </row>
    <row r="498" spans="1:7" ht="31.5" x14ac:dyDescent="0.25">
      <c r="A498" s="23" t="s">
        <v>1293</v>
      </c>
      <c r="B498" s="24" t="s">
        <v>264</v>
      </c>
      <c r="C498" s="24" t="s">
        <v>118</v>
      </c>
      <c r="D498" s="24" t="s">
        <v>1238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1319</v>
      </c>
      <c r="E499" s="20"/>
      <c r="F499" s="6">
        <f>F500</f>
        <v>200</v>
      </c>
      <c r="G499" s="6">
        <f>G500</f>
        <v>200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1319</v>
      </c>
      <c r="E500" s="20" t="s">
        <v>273</v>
      </c>
      <c r="F500" s="6">
        <f t="shared" ref="F500:G500" si="42">F501</f>
        <v>200</v>
      </c>
      <c r="G500" s="6">
        <f t="shared" si="42"/>
        <v>200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1319</v>
      </c>
      <c r="E501" s="20" t="s">
        <v>275</v>
      </c>
      <c r="F501" s="6">
        <f>'пр.6.1.ведом.22-23'!G571</f>
        <v>200</v>
      </c>
      <c r="G501" s="6">
        <f>'пр.6.1.ведом.22-23'!H571</f>
        <v>200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1320</v>
      </c>
      <c r="E502" s="20"/>
      <c r="F502" s="6">
        <f>F503</f>
        <v>357</v>
      </c>
      <c r="G502" s="6">
        <f>G503</f>
        <v>357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1320</v>
      </c>
      <c r="E503" s="20" t="s">
        <v>273</v>
      </c>
      <c r="F503" s="6">
        <f t="shared" ref="F503:G503" si="43">F504</f>
        <v>357</v>
      </c>
      <c r="G503" s="6">
        <f t="shared" si="43"/>
        <v>357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1320</v>
      </c>
      <c r="E504" s="20" t="s">
        <v>275</v>
      </c>
      <c r="F504" s="6">
        <f>'пр.6.1.ведом.22-23'!G574</f>
        <v>357</v>
      </c>
      <c r="G504" s="6">
        <f>'пр.6.1.ведом.22-23'!H574</f>
        <v>357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1239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1239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1239</v>
      </c>
      <c r="E507" s="20" t="s">
        <v>275</v>
      </c>
      <c r="F507" s="6">
        <f>'пр.6.1.ведом.22-23'!G577</f>
        <v>4430</v>
      </c>
      <c r="G507" s="6">
        <f>'пр.6.1.ведом.22-23'!H577</f>
        <v>4430</v>
      </c>
    </row>
    <row r="508" spans="1:7" ht="47.25" x14ac:dyDescent="0.25">
      <c r="A508" s="214" t="s">
        <v>948</v>
      </c>
      <c r="B508" s="24" t="s">
        <v>264</v>
      </c>
      <c r="C508" s="24" t="s">
        <v>118</v>
      </c>
      <c r="D508" s="24" t="s">
        <v>1241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1259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1259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1259</v>
      </c>
      <c r="E511" s="20" t="s">
        <v>275</v>
      </c>
      <c r="F511" s="6">
        <f>'пр.6.1.ведом.22-23'!G581</f>
        <v>0</v>
      </c>
      <c r="G511" s="6">
        <f>'пр.6.1.ведом.22-23'!H581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1242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1242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2" t="s">
        <v>274</v>
      </c>
      <c r="B514" s="20" t="s">
        <v>264</v>
      </c>
      <c r="C514" s="20" t="s">
        <v>118</v>
      </c>
      <c r="D514" s="20" t="s">
        <v>1242</v>
      </c>
      <c r="E514" s="20" t="s">
        <v>275</v>
      </c>
      <c r="F514" s="6">
        <f>'пр.6.1.ведом.22-23'!G584</f>
        <v>3088</v>
      </c>
      <c r="G514" s="6">
        <f>'пр.6.1.ведом.22-23'!H584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1243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1243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2" t="s">
        <v>274</v>
      </c>
      <c r="B517" s="20" t="s">
        <v>264</v>
      </c>
      <c r="C517" s="20" t="s">
        <v>118</v>
      </c>
      <c r="D517" s="20" t="s">
        <v>1243</v>
      </c>
      <c r="E517" s="20" t="s">
        <v>275</v>
      </c>
      <c r="F517" s="6">
        <f>'пр.6.1.ведом.22-23'!G587</f>
        <v>1760</v>
      </c>
      <c r="G517" s="6">
        <f>'пр.6.1.ведом.22-23'!H587</f>
        <v>1760</v>
      </c>
    </row>
    <row r="518" spans="1:7" ht="78" customHeight="1" x14ac:dyDescent="0.25">
      <c r="A518" s="23" t="s">
        <v>933</v>
      </c>
      <c r="B518" s="24" t="s">
        <v>264</v>
      </c>
      <c r="C518" s="24" t="s">
        <v>118</v>
      </c>
      <c r="D518" s="24" t="s">
        <v>1244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1515</v>
      </c>
      <c r="B519" s="20" t="s">
        <v>264</v>
      </c>
      <c r="C519" s="20" t="s">
        <v>118</v>
      </c>
      <c r="D519" s="20" t="s">
        <v>1245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1245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2" t="s">
        <v>274</v>
      </c>
      <c r="B521" s="20" t="s">
        <v>264</v>
      </c>
      <c r="C521" s="20" t="s">
        <v>118</v>
      </c>
      <c r="D521" s="20" t="s">
        <v>1245</v>
      </c>
      <c r="E521" s="20" t="s">
        <v>275</v>
      </c>
      <c r="F521" s="6">
        <f>'пр.6.1.ведом.22-23'!G591</f>
        <v>297.70000000000005</v>
      </c>
      <c r="G521" s="6">
        <f>'пр.6.1.ведом.22-23'!H591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1246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1246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1246</v>
      </c>
      <c r="E524" s="20" t="s">
        <v>275</v>
      </c>
      <c r="F524" s="6" t="e">
        <f>'пр.6.1.ведом.22-23'!#REF!</f>
        <v>#REF!</v>
      </c>
      <c r="G524" s="6" t="e">
        <f>'пр.6.1.ведом.22-23'!#REF!</f>
        <v>#REF!</v>
      </c>
    </row>
    <row r="525" spans="1:7" s="200" customFormat="1" ht="110.25" x14ac:dyDescent="0.25">
      <c r="A525" s="23" t="s">
        <v>1167</v>
      </c>
      <c r="B525" s="24" t="s">
        <v>264</v>
      </c>
      <c r="C525" s="24" t="s">
        <v>118</v>
      </c>
      <c r="D525" s="24" t="s">
        <v>1247</v>
      </c>
      <c r="E525" s="24"/>
      <c r="F525" s="21">
        <f>F526+F529</f>
        <v>1666.6</v>
      </c>
      <c r="G525" s="21">
        <f>G526+G529</f>
        <v>915</v>
      </c>
    </row>
    <row r="526" spans="1:7" s="200" customFormat="1" ht="101.25" hidden="1" customHeight="1" x14ac:dyDescent="0.25">
      <c r="A526" s="149" t="s">
        <v>1186</v>
      </c>
      <c r="B526" s="20" t="s">
        <v>264</v>
      </c>
      <c r="C526" s="20" t="s">
        <v>118</v>
      </c>
      <c r="D526" s="20" t="s">
        <v>1248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1248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1248</v>
      </c>
      <c r="E528" s="20" t="s">
        <v>275</v>
      </c>
      <c r="F528" s="26">
        <f>'пр.6.1.ведом.22-23'!G595</f>
        <v>0</v>
      </c>
      <c r="G528" s="26">
        <f>'пр.6.1.ведом.22-23'!H595</f>
        <v>0</v>
      </c>
    </row>
    <row r="529" spans="1:7" ht="94.5" x14ac:dyDescent="0.25">
      <c r="A529" s="149" t="s">
        <v>1498</v>
      </c>
      <c r="B529" s="20" t="s">
        <v>264</v>
      </c>
      <c r="C529" s="20" t="s">
        <v>118</v>
      </c>
      <c r="D529" s="20" t="s">
        <v>1248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1248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1248</v>
      </c>
      <c r="E531" s="20" t="s">
        <v>275</v>
      </c>
      <c r="F531" s="26">
        <f>'пр.6.1.ведом.22-23'!G598</f>
        <v>1666.6</v>
      </c>
      <c r="G531" s="26">
        <f>'пр.6.1.ведом.22-23'!H598</f>
        <v>915</v>
      </c>
    </row>
    <row r="532" spans="1:7" s="200" customFormat="1" ht="63" x14ac:dyDescent="0.25">
      <c r="A532" s="34" t="s">
        <v>1360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0" customFormat="1" ht="63" x14ac:dyDescent="0.25">
      <c r="A533" s="34" t="s">
        <v>1009</v>
      </c>
      <c r="B533" s="24" t="s">
        <v>264</v>
      </c>
      <c r="C533" s="24" t="s">
        <v>118</v>
      </c>
      <c r="D533" s="24" t="s">
        <v>934</v>
      </c>
      <c r="E533" s="24"/>
      <c r="F533" s="21">
        <f t="shared" si="46"/>
        <v>80</v>
      </c>
      <c r="G533" s="21">
        <f t="shared" si="46"/>
        <v>25</v>
      </c>
    </row>
    <row r="534" spans="1:7" s="200" customFormat="1" ht="47.25" x14ac:dyDescent="0.25">
      <c r="A534" s="31" t="s">
        <v>1082</v>
      </c>
      <c r="B534" s="20" t="s">
        <v>264</v>
      </c>
      <c r="C534" s="20" t="s">
        <v>118</v>
      </c>
      <c r="D534" s="20" t="s">
        <v>935</v>
      </c>
      <c r="E534" s="20"/>
      <c r="F534" s="26">
        <f t="shared" si="46"/>
        <v>80</v>
      </c>
      <c r="G534" s="26">
        <f t="shared" si="46"/>
        <v>25</v>
      </c>
    </row>
    <row r="535" spans="1:7" s="200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935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200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935</v>
      </c>
      <c r="E536" s="20" t="s">
        <v>275</v>
      </c>
      <c r="F536" s="26">
        <f>'пр.6.1.ведом.22-23'!G603</f>
        <v>80</v>
      </c>
      <c r="G536" s="26">
        <f>'пр.6.1.ведом.22-23'!H603</f>
        <v>25</v>
      </c>
    </row>
    <row r="537" spans="1:7" ht="63" x14ac:dyDescent="0.25">
      <c r="A537" s="41" t="s">
        <v>1355</v>
      </c>
      <c r="B537" s="24" t="s">
        <v>264</v>
      </c>
      <c r="C537" s="24" t="s">
        <v>118</v>
      </c>
      <c r="D537" s="24" t="s">
        <v>705</v>
      </c>
      <c r="E537" s="217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890</v>
      </c>
      <c r="B538" s="24" t="s">
        <v>264</v>
      </c>
      <c r="C538" s="24" t="s">
        <v>118</v>
      </c>
      <c r="D538" s="24" t="s">
        <v>888</v>
      </c>
      <c r="E538" s="217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936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2" t="s">
        <v>274</v>
      </c>
      <c r="B541" s="20" t="s">
        <v>264</v>
      </c>
      <c r="C541" s="20" t="s">
        <v>118</v>
      </c>
      <c r="D541" s="20" t="s">
        <v>936</v>
      </c>
      <c r="E541" s="32" t="s">
        <v>275</v>
      </c>
      <c r="F541" s="6">
        <f>'пр.6.1.ведом.22-23'!G608</f>
        <v>570.9</v>
      </c>
      <c r="G541" s="6">
        <f>'пр.6.1.ведом.22-23'!H608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177860.49999999997</v>
      </c>
      <c r="G542" s="4">
        <f>G543+G615+G610</f>
        <v>197324.15000000002</v>
      </c>
    </row>
    <row r="543" spans="1:7" ht="47.25" x14ac:dyDescent="0.25">
      <c r="A543" s="23" t="s">
        <v>1361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176929.99999999997</v>
      </c>
      <c r="G543" s="4">
        <f>G544+G548+G567+G580+G587+G591+G595+G602+G606</f>
        <v>196348.85000000003</v>
      </c>
    </row>
    <row r="544" spans="1:7" ht="47.25" x14ac:dyDescent="0.25">
      <c r="A544" s="23" t="s">
        <v>937</v>
      </c>
      <c r="B544" s="24" t="s">
        <v>264</v>
      </c>
      <c r="C544" s="24" t="s">
        <v>213</v>
      </c>
      <c r="D544" s="24" t="s">
        <v>1231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1237</v>
      </c>
      <c r="B545" s="20" t="s">
        <v>264</v>
      </c>
      <c r="C545" s="20" t="s">
        <v>213</v>
      </c>
      <c r="D545" s="20" t="s">
        <v>1250</v>
      </c>
      <c r="E545" s="20"/>
      <c r="F545" s="360">
        <f t="shared" ref="F545:G545" si="48">F546</f>
        <v>28690.799999999999</v>
      </c>
      <c r="G545" s="360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1250</v>
      </c>
      <c r="E546" s="20" t="s">
        <v>273</v>
      </c>
      <c r="F546" s="360">
        <f>F547</f>
        <v>28690.799999999999</v>
      </c>
      <c r="G546" s="360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1250</v>
      </c>
      <c r="E547" s="20" t="s">
        <v>275</v>
      </c>
      <c r="F547" s="6">
        <f>'пр.6.1.ведом.22-23'!G614</f>
        <v>28690.799999999999</v>
      </c>
      <c r="G547" s="6">
        <f>'пр.6.1.ведом.22-23'!H614</f>
        <v>28690.799999999999</v>
      </c>
    </row>
    <row r="548" spans="1:7" ht="47.25" x14ac:dyDescent="0.25">
      <c r="A548" s="23" t="s">
        <v>900</v>
      </c>
      <c r="B548" s="24" t="s">
        <v>264</v>
      </c>
      <c r="C548" s="24" t="s">
        <v>213</v>
      </c>
      <c r="D548" s="24" t="s">
        <v>1233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0" customFormat="1" ht="78.75" x14ac:dyDescent="0.25">
      <c r="A549" s="25" t="s">
        <v>1395</v>
      </c>
      <c r="B549" s="20" t="s">
        <v>264</v>
      </c>
      <c r="C549" s="20" t="s">
        <v>213</v>
      </c>
      <c r="D549" s="20" t="s">
        <v>1396</v>
      </c>
      <c r="E549" s="20"/>
      <c r="F549" s="27">
        <f>F550</f>
        <v>7226.1</v>
      </c>
      <c r="G549" s="27">
        <f>G550</f>
        <v>7226.1</v>
      </c>
    </row>
    <row r="550" spans="1:7" s="200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1396</v>
      </c>
      <c r="E550" s="20" t="s">
        <v>273</v>
      </c>
      <c r="F550" s="27">
        <f>F551</f>
        <v>7226.1</v>
      </c>
      <c r="G550" s="27">
        <f>G551</f>
        <v>7226.1</v>
      </c>
    </row>
    <row r="551" spans="1:7" s="200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1396</v>
      </c>
      <c r="E551" s="20" t="s">
        <v>275</v>
      </c>
      <c r="F551" s="27">
        <f>'пр.6.1.ведом.22-23'!G618</f>
        <v>7226.1</v>
      </c>
      <c r="G551" s="27">
        <f>'пр.6.1.ведом.22-23'!H618</f>
        <v>7226.1</v>
      </c>
    </row>
    <row r="552" spans="1:7" s="200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1393</v>
      </c>
      <c r="E552" s="20"/>
      <c r="F552" s="6">
        <f>F553</f>
        <v>4610</v>
      </c>
      <c r="G552" s="6">
        <f>G553</f>
        <v>4610</v>
      </c>
    </row>
    <row r="553" spans="1:7" s="200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1393</v>
      </c>
      <c r="E553" s="20" t="s">
        <v>273</v>
      </c>
      <c r="F553" s="6">
        <f>F554</f>
        <v>4610</v>
      </c>
      <c r="G553" s="6">
        <f>G554</f>
        <v>4610</v>
      </c>
    </row>
    <row r="554" spans="1:7" s="200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1393</v>
      </c>
      <c r="E554" s="20" t="s">
        <v>275</v>
      </c>
      <c r="F554" s="6">
        <f>'пр.6.1.ведом.22-23'!G621</f>
        <v>4610</v>
      </c>
      <c r="G554" s="6">
        <f>'пр.6.1.ведом.22-23'!H621</f>
        <v>4610</v>
      </c>
    </row>
    <row r="555" spans="1:7" ht="102.75" customHeight="1" x14ac:dyDescent="0.25">
      <c r="A555" s="31" t="s">
        <v>1185</v>
      </c>
      <c r="B555" s="20" t="s">
        <v>264</v>
      </c>
      <c r="C555" s="20" t="s">
        <v>213</v>
      </c>
      <c r="D555" s="20" t="s">
        <v>1251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1251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1251</v>
      </c>
      <c r="E557" s="20" t="s">
        <v>275</v>
      </c>
      <c r="F557" s="6">
        <f>'пр.6.1.ведом.22-23'!G624</f>
        <v>115047.8</v>
      </c>
      <c r="G557" s="6">
        <f>'пр.6.1.ведом.22-23'!H624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1234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1234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1234</v>
      </c>
      <c r="E560" s="20" t="s">
        <v>275</v>
      </c>
      <c r="F560" s="6">
        <f>'пр.6.1.ведом.22-23'!G627</f>
        <v>1311</v>
      </c>
      <c r="G560" s="6">
        <f>'пр.6.1.ведом.22-23'!H627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1235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1235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1235</v>
      </c>
      <c r="E563" s="20" t="s">
        <v>275</v>
      </c>
      <c r="F563" s="6">
        <f>'пр.6.1.ведом.22-23'!G630</f>
        <v>2266.6999999999998</v>
      </c>
      <c r="G563" s="6">
        <f>'пр.6.1.ведом.22-23'!H630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1252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1252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1252</v>
      </c>
      <c r="E566" s="20" t="s">
        <v>275</v>
      </c>
      <c r="F566" s="6">
        <f>'пр.6.1.ведом.22-23'!G633</f>
        <v>909.3</v>
      </c>
      <c r="G566" s="6">
        <f>'пр.6.1.ведом.22-23'!H633</f>
        <v>909.3</v>
      </c>
    </row>
    <row r="567" spans="1:7" ht="31.5" x14ac:dyDescent="0.25">
      <c r="A567" s="23" t="s">
        <v>1305</v>
      </c>
      <c r="B567" s="24" t="s">
        <v>264</v>
      </c>
      <c r="C567" s="24" t="s">
        <v>213</v>
      </c>
      <c r="D567" s="24" t="s">
        <v>1238</v>
      </c>
      <c r="E567" s="24"/>
      <c r="F567" s="4">
        <f>F568+F571+F574+F577</f>
        <v>699</v>
      </c>
      <c r="G567" s="4">
        <f>G568+G571+G574+G577</f>
        <v>699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1318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1318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1318</v>
      </c>
      <c r="E570" s="20" t="s">
        <v>275</v>
      </c>
      <c r="F570" s="6">
        <f>'пр.6.1.ведом.22-23'!G637</f>
        <v>0</v>
      </c>
      <c r="G570" s="6">
        <f>'пр.6.1.ведом.22-23'!H637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1319</v>
      </c>
      <c r="E571" s="20"/>
      <c r="F571" s="6">
        <f t="shared" ref="F571:G571" si="54">F572</f>
        <v>355</v>
      </c>
      <c r="G571" s="6">
        <f t="shared" si="54"/>
        <v>355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1319</v>
      </c>
      <c r="E572" s="20" t="s">
        <v>273</v>
      </c>
      <c r="F572" s="6">
        <f>F573</f>
        <v>355</v>
      </c>
      <c r="G572" s="6">
        <f>G573</f>
        <v>355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1319</v>
      </c>
      <c r="E573" s="20" t="s">
        <v>275</v>
      </c>
      <c r="F573" s="6">
        <f>'пр.6.1.ведом.22-23'!G640</f>
        <v>355</v>
      </c>
      <c r="G573" s="6">
        <f>'пр.6.1.ведом.22-23'!H640</f>
        <v>355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1320</v>
      </c>
      <c r="E574" s="20"/>
      <c r="F574" s="6">
        <f t="shared" ref="F574:G574" si="55">F575</f>
        <v>120</v>
      </c>
      <c r="G574" s="6">
        <f t="shared" si="55"/>
        <v>120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1320</v>
      </c>
      <c r="E575" s="20" t="s">
        <v>273</v>
      </c>
      <c r="F575" s="6">
        <f>F576</f>
        <v>120</v>
      </c>
      <c r="G575" s="6">
        <f>G576</f>
        <v>120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1320</v>
      </c>
      <c r="E576" s="20" t="s">
        <v>275</v>
      </c>
      <c r="F576" s="6">
        <f>'пр.6.1.ведом.22-23'!G643</f>
        <v>120</v>
      </c>
      <c r="G576" s="6">
        <f>'пр.6.1.ведом.22-23'!H643</f>
        <v>120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1254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1254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1254</v>
      </c>
      <c r="E579" s="20" t="s">
        <v>275</v>
      </c>
      <c r="F579" s="6">
        <f>'пр.6.1.ведом.22-23'!G646</f>
        <v>224</v>
      </c>
      <c r="G579" s="6">
        <f>'пр.6.1.ведом.22-23'!H646</f>
        <v>224</v>
      </c>
    </row>
    <row r="580" spans="1:7" ht="47.25" x14ac:dyDescent="0.25">
      <c r="A580" s="214" t="s">
        <v>948</v>
      </c>
      <c r="B580" s="24" t="s">
        <v>264</v>
      </c>
      <c r="C580" s="24" t="s">
        <v>213</v>
      </c>
      <c r="D580" s="24" t="s">
        <v>1241</v>
      </c>
      <c r="E580" s="24"/>
      <c r="F580" s="4">
        <f>F581+F584</f>
        <v>2932</v>
      </c>
      <c r="G580" s="4">
        <f>G581+G584</f>
        <v>2932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1259</v>
      </c>
      <c r="E581" s="20"/>
      <c r="F581" s="6">
        <f>F582</f>
        <v>44</v>
      </c>
      <c r="G581" s="6">
        <f>G582</f>
        <v>44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1259</v>
      </c>
      <c r="E582" s="20" t="s">
        <v>273</v>
      </c>
      <c r="F582" s="6">
        <f>F583</f>
        <v>44</v>
      </c>
      <c r="G582" s="6">
        <f>G583</f>
        <v>44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1259</v>
      </c>
      <c r="E583" s="20" t="s">
        <v>275</v>
      </c>
      <c r="F583" s="6">
        <f>'пр.6.1.ведом.22-23'!G650</f>
        <v>44</v>
      </c>
      <c r="G583" s="6">
        <f>'пр.6.1.ведом.22-23'!H650</f>
        <v>44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1242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1242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2" t="s">
        <v>274</v>
      </c>
      <c r="B586" s="20" t="s">
        <v>264</v>
      </c>
      <c r="C586" s="20" t="s">
        <v>213</v>
      </c>
      <c r="D586" s="20" t="s">
        <v>1242</v>
      </c>
      <c r="E586" s="20" t="s">
        <v>275</v>
      </c>
      <c r="F586" s="6">
        <f>'пр.6.1.ведом.22-23'!G653</f>
        <v>2888</v>
      </c>
      <c r="G586" s="6">
        <f>'пр.6.1.ведом.22-23'!H653</f>
        <v>2888</v>
      </c>
    </row>
    <row r="587" spans="1:7" ht="31.5" x14ac:dyDescent="0.25">
      <c r="A587" s="23" t="s">
        <v>938</v>
      </c>
      <c r="B587" s="24" t="s">
        <v>264</v>
      </c>
      <c r="C587" s="24" t="s">
        <v>213</v>
      </c>
      <c r="D587" s="24" t="s">
        <v>1255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1256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1256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1256</v>
      </c>
      <c r="E590" s="20" t="s">
        <v>275</v>
      </c>
      <c r="F590" s="6">
        <f>'пр.6.1.ведом.22-23'!G657</f>
        <v>3931.8</v>
      </c>
      <c r="G590" s="6">
        <f>'пр.6.1.ведом.22-23'!H657</f>
        <v>3865.2</v>
      </c>
    </row>
    <row r="591" spans="1:7" ht="31.5" x14ac:dyDescent="0.25">
      <c r="A591" s="23" t="s">
        <v>939</v>
      </c>
      <c r="B591" s="24" t="s">
        <v>264</v>
      </c>
      <c r="C591" s="24" t="s">
        <v>213</v>
      </c>
      <c r="D591" s="24" t="s">
        <v>1257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1258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1258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1258</v>
      </c>
      <c r="E594" s="20" t="s">
        <v>275</v>
      </c>
      <c r="F594" s="6">
        <f>'пр.6.1.ведом.22-23'!G661</f>
        <v>1384.6</v>
      </c>
      <c r="G594" s="6">
        <f>'пр.6.1.ведом.22-23'!H661</f>
        <v>1384.6</v>
      </c>
    </row>
    <row r="595" spans="1:7" ht="31.5" x14ac:dyDescent="0.25">
      <c r="A595" s="212" t="s">
        <v>940</v>
      </c>
      <c r="B595" s="24" t="s">
        <v>264</v>
      </c>
      <c r="C595" s="24" t="s">
        <v>213</v>
      </c>
      <c r="D595" s="24" t="s">
        <v>1260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2" t="s">
        <v>828</v>
      </c>
      <c r="B596" s="20" t="s">
        <v>264</v>
      </c>
      <c r="C596" s="20" t="s">
        <v>213</v>
      </c>
      <c r="D596" s="20" t="s">
        <v>1429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1429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1429</v>
      </c>
      <c r="E598" s="20" t="s">
        <v>275</v>
      </c>
      <c r="F598" s="6">
        <f>'пр.6.1.ведом.22-23'!G665</f>
        <v>755.8</v>
      </c>
      <c r="G598" s="6">
        <f>'пр.6.1.ведом.22-23'!H665</f>
        <v>759</v>
      </c>
    </row>
    <row r="599" spans="1:7" s="200" customFormat="1" ht="31.5" hidden="1" x14ac:dyDescent="0.25">
      <c r="A599" s="327" t="s">
        <v>1428</v>
      </c>
      <c r="B599" s="20" t="s">
        <v>264</v>
      </c>
      <c r="C599" s="20" t="s">
        <v>213</v>
      </c>
      <c r="D599" s="20" t="s">
        <v>1430</v>
      </c>
      <c r="E599" s="20"/>
      <c r="F599" s="26">
        <f>F600</f>
        <v>0</v>
      </c>
      <c r="G599" s="6">
        <f>G600</f>
        <v>0</v>
      </c>
    </row>
    <row r="600" spans="1:7" s="200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1430</v>
      </c>
      <c r="E600" s="20" t="s">
        <v>273</v>
      </c>
      <c r="F600" s="26">
        <f>F601</f>
        <v>0</v>
      </c>
      <c r="G600" s="6">
        <f>G601</f>
        <v>0</v>
      </c>
    </row>
    <row r="601" spans="1:7" s="200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1430</v>
      </c>
      <c r="E601" s="20" t="s">
        <v>275</v>
      </c>
      <c r="F601" s="26">
        <v>0</v>
      </c>
      <c r="G601" s="6">
        <v>0</v>
      </c>
    </row>
    <row r="602" spans="1:7" s="200" customFormat="1" ht="47.25" x14ac:dyDescent="0.25">
      <c r="A602" s="288" t="s">
        <v>1408</v>
      </c>
      <c r="B602" s="24" t="s">
        <v>264</v>
      </c>
      <c r="C602" s="24" t="s">
        <v>213</v>
      </c>
      <c r="D602" s="24" t="s">
        <v>1407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0" customFormat="1" ht="78.75" x14ac:dyDescent="0.25">
      <c r="A603" s="287" t="s">
        <v>1394</v>
      </c>
      <c r="B603" s="20" t="s">
        <v>264</v>
      </c>
      <c r="C603" s="20" t="s">
        <v>213</v>
      </c>
      <c r="D603" s="20" t="s">
        <v>1454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0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1454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200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1454</v>
      </c>
      <c r="E605" s="20" t="s">
        <v>275</v>
      </c>
      <c r="F605" s="26">
        <f>'пр.6.1.ведом.22-23'!G672</f>
        <v>5415.6500000000005</v>
      </c>
      <c r="G605" s="6">
        <f>'пр.6.1.ведом.22-23'!H672</f>
        <v>5142.4500000000007</v>
      </c>
    </row>
    <row r="606" spans="1:7" s="200" customFormat="1" ht="31.5" x14ac:dyDescent="0.25">
      <c r="A606" s="34" t="s">
        <v>1477</v>
      </c>
      <c r="B606" s="24" t="s">
        <v>264</v>
      </c>
      <c r="C606" s="24" t="s">
        <v>213</v>
      </c>
      <c r="D606" s="24" t="s">
        <v>1475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0" customFormat="1" ht="47.25" x14ac:dyDescent="0.25">
      <c r="A607" s="31" t="s">
        <v>1529</v>
      </c>
      <c r="B607" s="20" t="s">
        <v>264</v>
      </c>
      <c r="C607" s="20" t="s">
        <v>213</v>
      </c>
      <c r="D607" s="20" t="s">
        <v>1476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0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1476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200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1476</v>
      </c>
      <c r="E609" s="20" t="s">
        <v>275</v>
      </c>
      <c r="F609" s="26">
        <f>'пр.6.1.ведом.22-23'!G680</f>
        <v>1749.4499999999998</v>
      </c>
      <c r="G609" s="26">
        <f>'пр.6.1.ведом.22-23'!H680</f>
        <v>2341</v>
      </c>
    </row>
    <row r="610" spans="1:7" ht="63" x14ac:dyDescent="0.25">
      <c r="A610" s="34" t="s">
        <v>1360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1024</v>
      </c>
      <c r="B611" s="24" t="s">
        <v>264</v>
      </c>
      <c r="C611" s="24" t="s">
        <v>213</v>
      </c>
      <c r="D611" s="24" t="s">
        <v>934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1008</v>
      </c>
      <c r="B612" s="20" t="s">
        <v>264</v>
      </c>
      <c r="C612" s="20" t="s">
        <v>213</v>
      </c>
      <c r="D612" s="20" t="s">
        <v>935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935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935</v>
      </c>
      <c r="E614" s="20" t="s">
        <v>275</v>
      </c>
      <c r="F614" s="6">
        <f>'пр.7.1.МП 22-23'!G621</f>
        <v>60</v>
      </c>
      <c r="G614" s="6">
        <f>'пр.7.1.МП 22-23'!H621</f>
        <v>70</v>
      </c>
    </row>
    <row r="615" spans="1:7" ht="63" x14ac:dyDescent="0.25">
      <c r="A615" s="41" t="s">
        <v>1355</v>
      </c>
      <c r="B615" s="24" t="s">
        <v>264</v>
      </c>
      <c r="C615" s="24" t="s">
        <v>213</v>
      </c>
      <c r="D615" s="24" t="s">
        <v>705</v>
      </c>
      <c r="E615" s="217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890</v>
      </c>
      <c r="B616" s="24" t="s">
        <v>264</v>
      </c>
      <c r="C616" s="24" t="s">
        <v>213</v>
      </c>
      <c r="D616" s="24" t="s">
        <v>888</v>
      </c>
      <c r="E616" s="217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936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2" t="s">
        <v>274</v>
      </c>
      <c r="B619" s="20" t="s">
        <v>264</v>
      </c>
      <c r="C619" s="20" t="s">
        <v>213</v>
      </c>
      <c r="D619" s="20" t="s">
        <v>936</v>
      </c>
      <c r="E619" s="32" t="s">
        <v>275</v>
      </c>
      <c r="F619" s="6">
        <f>'пр.6.1.ведом.22-23'!G690</f>
        <v>870.5</v>
      </c>
      <c r="G619" s="6">
        <f>'пр.6.1.ведом.22-23'!H690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1361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937</v>
      </c>
      <c r="B622" s="24" t="s">
        <v>264</v>
      </c>
      <c r="C622" s="24" t="s">
        <v>215</v>
      </c>
      <c r="D622" s="24" t="s">
        <v>1231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1261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1261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1261</v>
      </c>
      <c r="E625" s="20" t="s">
        <v>275</v>
      </c>
      <c r="F625" s="6">
        <f>'пр.6.1.ведом.22-23'!G696</f>
        <v>37056.300000000003</v>
      </c>
      <c r="G625" s="6">
        <f>'пр.6.1.ведом.22-23'!H696</f>
        <v>37056.300000000003</v>
      </c>
    </row>
    <row r="626" spans="1:7" ht="47.25" x14ac:dyDescent="0.25">
      <c r="A626" s="23" t="s">
        <v>900</v>
      </c>
      <c r="B626" s="24" t="s">
        <v>264</v>
      </c>
      <c r="C626" s="24" t="s">
        <v>215</v>
      </c>
      <c r="D626" s="24" t="s">
        <v>1233</v>
      </c>
      <c r="E626" s="24"/>
      <c r="F626" s="4">
        <f>F630+F633+F627</f>
        <v>2128.5</v>
      </c>
      <c r="G626" s="4">
        <f>G630+G633+G627</f>
        <v>2128.5</v>
      </c>
    </row>
    <row r="627" spans="1:7" s="200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1393</v>
      </c>
      <c r="E627" s="20"/>
      <c r="F627" s="6">
        <f>F628</f>
        <v>1400</v>
      </c>
      <c r="G627" s="6">
        <f>G628</f>
        <v>1400</v>
      </c>
    </row>
    <row r="628" spans="1:7" s="200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1393</v>
      </c>
      <c r="E628" s="20" t="s">
        <v>273</v>
      </c>
      <c r="F628" s="6">
        <f>F629</f>
        <v>1400</v>
      </c>
      <c r="G628" s="6">
        <f>G629</f>
        <v>1400</v>
      </c>
    </row>
    <row r="629" spans="1:7" s="200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1393</v>
      </c>
      <c r="E629" s="20" t="s">
        <v>275</v>
      </c>
      <c r="F629" s="6">
        <f>'пр.6.1.ведом.22-23'!G700</f>
        <v>1400</v>
      </c>
      <c r="G629" s="6">
        <f>'пр.6.1.ведом.22-23'!H700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1234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1234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1234</v>
      </c>
      <c r="E632" s="20" t="s">
        <v>275</v>
      </c>
      <c r="F632" s="6">
        <f>'пр.6.1.ведом.22-23'!G703</f>
        <v>179</v>
      </c>
      <c r="G632" s="6">
        <f>'пр.6.1.ведом.22-23'!H703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1235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1235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1235</v>
      </c>
      <c r="E635" s="20" t="s">
        <v>275</v>
      </c>
      <c r="F635" s="6">
        <f>'пр.6.1.ведом.22-23'!G706</f>
        <v>549.5</v>
      </c>
      <c r="G635" s="6">
        <f>'пр.6.1.ведом.22-23'!H706</f>
        <v>549.5</v>
      </c>
    </row>
    <row r="636" spans="1:7" ht="31.5" hidden="1" x14ac:dyDescent="0.25">
      <c r="A636" s="23" t="s">
        <v>1293</v>
      </c>
      <c r="B636" s="24" t="s">
        <v>264</v>
      </c>
      <c r="C636" s="24" t="s">
        <v>215</v>
      </c>
      <c r="D636" s="24" t="s">
        <v>1238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1330</v>
      </c>
      <c r="E637" s="20"/>
      <c r="F637" s="6">
        <f>'Пр.3 Рд,пр, ЦС,ВР 21'!F680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1330</v>
      </c>
      <c r="E638" s="20" t="s">
        <v>273</v>
      </c>
      <c r="F638" s="6">
        <f>'Пр.3 Рд,пр, ЦС,ВР 21'!F681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1330</v>
      </c>
      <c r="E639" s="20" t="s">
        <v>275</v>
      </c>
      <c r="F639" s="6">
        <f>'Пр.3 Рд,пр, ЦС,ВР 21'!F682</f>
        <v>0</v>
      </c>
      <c r="G639" s="6">
        <f t="shared" si="65"/>
        <v>0</v>
      </c>
    </row>
    <row r="640" spans="1:7" ht="47.25" x14ac:dyDescent="0.25">
      <c r="A640" s="214" t="s">
        <v>948</v>
      </c>
      <c r="B640" s="24" t="s">
        <v>264</v>
      </c>
      <c r="C640" s="24" t="s">
        <v>215</v>
      </c>
      <c r="D640" s="24" t="s">
        <v>1241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1242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1242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1242</v>
      </c>
      <c r="E643" s="20" t="s">
        <v>275</v>
      </c>
      <c r="F643" s="6">
        <f>'пр.6.1.ведом.22-23'!G714</f>
        <v>1564</v>
      </c>
      <c r="G643" s="6">
        <f>'пр.6.1.ведом.22-23'!H714</f>
        <v>1564</v>
      </c>
    </row>
    <row r="644" spans="1:7" ht="47.25" x14ac:dyDescent="0.25">
      <c r="A644" s="23" t="s">
        <v>1354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1300</v>
      </c>
      <c r="B645" s="24" t="s">
        <v>264</v>
      </c>
      <c r="C645" s="24" t="s">
        <v>215</v>
      </c>
      <c r="D645" s="24" t="s">
        <v>1204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1205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1205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1205</v>
      </c>
      <c r="E648" s="20" t="s">
        <v>209</v>
      </c>
      <c r="F648" s="6">
        <f>'пр.6.1.ведом.22-23'!G299</f>
        <v>14172.31</v>
      </c>
      <c r="G648" s="6">
        <f>'пр.6.1.ведом.22-23'!H299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1205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1205</v>
      </c>
      <c r="E650" s="20" t="s">
        <v>134</v>
      </c>
      <c r="F650" s="6">
        <f>'пр.6.1.ведом.22-23'!G301</f>
        <v>1603.7</v>
      </c>
      <c r="G650" s="6">
        <f>'пр.6.1.ведом.22-23'!H301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1205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1205</v>
      </c>
      <c r="E652" s="20" t="s">
        <v>138</v>
      </c>
      <c r="F652" s="6">
        <f>'пр.6.1.ведом.22-23'!G303</f>
        <v>78</v>
      </c>
      <c r="G652" s="6">
        <f>'пр.6.1.ведом.22-23'!H303</f>
        <v>78</v>
      </c>
    </row>
    <row r="653" spans="1:7" ht="31.5" x14ac:dyDescent="0.25">
      <c r="A653" s="211" t="s">
        <v>1302</v>
      </c>
      <c r="B653" s="24" t="s">
        <v>264</v>
      </c>
      <c r="C653" s="24" t="s">
        <v>215</v>
      </c>
      <c r="D653" s="24" t="s">
        <v>1206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4" t="s">
        <v>799</v>
      </c>
      <c r="B654" s="20" t="s">
        <v>264</v>
      </c>
      <c r="C654" s="20" t="s">
        <v>215</v>
      </c>
      <c r="D654" s="20" t="s">
        <v>1207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1207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820</v>
      </c>
      <c r="B656" s="20" t="s">
        <v>264</v>
      </c>
      <c r="C656" s="20" t="s">
        <v>215</v>
      </c>
      <c r="D656" s="20" t="s">
        <v>1207</v>
      </c>
      <c r="E656" s="20" t="s">
        <v>819</v>
      </c>
      <c r="F656" s="6">
        <f>'пр.6.1.ведом.22-23'!G307</f>
        <v>45</v>
      </c>
      <c r="G656" s="6">
        <f>'пр.6.1.ведом.22-23'!H307</f>
        <v>45</v>
      </c>
    </row>
    <row r="657" spans="1:7" ht="31.5" x14ac:dyDescent="0.25">
      <c r="A657" s="31" t="s">
        <v>816</v>
      </c>
      <c r="B657" s="20" t="s">
        <v>264</v>
      </c>
      <c r="C657" s="20" t="s">
        <v>215</v>
      </c>
      <c r="D657" s="20" t="s">
        <v>1208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1208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1208</v>
      </c>
      <c r="E659" s="20" t="s">
        <v>209</v>
      </c>
      <c r="F659" s="6">
        <f>'пр.6.1.ведом.22-23'!G310</f>
        <v>1250</v>
      </c>
      <c r="G659" s="6">
        <f>'пр.6.1.ведом.22-23'!H310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1208</v>
      </c>
      <c r="E660" s="20" t="s">
        <v>132</v>
      </c>
      <c r="F660" s="6">
        <f>'Пр.3 Рд,пр, ЦС,ВР 21'!F706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1208</v>
      </c>
      <c r="E661" s="20" t="s">
        <v>134</v>
      </c>
      <c r="F661" s="6">
        <f>'Пр.3 Рд,пр, ЦС,ВР 21'!F707</f>
        <v>0</v>
      </c>
      <c r="G661" s="6">
        <f t="shared" si="65"/>
        <v>0</v>
      </c>
    </row>
    <row r="662" spans="1:7" ht="47.25" x14ac:dyDescent="0.25">
      <c r="A662" s="23" t="s">
        <v>947</v>
      </c>
      <c r="B662" s="24" t="s">
        <v>264</v>
      </c>
      <c r="C662" s="24" t="s">
        <v>215</v>
      </c>
      <c r="D662" s="24" t="s">
        <v>1209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839</v>
      </c>
      <c r="B663" s="20" t="s">
        <v>264</v>
      </c>
      <c r="C663" s="20" t="s">
        <v>215</v>
      </c>
      <c r="D663" s="20" t="s">
        <v>1210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1210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1210</v>
      </c>
      <c r="E665" s="20" t="s">
        <v>209</v>
      </c>
      <c r="F665" s="6">
        <f>'пр.6.1.ведом.22-23'!G316</f>
        <v>506</v>
      </c>
      <c r="G665" s="6">
        <f>'пр.6.1.ведом.22-23'!H316</f>
        <v>506</v>
      </c>
    </row>
    <row r="666" spans="1:7" ht="56.25" customHeight="1" x14ac:dyDescent="0.25">
      <c r="A666" s="23" t="s">
        <v>900</v>
      </c>
      <c r="B666" s="24" t="s">
        <v>264</v>
      </c>
      <c r="C666" s="24" t="s">
        <v>215</v>
      </c>
      <c r="D666" s="24" t="s">
        <v>1211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0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1406</v>
      </c>
      <c r="E667" s="20"/>
      <c r="F667" s="6">
        <f>F668</f>
        <v>671</v>
      </c>
      <c r="G667" s="6">
        <f>G668</f>
        <v>671</v>
      </c>
    </row>
    <row r="668" spans="1:7" s="200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1406</v>
      </c>
      <c r="E668" s="20" t="s">
        <v>128</v>
      </c>
      <c r="F668" s="6">
        <f>F669</f>
        <v>671</v>
      </c>
      <c r="G668" s="6">
        <f>G669</f>
        <v>671</v>
      </c>
    </row>
    <row r="669" spans="1:7" s="200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1406</v>
      </c>
      <c r="E669" s="20" t="s">
        <v>209</v>
      </c>
      <c r="F669" s="6">
        <f>'пр.6.1.ведом.22-23'!G320</f>
        <v>671</v>
      </c>
      <c r="G669" s="6">
        <f>'пр.6.1.ведом.22-23'!H320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1212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1212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1212</v>
      </c>
      <c r="E672" s="20" t="s">
        <v>209</v>
      </c>
      <c r="F672" s="6">
        <f>'пр.6.1.ведом.22-23'!G323</f>
        <v>106</v>
      </c>
      <c r="G672" s="6">
        <f>'пр.6.1.ведом.22-23'!H323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1213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1213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1213</v>
      </c>
      <c r="E675" s="20" t="s">
        <v>209</v>
      </c>
      <c r="F675" s="6">
        <f>'пр.6.1.ведом.22-23'!G326</f>
        <v>298.39999999999998</v>
      </c>
      <c r="G675" s="6">
        <f>'пр.6.1.ведом.22-23'!H326</f>
        <v>298.39999999999998</v>
      </c>
    </row>
    <row r="676" spans="1:7" s="200" customFormat="1" ht="63" x14ac:dyDescent="0.25">
      <c r="A676" s="34" t="s">
        <v>1221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200" customFormat="1" ht="63" x14ac:dyDescent="0.25">
      <c r="A677" s="34" t="s">
        <v>1025</v>
      </c>
      <c r="B677" s="24" t="s">
        <v>264</v>
      </c>
      <c r="C677" s="24" t="s">
        <v>215</v>
      </c>
      <c r="D677" s="24" t="s">
        <v>934</v>
      </c>
      <c r="E677" s="24"/>
      <c r="F677" s="21">
        <f>F680</f>
        <v>6</v>
      </c>
      <c r="G677" s="21">
        <f>G680</f>
        <v>0</v>
      </c>
    </row>
    <row r="678" spans="1:7" s="200" customFormat="1" ht="47.25" x14ac:dyDescent="0.25">
      <c r="A678" s="31" t="s">
        <v>1081</v>
      </c>
      <c r="B678" s="20" t="s">
        <v>264</v>
      </c>
      <c r="C678" s="20" t="s">
        <v>215</v>
      </c>
      <c r="D678" s="20" t="s">
        <v>1026</v>
      </c>
      <c r="E678" s="20"/>
      <c r="F678" s="26">
        <f>F679</f>
        <v>6</v>
      </c>
      <c r="G678" s="26">
        <f>G679</f>
        <v>0</v>
      </c>
    </row>
    <row r="679" spans="1:7" s="200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1026</v>
      </c>
      <c r="E679" s="20" t="s">
        <v>132</v>
      </c>
      <c r="F679" s="26">
        <f>F680</f>
        <v>6</v>
      </c>
      <c r="G679" s="26">
        <f>G680</f>
        <v>0</v>
      </c>
    </row>
    <row r="680" spans="1:7" s="200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1026</v>
      </c>
      <c r="E680" s="20" t="s">
        <v>134</v>
      </c>
      <c r="F680" s="26">
        <f>'пр.6.1.ведом.22-23'!G331</f>
        <v>6</v>
      </c>
      <c r="G680" s="26">
        <f>'пр.6.1.ведом.22-23'!H331</f>
        <v>0</v>
      </c>
    </row>
    <row r="681" spans="1:7" ht="63" x14ac:dyDescent="0.25">
      <c r="A681" s="41" t="s">
        <v>1355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890</v>
      </c>
      <c r="B682" s="24" t="s">
        <v>264</v>
      </c>
      <c r="C682" s="24" t="s">
        <v>215</v>
      </c>
      <c r="D682" s="24" t="s">
        <v>888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1004</v>
      </c>
      <c r="B683" s="20" t="s">
        <v>264</v>
      </c>
      <c r="C683" s="20" t="s">
        <v>215</v>
      </c>
      <c r="D683" s="20" t="s">
        <v>889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889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889</v>
      </c>
      <c r="E685" s="32" t="s">
        <v>134</v>
      </c>
      <c r="F685" s="6">
        <f>'пр.6.1.ведом.22-23'!G336</f>
        <v>490.2</v>
      </c>
      <c r="G685" s="6">
        <f>'пр.6.1.ведом.22-23'!H336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936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2" t="s">
        <v>274</v>
      </c>
      <c r="B688" s="20" t="s">
        <v>264</v>
      </c>
      <c r="C688" s="20" t="s">
        <v>215</v>
      </c>
      <c r="D688" s="20" t="s">
        <v>936</v>
      </c>
      <c r="E688" s="32" t="s">
        <v>275</v>
      </c>
      <c r="F688" s="6">
        <f>'пр.6.1.ведом.22-23'!G719</f>
        <v>302.7</v>
      </c>
      <c r="G688" s="6">
        <f>'пр.6.1.ведом.22-23'!H719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17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1375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06" t="s">
        <v>1029</v>
      </c>
      <c r="B692" s="24" t="s">
        <v>264</v>
      </c>
      <c r="C692" s="24" t="s">
        <v>264</v>
      </c>
      <c r="D692" s="24" t="s">
        <v>892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1035</v>
      </c>
      <c r="B693" s="20" t="s">
        <v>264</v>
      </c>
      <c r="C693" s="20" t="s">
        <v>264</v>
      </c>
      <c r="D693" s="20" t="s">
        <v>893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893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893</v>
      </c>
      <c r="E695" s="20" t="s">
        <v>209</v>
      </c>
      <c r="F695" s="6">
        <f>'пр.6.1.ведом.22-23'!G343</f>
        <v>280</v>
      </c>
      <c r="G695" s="6">
        <f>'пр.6.1.ведом.22-23'!H343</f>
        <v>280</v>
      </c>
    </row>
    <row r="696" spans="1:7" ht="31.5" hidden="1" x14ac:dyDescent="0.25">
      <c r="A696" s="25" t="s">
        <v>1030</v>
      </c>
      <c r="B696" s="20" t="s">
        <v>264</v>
      </c>
      <c r="C696" s="20" t="s">
        <v>264</v>
      </c>
      <c r="D696" s="20" t="s">
        <v>1047</v>
      </c>
      <c r="E696" s="20"/>
      <c r="F696" s="6">
        <f>'Пр.3 Рд,пр, ЦС,ВР 21'!F742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1047</v>
      </c>
      <c r="E697" s="20" t="s">
        <v>132</v>
      </c>
      <c r="F697" s="6">
        <f>'Пр.3 Рд,пр, ЦС,ВР 21'!F743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1047</v>
      </c>
      <c r="E698" s="20" t="s">
        <v>134</v>
      </c>
      <c r="F698" s="6">
        <f>'Пр.3 Рд,пр, ЦС,ВР 21'!F744</f>
        <v>0</v>
      </c>
      <c r="G698" s="6">
        <f t="shared" si="70"/>
        <v>0</v>
      </c>
    </row>
    <row r="699" spans="1:7" ht="78.75" x14ac:dyDescent="0.25">
      <c r="A699" s="23" t="s">
        <v>1031</v>
      </c>
      <c r="B699" s="24" t="s">
        <v>264</v>
      </c>
      <c r="C699" s="24" t="s">
        <v>264</v>
      </c>
      <c r="D699" s="24" t="s">
        <v>894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1032</v>
      </c>
      <c r="B700" s="20" t="s">
        <v>264</v>
      </c>
      <c r="C700" s="20" t="s">
        <v>264</v>
      </c>
      <c r="D700" s="20" t="s">
        <v>901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901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901</v>
      </c>
      <c r="E702" s="20" t="s">
        <v>209</v>
      </c>
      <c r="F702" s="6">
        <f>'пр.6.1.ведом.22-23'!G350</f>
        <v>40</v>
      </c>
      <c r="G702" s="6">
        <f>'пр.6.1.ведом.22-23'!H350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901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901</v>
      </c>
      <c r="E704" s="20" t="s">
        <v>134</v>
      </c>
      <c r="F704" s="6">
        <f>'пр.6.1.ведом.22-23'!G352</f>
        <v>415</v>
      </c>
      <c r="G704" s="6">
        <f>'пр.6.1.ведом.22-23'!H352</f>
        <v>480</v>
      </c>
    </row>
    <row r="705" spans="1:7" ht="47.25" x14ac:dyDescent="0.25">
      <c r="A705" s="23" t="s">
        <v>1037</v>
      </c>
      <c r="B705" s="24" t="s">
        <v>264</v>
      </c>
      <c r="C705" s="24" t="s">
        <v>264</v>
      </c>
      <c r="D705" s="24" t="s">
        <v>1033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26" t="s">
        <v>1034</v>
      </c>
      <c r="B706" s="20" t="s">
        <v>264</v>
      </c>
      <c r="C706" s="20" t="s">
        <v>264</v>
      </c>
      <c r="D706" s="20" t="s">
        <v>1048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1048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1197</v>
      </c>
      <c r="B708" s="20" t="s">
        <v>264</v>
      </c>
      <c r="C708" s="20" t="s">
        <v>264</v>
      </c>
      <c r="D708" s="20" t="s">
        <v>1048</v>
      </c>
      <c r="E708" s="20" t="s">
        <v>1196</v>
      </c>
      <c r="F708" s="6">
        <f>'пр.6.1.ведом.22-23'!G356</f>
        <v>25</v>
      </c>
      <c r="G708" s="6">
        <f>'пр.6.1.ведом.22-23'!H356</f>
        <v>25</v>
      </c>
    </row>
    <row r="709" spans="1:7" ht="47.25" x14ac:dyDescent="0.25">
      <c r="A709" s="23" t="s">
        <v>1361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943</v>
      </c>
      <c r="B710" s="24" t="s">
        <v>264</v>
      </c>
      <c r="C710" s="24" t="s">
        <v>264</v>
      </c>
      <c r="D710" s="24" t="s">
        <v>1240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1060</v>
      </c>
      <c r="B711" s="20" t="s">
        <v>264</v>
      </c>
      <c r="C711" s="20" t="s">
        <v>264</v>
      </c>
      <c r="D711" s="20" t="s">
        <v>1262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1262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1262</v>
      </c>
      <c r="E713" s="20" t="s">
        <v>275</v>
      </c>
      <c r="F713" s="6">
        <f>'пр.6.1.ведом.22-23'!G725</f>
        <v>5745.1</v>
      </c>
      <c r="G713" s="6">
        <f>'пр.6.1.ведом.22-23'!H725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917</v>
      </c>
      <c r="B715" s="24" t="s">
        <v>264</v>
      </c>
      <c r="C715" s="24" t="s">
        <v>219</v>
      </c>
      <c r="D715" s="24" t="s">
        <v>858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918</v>
      </c>
      <c r="B716" s="24" t="s">
        <v>264</v>
      </c>
      <c r="C716" s="24" t="s">
        <v>219</v>
      </c>
      <c r="D716" s="24" t="s">
        <v>859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897</v>
      </c>
      <c r="B717" s="20" t="s">
        <v>264</v>
      </c>
      <c r="C717" s="20" t="s">
        <v>219</v>
      </c>
      <c r="D717" s="20" t="s">
        <v>860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860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860</v>
      </c>
      <c r="E719" s="20" t="s">
        <v>130</v>
      </c>
      <c r="F719" s="6">
        <f>'пр.6.1.ведом.22-23'!G734</f>
        <v>5710.7</v>
      </c>
      <c r="G719" s="6">
        <f>'пр.6.1.ведом.22-23'!H734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860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860</v>
      </c>
      <c r="E721" s="20" t="s">
        <v>134</v>
      </c>
      <c r="F721" s="6">
        <f>'пр.6.1.ведом.22-23'!G736</f>
        <v>212</v>
      </c>
      <c r="G721" s="6">
        <f>'пр.6.1.ведом.22-23'!H736</f>
        <v>212</v>
      </c>
    </row>
    <row r="722" spans="1:7" ht="47.25" x14ac:dyDescent="0.25">
      <c r="A722" s="25" t="s">
        <v>839</v>
      </c>
      <c r="B722" s="20" t="s">
        <v>264</v>
      </c>
      <c r="C722" s="20" t="s">
        <v>219</v>
      </c>
      <c r="D722" s="20" t="s">
        <v>862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862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862</v>
      </c>
      <c r="E724" s="20" t="s">
        <v>130</v>
      </c>
      <c r="F724" s="6">
        <f>'пр.6.1.ведом.22-23'!G739</f>
        <v>126</v>
      </c>
      <c r="G724" s="6">
        <f>'пр.6.1.ведом.22-23'!H739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870</v>
      </c>
      <c r="B726" s="24" t="s">
        <v>264</v>
      </c>
      <c r="C726" s="24" t="s">
        <v>219</v>
      </c>
      <c r="D726" s="24" t="s">
        <v>865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944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944</v>
      </c>
      <c r="E729" s="20" t="s">
        <v>134</v>
      </c>
      <c r="F729" s="6">
        <f>'пр.6.1.ведом.22-23'!G744</f>
        <v>300</v>
      </c>
      <c r="G729" s="6">
        <f>'пр.6.1.ведом.22-23'!H744</f>
        <v>300</v>
      </c>
    </row>
    <row r="730" spans="1:7" ht="36" customHeight="1" x14ac:dyDescent="0.25">
      <c r="A730" s="23" t="s">
        <v>929</v>
      </c>
      <c r="B730" s="24" t="s">
        <v>264</v>
      </c>
      <c r="C730" s="24" t="s">
        <v>219</v>
      </c>
      <c r="D730" s="24" t="s">
        <v>914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903</v>
      </c>
      <c r="B731" s="20" t="s">
        <v>264</v>
      </c>
      <c r="C731" s="20" t="s">
        <v>219</v>
      </c>
      <c r="D731" s="20" t="s">
        <v>915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915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915</v>
      </c>
      <c r="E733" s="20" t="s">
        <v>209</v>
      </c>
      <c r="F733" s="6">
        <f>'пр.6.1.ведом.22-23'!G748</f>
        <v>11885.1</v>
      </c>
      <c r="G733" s="6">
        <f>'пр.6.1.ведом.22-23'!H748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915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915</v>
      </c>
      <c r="E735" s="20" t="s">
        <v>134</v>
      </c>
      <c r="F735" s="6">
        <f>'пр.6.1.ведом.22-23'!G750</f>
        <v>1077</v>
      </c>
      <c r="G735" s="6">
        <f>'пр.6.1.ведом.22-23'!H750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915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915</v>
      </c>
      <c r="E737" s="20" t="s">
        <v>138</v>
      </c>
      <c r="F737" s="6">
        <f>'пр.6.1.ведом.22-23'!G752</f>
        <v>15</v>
      </c>
      <c r="G737" s="6">
        <f>'пр.6.1.ведом.22-23'!H752</f>
        <v>15</v>
      </c>
    </row>
    <row r="738" spans="1:9" ht="47.25" x14ac:dyDescent="0.25">
      <c r="A738" s="25" t="s">
        <v>839</v>
      </c>
      <c r="B738" s="20" t="s">
        <v>264</v>
      </c>
      <c r="C738" s="20" t="s">
        <v>219</v>
      </c>
      <c r="D738" s="20" t="s">
        <v>916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916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916</v>
      </c>
      <c r="E740" s="20" t="s">
        <v>130</v>
      </c>
      <c r="F740" s="6">
        <f>'пр.6.1.ведом.22-23'!G755</f>
        <v>506</v>
      </c>
      <c r="G740" s="6">
        <f>'пр.6.1.ведом.22-23'!H755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77665.48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59070.079999999994</v>
      </c>
      <c r="H742" s="227">
        <f>H741-F741</f>
        <v>-4041.2799999999988</v>
      </c>
      <c r="I742" s="227">
        <f>I741-G741</f>
        <v>-4035.2799999999988</v>
      </c>
    </row>
    <row r="743" spans="1:9" ht="47.25" x14ac:dyDescent="0.25">
      <c r="A743" s="23" t="s">
        <v>1354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58156.179999999993</v>
      </c>
    </row>
    <row r="744" spans="1:9" ht="47.25" x14ac:dyDescent="0.25">
      <c r="A744" s="23" t="s">
        <v>1300</v>
      </c>
      <c r="B744" s="24" t="s">
        <v>299</v>
      </c>
      <c r="C744" s="24" t="s">
        <v>118</v>
      </c>
      <c r="D744" s="24" t="s">
        <v>1204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1205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1205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1205</v>
      </c>
      <c r="E747" s="20" t="s">
        <v>209</v>
      </c>
      <c r="F747" s="6">
        <f>'пр.6.1.ведом.22-23'!G363</f>
        <v>43271.28</v>
      </c>
      <c r="G747" s="6">
        <f>'пр.6.1.ведом.22-23'!H363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1205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1205</v>
      </c>
      <c r="E749" s="20" t="s">
        <v>134</v>
      </c>
      <c r="F749" s="6">
        <f>'пр.6.1.ведом.22-23'!G365</f>
        <v>8506.2000000000007</v>
      </c>
      <c r="G749" s="6">
        <f>'пр.6.1.ведом.22-23'!H365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1205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1205</v>
      </c>
      <c r="E751" s="20" t="s">
        <v>138</v>
      </c>
      <c r="F751" s="6">
        <f>'пр.6.1.ведом.22-23'!G367</f>
        <v>63</v>
      </c>
      <c r="G751" s="6">
        <f>'пр.6.1.ведом.22-23'!H367</f>
        <v>63</v>
      </c>
    </row>
    <row r="752" spans="1:9" ht="31.5" x14ac:dyDescent="0.25">
      <c r="A752" s="212" t="s">
        <v>1302</v>
      </c>
      <c r="B752" s="24" t="s">
        <v>299</v>
      </c>
      <c r="C752" s="24" t="s">
        <v>118</v>
      </c>
      <c r="D752" s="24" t="s">
        <v>1206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816</v>
      </c>
      <c r="B753" s="20" t="s">
        <v>299</v>
      </c>
      <c r="C753" s="20" t="s">
        <v>118</v>
      </c>
      <c r="D753" s="20" t="s">
        <v>1208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1208</v>
      </c>
      <c r="E754" s="20" t="s">
        <v>128</v>
      </c>
      <c r="F754" s="6">
        <f>'Пр.3 Рд,пр, ЦС,ВР 21'!F808</f>
        <v>543.30000000000007</v>
      </c>
      <c r="G754" s="6">
        <f>'Пр.3 Рд,пр, ЦС,ВР 21'!G808</f>
        <v>465.32100000000003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1208</v>
      </c>
      <c r="E755" s="20" t="s">
        <v>209</v>
      </c>
      <c r="F755" s="6">
        <f>'Пр.3 Рд,пр, ЦС,ВР 21'!F809</f>
        <v>543.30000000000007</v>
      </c>
      <c r="G755" s="6">
        <f>'Пр.3 Рд,пр, ЦС,ВР 21'!G809</f>
        <v>465.32100000000003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1208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1208</v>
      </c>
      <c r="E757" s="20" t="s">
        <v>134</v>
      </c>
      <c r="F757" s="6">
        <f>'пр.6.1.ведом.22-23'!G373</f>
        <v>1380</v>
      </c>
      <c r="G757" s="6">
        <f>'пр.6.1.ведом.22-23'!H373</f>
        <v>1380</v>
      </c>
    </row>
    <row r="758" spans="1:7" ht="47.25" x14ac:dyDescent="0.25">
      <c r="A758" s="23" t="s">
        <v>947</v>
      </c>
      <c r="B758" s="24" t="s">
        <v>299</v>
      </c>
      <c r="C758" s="24" t="s">
        <v>118</v>
      </c>
      <c r="D758" s="24" t="s">
        <v>1209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839</v>
      </c>
      <c r="B759" s="20" t="s">
        <v>299</v>
      </c>
      <c r="C759" s="20" t="s">
        <v>118</v>
      </c>
      <c r="D759" s="20" t="s">
        <v>1210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1210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1210</v>
      </c>
      <c r="E761" s="20" t="s">
        <v>209</v>
      </c>
      <c r="F761" s="6">
        <f>'пр.6.1.ведом.22-23'!G377</f>
        <v>875</v>
      </c>
      <c r="G761" s="6">
        <f>'пр.6.1.ведом.22-23'!H377</f>
        <v>875</v>
      </c>
    </row>
    <row r="762" spans="1:7" ht="50.25" customHeight="1" x14ac:dyDescent="0.25">
      <c r="A762" s="213" t="s">
        <v>900</v>
      </c>
      <c r="B762" s="24" t="s">
        <v>299</v>
      </c>
      <c r="C762" s="24" t="s">
        <v>118</v>
      </c>
      <c r="D762" s="24" t="s">
        <v>1211</v>
      </c>
      <c r="E762" s="24"/>
      <c r="F762" s="4">
        <f>F763+F766</f>
        <v>2442</v>
      </c>
      <c r="G762" s="4">
        <f>G763+G766</f>
        <v>2442</v>
      </c>
    </row>
    <row r="763" spans="1:7" s="200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1406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0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1406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200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1406</v>
      </c>
      <c r="E765" s="20" t="s">
        <v>209</v>
      </c>
      <c r="F765" s="6">
        <f>'пр.6.1.ведом.22-23'!G381</f>
        <v>2100.6</v>
      </c>
      <c r="G765" s="6">
        <f>'пр.6.1.ведом.22-23'!H381</f>
        <v>2100.6</v>
      </c>
    </row>
    <row r="766" spans="1:7" s="200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1292</v>
      </c>
      <c r="E766" s="20"/>
      <c r="F766" s="26">
        <f>F767</f>
        <v>341.4</v>
      </c>
      <c r="G766" s="26">
        <f>G767</f>
        <v>341.4</v>
      </c>
    </row>
    <row r="767" spans="1:7" s="200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1292</v>
      </c>
      <c r="E767" s="20" t="s">
        <v>128</v>
      </c>
      <c r="F767" s="26">
        <f>F768</f>
        <v>341.4</v>
      </c>
      <c r="G767" s="26">
        <f>G768</f>
        <v>341.4</v>
      </c>
    </row>
    <row r="768" spans="1:7" s="200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1292</v>
      </c>
      <c r="E768" s="20" t="s">
        <v>209</v>
      </c>
      <c r="F768" s="26">
        <f>'пр.6.1.ведом.22-23'!G384</f>
        <v>341.4</v>
      </c>
      <c r="G768" s="26">
        <f>'пр.6.1.ведом.22-23'!H384</f>
        <v>341.4</v>
      </c>
    </row>
    <row r="769" spans="1:7" s="200" customFormat="1" ht="31.5" x14ac:dyDescent="0.25">
      <c r="A769" s="23" t="s">
        <v>902</v>
      </c>
      <c r="B769" s="24" t="s">
        <v>299</v>
      </c>
      <c r="C769" s="24" t="s">
        <v>118</v>
      </c>
      <c r="D769" s="24" t="s">
        <v>1216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0" customFormat="1" ht="31.5" x14ac:dyDescent="0.25">
      <c r="A770" s="25" t="s">
        <v>821</v>
      </c>
      <c r="B770" s="20" t="s">
        <v>299</v>
      </c>
      <c r="C770" s="20" t="s">
        <v>118</v>
      </c>
      <c r="D770" s="20" t="s">
        <v>1217</v>
      </c>
      <c r="E770" s="20"/>
      <c r="F770" s="26">
        <f t="shared" si="76"/>
        <v>50</v>
      </c>
      <c r="G770" s="26">
        <f t="shared" si="76"/>
        <v>50</v>
      </c>
    </row>
    <row r="771" spans="1:7" s="200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1217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200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1217</v>
      </c>
      <c r="E772" s="20" t="s">
        <v>134</v>
      </c>
      <c r="F772" s="26">
        <f>'пр.6.1.ведом.22-23'!G388</f>
        <v>50</v>
      </c>
      <c r="G772" s="26">
        <f>'пр.6.1.ведом.22-23'!H388</f>
        <v>50</v>
      </c>
    </row>
    <row r="773" spans="1:7" s="200" customFormat="1" ht="31.5" x14ac:dyDescent="0.25">
      <c r="A773" s="23" t="s">
        <v>1010</v>
      </c>
      <c r="B773" s="24" t="s">
        <v>299</v>
      </c>
      <c r="C773" s="24" t="s">
        <v>118</v>
      </c>
      <c r="D773" s="24" t="s">
        <v>1218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0" customFormat="1" ht="47.25" x14ac:dyDescent="0.25">
      <c r="A774" s="25" t="s">
        <v>1489</v>
      </c>
      <c r="B774" s="20" t="s">
        <v>299</v>
      </c>
      <c r="C774" s="20" t="s">
        <v>118</v>
      </c>
      <c r="D774" s="20" t="s">
        <v>1219</v>
      </c>
      <c r="E774" s="20"/>
      <c r="F774" s="26">
        <f t="shared" si="77"/>
        <v>68.7</v>
      </c>
      <c r="G774" s="26">
        <f t="shared" si="77"/>
        <v>68.7</v>
      </c>
    </row>
    <row r="775" spans="1:7" s="200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1219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200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1219</v>
      </c>
      <c r="E776" s="20" t="s">
        <v>134</v>
      </c>
      <c r="F776" s="26">
        <f>'пр.6.1.ведом.22-23'!G392</f>
        <v>68.7</v>
      </c>
      <c r="G776" s="26">
        <f>'пр.6.1.ведом.22-23'!H392</f>
        <v>68.7</v>
      </c>
    </row>
    <row r="777" spans="1:7" s="200" customFormat="1" ht="31.5" x14ac:dyDescent="0.25">
      <c r="A777" s="206" t="s">
        <v>1180</v>
      </c>
      <c r="B777" s="24" t="s">
        <v>299</v>
      </c>
      <c r="C777" s="24" t="s">
        <v>118</v>
      </c>
      <c r="D777" s="24" t="s">
        <v>1312</v>
      </c>
      <c r="E777" s="24"/>
      <c r="F777" s="21">
        <f t="shared" ref="F777:G777" si="78">F778</f>
        <v>300</v>
      </c>
      <c r="G777" s="21">
        <f t="shared" si="78"/>
        <v>1500</v>
      </c>
    </row>
    <row r="778" spans="1:7" s="200" customFormat="1" ht="63" x14ac:dyDescent="0.25">
      <c r="A778" s="98" t="s">
        <v>1168</v>
      </c>
      <c r="B778" s="20" t="s">
        <v>299</v>
      </c>
      <c r="C778" s="20" t="s">
        <v>118</v>
      </c>
      <c r="D778" s="20" t="s">
        <v>1215</v>
      </c>
      <c r="E778" s="20"/>
      <c r="F778" s="26">
        <f>F779</f>
        <v>300</v>
      </c>
      <c r="G778" s="26">
        <f>G779</f>
        <v>1500</v>
      </c>
    </row>
    <row r="779" spans="1:7" s="200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1215</v>
      </c>
      <c r="E779" s="20" t="s">
        <v>132</v>
      </c>
      <c r="F779" s="26">
        <f>F780</f>
        <v>300</v>
      </c>
      <c r="G779" s="26">
        <f>G780</f>
        <v>1500</v>
      </c>
    </row>
    <row r="780" spans="1:7" s="200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1215</v>
      </c>
      <c r="E780" s="20" t="s">
        <v>134</v>
      </c>
      <c r="F780" s="26">
        <f>'пр.6.1.ведом.22-23'!G396</f>
        <v>300</v>
      </c>
      <c r="G780" s="26">
        <f>'пр.6.1.ведом.22-23'!H396</f>
        <v>1500</v>
      </c>
    </row>
    <row r="781" spans="1:7" s="200" customFormat="1" ht="31.5" hidden="1" x14ac:dyDescent="0.25">
      <c r="A781" s="328" t="s">
        <v>1334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0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0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200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'пр.6.1.ведом.22-23'!G400</f>
        <v>0</v>
      </c>
      <c r="G784" s="26">
        <f>'пр.6.1.ведом.22-23'!H400</f>
        <v>0</v>
      </c>
    </row>
    <row r="785" spans="1:7" ht="63" x14ac:dyDescent="0.25">
      <c r="A785" s="34" t="s">
        <v>1360</v>
      </c>
      <c r="B785" s="24" t="s">
        <v>299</v>
      </c>
      <c r="C785" s="24" t="s">
        <v>118</v>
      </c>
      <c r="D785" s="24" t="s">
        <v>324</v>
      </c>
      <c r="E785" s="24"/>
      <c r="F785" s="362">
        <f t="shared" ref="F785:G788" si="80">F786</f>
        <v>10</v>
      </c>
      <c r="G785" s="362">
        <f t="shared" si="80"/>
        <v>0</v>
      </c>
    </row>
    <row r="786" spans="1:7" ht="63" x14ac:dyDescent="0.25">
      <c r="A786" s="34" t="s">
        <v>1025</v>
      </c>
      <c r="B786" s="24" t="s">
        <v>299</v>
      </c>
      <c r="C786" s="24" t="s">
        <v>118</v>
      </c>
      <c r="D786" s="24" t="s">
        <v>934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1080</v>
      </c>
      <c r="B787" s="20" t="s">
        <v>299</v>
      </c>
      <c r="C787" s="20" t="s">
        <v>118</v>
      </c>
      <c r="D787" s="20" t="s">
        <v>1026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1026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1026</v>
      </c>
      <c r="E789" s="20" t="s">
        <v>134</v>
      </c>
      <c r="F789" s="6">
        <f>'пр.6.1.ведом.22-23'!G405</f>
        <v>10</v>
      </c>
      <c r="G789" s="6">
        <f>'пр.6.1.ведом.22-23'!H405</f>
        <v>0</v>
      </c>
    </row>
    <row r="790" spans="1:7" ht="63" x14ac:dyDescent="0.25">
      <c r="A790" s="41" t="s">
        <v>1355</v>
      </c>
      <c r="B790" s="24" t="s">
        <v>299</v>
      </c>
      <c r="C790" s="24" t="s">
        <v>118</v>
      </c>
      <c r="D790" s="24" t="s">
        <v>705</v>
      </c>
      <c r="E790" s="217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890</v>
      </c>
      <c r="B791" s="24" t="s">
        <v>299</v>
      </c>
      <c r="C791" s="24" t="s">
        <v>118</v>
      </c>
      <c r="D791" s="24" t="s">
        <v>888</v>
      </c>
      <c r="E791" s="217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1022</v>
      </c>
      <c r="B792" s="20" t="s">
        <v>299</v>
      </c>
      <c r="C792" s="20" t="s">
        <v>118</v>
      </c>
      <c r="D792" s="20" t="s">
        <v>889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889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889</v>
      </c>
      <c r="E794" s="32" t="s">
        <v>134</v>
      </c>
      <c r="F794" s="6">
        <f>'пр.6.1.ведом.22-23'!G410</f>
        <v>878.7</v>
      </c>
      <c r="G794" s="6">
        <f>'пр.6.1.ведом.22-23'!H410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917</v>
      </c>
      <c r="B796" s="24" t="s">
        <v>299</v>
      </c>
      <c r="C796" s="24" t="s">
        <v>150</v>
      </c>
      <c r="D796" s="24" t="s">
        <v>858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918</v>
      </c>
      <c r="B797" s="24" t="s">
        <v>299</v>
      </c>
      <c r="C797" s="24" t="s">
        <v>150</v>
      </c>
      <c r="D797" s="24" t="s">
        <v>859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897</v>
      </c>
      <c r="B798" s="20" t="s">
        <v>299</v>
      </c>
      <c r="C798" s="20" t="s">
        <v>150</v>
      </c>
      <c r="D798" s="20" t="s">
        <v>860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860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860</v>
      </c>
      <c r="E800" s="40" t="s">
        <v>130</v>
      </c>
      <c r="F800" s="6">
        <f>'пр.6.1.ведом.22-23'!G416</f>
        <v>7015.6</v>
      </c>
      <c r="G800" s="6">
        <f>'пр.6.1.ведом.22-23'!H416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860</v>
      </c>
      <c r="E801" s="40" t="s">
        <v>132</v>
      </c>
      <c r="F801" s="6">
        <f>'Пр.3 Рд,пр, ЦС,ВР 21'!F859</f>
        <v>0</v>
      </c>
      <c r="G801" s="6">
        <f>'Пр.3 Рд,пр, ЦС,ВР 21'!G859</f>
        <v>0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860</v>
      </c>
      <c r="E802" s="40" t="s">
        <v>134</v>
      </c>
      <c r="F802" s="6">
        <f>'Пр.3 Рд,пр, ЦС,ВР 21'!F860</f>
        <v>0</v>
      </c>
      <c r="G802" s="6">
        <f>'Пр.3 Рд,пр, ЦС,ВР 21'!G860</f>
        <v>0</v>
      </c>
    </row>
    <row r="803" spans="1:7" ht="47.25" x14ac:dyDescent="0.25">
      <c r="A803" s="25" t="s">
        <v>839</v>
      </c>
      <c r="B803" s="20" t="s">
        <v>299</v>
      </c>
      <c r="C803" s="20" t="s">
        <v>150</v>
      </c>
      <c r="D803" s="20" t="s">
        <v>862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862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862</v>
      </c>
      <c r="E805" s="40" t="s">
        <v>130</v>
      </c>
      <c r="F805" s="6">
        <f>'пр.6.1.ведом.22-23'!G421</f>
        <v>276</v>
      </c>
      <c r="G805" s="6">
        <f>'пр.6.1.ведом.22-23'!H421</f>
        <v>276</v>
      </c>
    </row>
    <row r="806" spans="1:7" ht="15.75" x14ac:dyDescent="0.25">
      <c r="A806" s="23" t="s">
        <v>926</v>
      </c>
      <c r="B806" s="24" t="s">
        <v>299</v>
      </c>
      <c r="C806" s="24" t="s">
        <v>150</v>
      </c>
      <c r="D806" s="24" t="s">
        <v>866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929</v>
      </c>
      <c r="B807" s="24" t="s">
        <v>299</v>
      </c>
      <c r="C807" s="24" t="s">
        <v>150</v>
      </c>
      <c r="D807" s="24" t="s">
        <v>914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903</v>
      </c>
      <c r="B808" s="20" t="s">
        <v>299</v>
      </c>
      <c r="C808" s="20" t="s">
        <v>150</v>
      </c>
      <c r="D808" s="20" t="s">
        <v>915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915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915</v>
      </c>
      <c r="E810" s="40" t="s">
        <v>209</v>
      </c>
      <c r="F810" s="6">
        <f>'пр.6.1.ведом.22-23'!G426</f>
        <v>8853.7999999999993</v>
      </c>
      <c r="G810" s="6">
        <f>'пр.6.1.ведом.22-23'!H426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915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915</v>
      </c>
      <c r="E812" s="40" t="s">
        <v>134</v>
      </c>
      <c r="F812" s="6">
        <f>'пр.6.1.ведом.22-23'!G428</f>
        <v>1937</v>
      </c>
      <c r="G812" s="6">
        <f>'пр.6.1.ведом.22-23'!H428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915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915</v>
      </c>
      <c r="E814" s="40" t="s">
        <v>138</v>
      </c>
      <c r="F814" s="6">
        <f>'пр.6.1.ведом.22-23'!G430</f>
        <v>14</v>
      </c>
      <c r="G814" s="6">
        <f>'пр.6.1.ведом.22-23'!H430</f>
        <v>14</v>
      </c>
    </row>
    <row r="815" spans="1:7" ht="47.25" x14ac:dyDescent="0.25">
      <c r="A815" s="25" t="s">
        <v>839</v>
      </c>
      <c r="B815" s="20" t="s">
        <v>299</v>
      </c>
      <c r="C815" s="20" t="s">
        <v>150</v>
      </c>
      <c r="D815" s="20" t="s">
        <v>916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916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916</v>
      </c>
      <c r="E817" s="40" t="s">
        <v>209</v>
      </c>
      <c r="F817" s="6">
        <f>'пр.6.1.ведом.22-23'!G433</f>
        <v>210</v>
      </c>
      <c r="G817" s="6">
        <f>'пр.6.1.ведом.22-23'!H433</f>
        <v>210</v>
      </c>
    </row>
    <row r="818" spans="1:9" ht="50.25" customHeight="1" x14ac:dyDescent="0.25">
      <c r="A818" s="23" t="s">
        <v>1350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1356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997</v>
      </c>
      <c r="B820" s="24" t="s">
        <v>299</v>
      </c>
      <c r="C820" s="24" t="s">
        <v>150</v>
      </c>
      <c r="D820" s="24" t="s">
        <v>1222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996</v>
      </c>
      <c r="B821" s="20" t="s">
        <v>299</v>
      </c>
      <c r="C821" s="20" t="s">
        <v>150</v>
      </c>
      <c r="D821" s="20" t="s">
        <v>1223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1223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1223</v>
      </c>
      <c r="E823" s="20" t="s">
        <v>134</v>
      </c>
      <c r="F823" s="26">
        <f>'пр.6.1.ведом.22-23'!G439</f>
        <v>260</v>
      </c>
      <c r="G823" s="26">
        <f>'пр.6.1.ведом.22-23'!H439</f>
        <v>285</v>
      </c>
    </row>
    <row r="824" spans="1:9" s="200" customFormat="1" ht="63" x14ac:dyDescent="0.25">
      <c r="A824" s="34" t="s">
        <v>1439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200" customFormat="1" ht="63" x14ac:dyDescent="0.25">
      <c r="A825" s="34" t="s">
        <v>1025</v>
      </c>
      <c r="B825" s="24" t="s">
        <v>299</v>
      </c>
      <c r="C825" s="24" t="s">
        <v>150</v>
      </c>
      <c r="D825" s="24" t="s">
        <v>934</v>
      </c>
      <c r="E825" s="24"/>
      <c r="F825" s="21">
        <f>F828</f>
        <v>0</v>
      </c>
      <c r="G825" s="21">
        <f>G826</f>
        <v>4</v>
      </c>
    </row>
    <row r="826" spans="1:9" s="200" customFormat="1" ht="47.25" x14ac:dyDescent="0.25">
      <c r="A826" s="31" t="s">
        <v>1081</v>
      </c>
      <c r="B826" s="20" t="s">
        <v>299</v>
      </c>
      <c r="C826" s="20" t="s">
        <v>150</v>
      </c>
      <c r="D826" s="20" t="s">
        <v>1026</v>
      </c>
      <c r="E826" s="20"/>
      <c r="F826" s="26">
        <f>F827</f>
        <v>0</v>
      </c>
      <c r="G826" s="26">
        <f>G827</f>
        <v>4</v>
      </c>
    </row>
    <row r="827" spans="1:9" s="200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1026</v>
      </c>
      <c r="E827" s="20" t="s">
        <v>132</v>
      </c>
      <c r="F827" s="26">
        <f>F828</f>
        <v>0</v>
      </c>
      <c r="G827" s="26">
        <f>G828</f>
        <v>4</v>
      </c>
    </row>
    <row r="828" spans="1:9" s="200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1026</v>
      </c>
      <c r="E828" s="20" t="s">
        <v>134</v>
      </c>
      <c r="F828" s="26">
        <f>'пр.6.1.ведом.22-23'!G444</f>
        <v>0</v>
      </c>
      <c r="G828" s="26">
        <f>'пр.6.1.ведом.22-23'!H444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201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27">
        <f>H829-F829</f>
        <v>-294.61000000000058</v>
      </c>
      <c r="I830" s="227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870</v>
      </c>
      <c r="B832" s="24" t="s">
        <v>244</v>
      </c>
      <c r="C832" s="24" t="s">
        <v>118</v>
      </c>
      <c r="D832" s="24" t="s">
        <v>865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881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881</v>
      </c>
      <c r="E835" s="20" t="s">
        <v>251</v>
      </c>
      <c r="F835" s="6">
        <f>'пр.6.1.ведом.22-23'!G224</f>
        <v>9815.2999999999993</v>
      </c>
      <c r="G835" s="6">
        <f>'пр.6.1.ведом.22-23'!H224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1381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905</v>
      </c>
      <c r="B839" s="24" t="s">
        <v>244</v>
      </c>
      <c r="C839" s="24" t="s">
        <v>215</v>
      </c>
      <c r="D839" s="24" t="s">
        <v>904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824</v>
      </c>
      <c r="B840" s="20" t="s">
        <v>244</v>
      </c>
      <c r="C840" s="20" t="s">
        <v>215</v>
      </c>
      <c r="D840" s="20" t="s">
        <v>906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906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906</v>
      </c>
      <c r="E842" s="20" t="s">
        <v>251</v>
      </c>
      <c r="F842" s="26">
        <f>'пр.6.1.ведом.22-23'!G452</f>
        <v>294.61</v>
      </c>
      <c r="G842" s="26">
        <f>'пр.6.1.ведом.22-23'!H452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1038</v>
      </c>
      <c r="B844" s="19">
        <v>10</v>
      </c>
      <c r="C844" s="24" t="s">
        <v>215</v>
      </c>
      <c r="D844" s="24" t="s">
        <v>913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1039</v>
      </c>
      <c r="B845" s="20" t="s">
        <v>244</v>
      </c>
      <c r="C845" s="20" t="s">
        <v>215</v>
      </c>
      <c r="D845" s="20" t="s">
        <v>1225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1225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1225</v>
      </c>
      <c r="E847" s="20" t="s">
        <v>349</v>
      </c>
      <c r="F847" s="26">
        <f>'пр.6.1.ведом.22-23'!G457</f>
        <v>630</v>
      </c>
      <c r="G847" s="26">
        <f>'пр.6.1.ведом.22-23'!H457</f>
        <v>630</v>
      </c>
    </row>
    <row r="848" spans="1:7" ht="31.5" x14ac:dyDescent="0.25">
      <c r="A848" s="23" t="s">
        <v>1229</v>
      </c>
      <c r="B848" s="19">
        <v>10</v>
      </c>
      <c r="C848" s="24" t="s">
        <v>215</v>
      </c>
      <c r="D848" s="24" t="s">
        <v>1227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1226</v>
      </c>
      <c r="B849" s="20" t="s">
        <v>244</v>
      </c>
      <c r="C849" s="20" t="s">
        <v>215</v>
      </c>
      <c r="D849" s="20" t="s">
        <v>1228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1228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1228</v>
      </c>
      <c r="E851" s="20" t="s">
        <v>134</v>
      </c>
      <c r="F851" s="26">
        <f>'пр.6.1.ведом.22-23'!G461</f>
        <v>400</v>
      </c>
      <c r="G851" s="26">
        <f>'пр.6.1.ведом.22-23'!H461</f>
        <v>400</v>
      </c>
    </row>
    <row r="852" spans="1:7" s="200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1228</v>
      </c>
      <c r="E852" s="20" t="s">
        <v>249</v>
      </c>
      <c r="F852" s="26">
        <f>F853</f>
        <v>257</v>
      </c>
      <c r="G852" s="26">
        <f>G853</f>
        <v>257</v>
      </c>
    </row>
    <row r="853" spans="1:7" s="200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1228</v>
      </c>
      <c r="E853" s="20" t="s">
        <v>349</v>
      </c>
      <c r="F853" s="26">
        <f>'пр.6.1.ведом.22-23'!G463</f>
        <v>257</v>
      </c>
      <c r="G853" s="26">
        <f>'пр.6.1.ведом.22-23'!H463</f>
        <v>257</v>
      </c>
    </row>
    <row r="854" spans="1:7" ht="31.5" x14ac:dyDescent="0.25">
      <c r="A854" s="23" t="s">
        <v>997</v>
      </c>
      <c r="B854" s="19">
        <v>10</v>
      </c>
      <c r="C854" s="24" t="s">
        <v>215</v>
      </c>
      <c r="D854" s="24" t="s">
        <v>1222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1036</v>
      </c>
      <c r="B855" s="20" t="s">
        <v>244</v>
      </c>
      <c r="C855" s="20" t="s">
        <v>215</v>
      </c>
      <c r="D855" s="20" t="s">
        <v>1224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1224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1224</v>
      </c>
      <c r="E857" s="20" t="s">
        <v>349</v>
      </c>
      <c r="F857" s="26">
        <f>'пр.6.1.ведом.22-23'!G467</f>
        <v>420</v>
      </c>
      <c r="G857" s="26">
        <f>'пр.6.1.ведом.22-23'!H467</f>
        <v>450</v>
      </c>
    </row>
    <row r="858" spans="1:7" ht="63" x14ac:dyDescent="0.25">
      <c r="A858" s="23" t="s">
        <v>1349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884</v>
      </c>
      <c r="B859" s="24" t="s">
        <v>244</v>
      </c>
      <c r="C859" s="24" t="s">
        <v>215</v>
      </c>
      <c r="D859" s="24" t="s">
        <v>882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883</v>
      </c>
      <c r="B860" s="20" t="s">
        <v>244</v>
      </c>
      <c r="C860" s="20" t="s">
        <v>215</v>
      </c>
      <c r="D860" s="20" t="s">
        <v>1189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1189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1189</v>
      </c>
      <c r="E862" s="20" t="s">
        <v>251</v>
      </c>
      <c r="F862" s="6">
        <f>'пр.6.1.ведом.22-23'!G230</f>
        <v>10</v>
      </c>
      <c r="G862" s="6">
        <f>'пр.6.1.ведом.22-23'!H230</f>
        <v>10</v>
      </c>
    </row>
    <row r="863" spans="1:7" s="200" customFormat="1" ht="63" hidden="1" x14ac:dyDescent="0.25">
      <c r="A863" s="25" t="s">
        <v>1177</v>
      </c>
      <c r="B863" s="20" t="s">
        <v>244</v>
      </c>
      <c r="C863" s="20" t="s">
        <v>215</v>
      </c>
      <c r="D863" s="20" t="s">
        <v>1176</v>
      </c>
      <c r="E863" s="20"/>
      <c r="F863" s="26">
        <f>F864</f>
        <v>0</v>
      </c>
      <c r="G863" s="26">
        <f>G864</f>
        <v>0</v>
      </c>
    </row>
    <row r="864" spans="1:7" s="200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1176</v>
      </c>
      <c r="E864" s="20" t="s">
        <v>249</v>
      </c>
      <c r="F864" s="26">
        <f>F865</f>
        <v>0</v>
      </c>
      <c r="G864" s="26">
        <f>G865</f>
        <v>0</v>
      </c>
    </row>
    <row r="865" spans="1:7" s="200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1176</v>
      </c>
      <c r="E865" s="20" t="s">
        <v>251</v>
      </c>
      <c r="F865" s="26">
        <f>'пр.6.1.ведом.22-23'!G233</f>
        <v>0</v>
      </c>
      <c r="G865" s="26">
        <f>'пр.6.1.ведом.22-23'!H233</f>
        <v>0</v>
      </c>
    </row>
    <row r="866" spans="1:7" s="200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0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0" customFormat="1" ht="47.2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 t="shared" si="90"/>
        <v>2469.1</v>
      </c>
      <c r="G868" s="21">
        <f t="shared" si="90"/>
        <v>10803.2</v>
      </c>
    </row>
    <row r="869" spans="1:7" s="200" customFormat="1" ht="47.25" x14ac:dyDescent="0.25">
      <c r="A869" s="25" t="s">
        <v>1172</v>
      </c>
      <c r="B869" s="20" t="s">
        <v>244</v>
      </c>
      <c r="C869" s="20" t="s">
        <v>150</v>
      </c>
      <c r="D869" s="20" t="s">
        <v>1171</v>
      </c>
      <c r="E869" s="20"/>
      <c r="F869" s="26">
        <f t="shared" si="90"/>
        <v>2469.1</v>
      </c>
      <c r="G869" s="26">
        <f t="shared" si="90"/>
        <v>10803.2</v>
      </c>
    </row>
    <row r="870" spans="1:7" s="200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1171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200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1171</v>
      </c>
      <c r="E871" s="20" t="s">
        <v>134</v>
      </c>
      <c r="F871" s="26">
        <f>'пр.6.1.ведом.22-23'!G536</f>
        <v>2469.1</v>
      </c>
      <c r="G871" s="26">
        <f>'пр.6.1.ведом.22-23'!H536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'пр.6.1.ведом.22-23'!G239</f>
        <v>3249.8</v>
      </c>
      <c r="G877" s="6">
        <f>'пр.6.1.ведом.22-23'!H239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'пр.6.1.ведом.22-23'!G241</f>
        <v>400.6</v>
      </c>
      <c r="G879" s="6">
        <f>'пр.6.1.ведом.22-23'!H241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'пр.6.1.ведом.22-23'!G1045</f>
        <v>87</v>
      </c>
      <c r="G884" s="6">
        <f>'пр.6.1.ведом.22-23'!H1045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64288</v>
      </c>
      <c r="G885" s="4">
        <f>G886+G923</f>
        <v>64318.224000000002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50758.799999999996</v>
      </c>
      <c r="G886" s="4">
        <f>G887+G918+G913</f>
        <v>50789.024000000005</v>
      </c>
    </row>
    <row r="887" spans="1:7" ht="47.25" x14ac:dyDescent="0.25">
      <c r="A887" s="23" t="s">
        <v>1372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50179.7</v>
      </c>
      <c r="G887" s="4">
        <f>G888+G892+G902+G909</f>
        <v>50178.724000000002</v>
      </c>
    </row>
    <row r="888" spans="1:7" ht="47.25" x14ac:dyDescent="0.25">
      <c r="A888" s="23" t="s">
        <v>937</v>
      </c>
      <c r="B888" s="24" t="s">
        <v>491</v>
      </c>
      <c r="C888" s="24" t="s">
        <v>118</v>
      </c>
      <c r="D888" s="24" t="s">
        <v>1264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1294</v>
      </c>
      <c r="B889" s="20" t="s">
        <v>491</v>
      </c>
      <c r="C889" s="20" t="s">
        <v>118</v>
      </c>
      <c r="D889" s="20" t="s">
        <v>1265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1265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1265</v>
      </c>
      <c r="E891" s="20" t="s">
        <v>275</v>
      </c>
      <c r="F891" s="6">
        <f>'пр.6.1.ведом.22-23'!G770</f>
        <v>47819.6</v>
      </c>
      <c r="G891" s="6">
        <f>'пр.6.1.ведом.22-23'!H770</f>
        <v>47819.6</v>
      </c>
    </row>
    <row r="892" spans="1:7" ht="31.5" x14ac:dyDescent="0.25">
      <c r="A892" s="23" t="s">
        <v>945</v>
      </c>
      <c r="B892" s="24" t="s">
        <v>491</v>
      </c>
      <c r="C892" s="24" t="s">
        <v>118</v>
      </c>
      <c r="D892" s="24" t="s">
        <v>1266</v>
      </c>
      <c r="E892" s="24"/>
      <c r="F892" s="4">
        <f>F893+F896+F899</f>
        <v>268.89999999999998</v>
      </c>
      <c r="G892" s="4">
        <f>G893+G896+G899</f>
        <v>267.904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1324</v>
      </c>
      <c r="E893" s="20"/>
      <c r="F893" s="6">
        <f>'Пр.3 Рд,пр, ЦС,ВР 21'!F953</f>
        <v>232.9</v>
      </c>
      <c r="G893" s="6">
        <f>'Пр.3 Рд,пр, ЦС,ВР 21'!G953</f>
        <v>231.904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1324</v>
      </c>
      <c r="E894" s="20" t="s">
        <v>273</v>
      </c>
      <c r="F894" s="6">
        <f>'Пр.3 Рд,пр, ЦС,ВР 21'!F954</f>
        <v>232.9</v>
      </c>
      <c r="G894" s="6">
        <f>'Пр.3 Рд,пр, ЦС,ВР 21'!G954</f>
        <v>231.904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1324</v>
      </c>
      <c r="E895" s="20" t="s">
        <v>275</v>
      </c>
      <c r="F895" s="6">
        <f>'Пр.3 Рд,пр, ЦС,ВР 21'!F955</f>
        <v>232.9</v>
      </c>
      <c r="G895" s="6">
        <f>'Пр.3 Рд,пр, ЦС,ВР 21'!G955</f>
        <v>231.904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1325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1325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1325</v>
      </c>
      <c r="E898" s="20" t="s">
        <v>275</v>
      </c>
      <c r="F898" s="6">
        <f>'пр.6.1.ведом.22-23'!G777</f>
        <v>0</v>
      </c>
      <c r="G898" s="6">
        <f>'пр.6.1.ведом.22-23'!H777</f>
        <v>0</v>
      </c>
    </row>
    <row r="899" spans="1:7" ht="15.75" x14ac:dyDescent="0.25">
      <c r="A899" s="25" t="s">
        <v>830</v>
      </c>
      <c r="B899" s="20" t="s">
        <v>491</v>
      </c>
      <c r="C899" s="20" t="s">
        <v>118</v>
      </c>
      <c r="D899" s="20" t="s">
        <v>1267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1267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1267</v>
      </c>
      <c r="E901" s="20" t="s">
        <v>275</v>
      </c>
      <c r="F901" s="6">
        <f>'пр.6.1.ведом.22-23'!G781</f>
        <v>36</v>
      </c>
      <c r="G901" s="6">
        <f>'пр.6.1.ведом.22-23'!H781</f>
        <v>36</v>
      </c>
    </row>
    <row r="902" spans="1:7" ht="47.25" x14ac:dyDescent="0.25">
      <c r="A902" s="23" t="s">
        <v>947</v>
      </c>
      <c r="B902" s="24" t="s">
        <v>491</v>
      </c>
      <c r="C902" s="24" t="s">
        <v>118</v>
      </c>
      <c r="D902" s="24" t="s">
        <v>1268</v>
      </c>
      <c r="E902" s="24"/>
      <c r="F902" s="4">
        <f>F903+F906</f>
        <v>1277.7</v>
      </c>
      <c r="G902" s="4">
        <f>G903+G906</f>
        <v>1277.72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1306</v>
      </c>
      <c r="E903" s="20"/>
      <c r="F903" s="6">
        <f>'Пр.3 Рд,пр, ЦС,ВР 21'!F966</f>
        <v>73.7</v>
      </c>
      <c r="G903" s="6">
        <f>'Пр.3 Рд,пр, ЦС,ВР 21'!G966</f>
        <v>73.72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1306</v>
      </c>
      <c r="E904" s="20" t="s">
        <v>273</v>
      </c>
      <c r="F904" s="6">
        <f>'Пр.3 Рд,пр, ЦС,ВР 21'!F967</f>
        <v>73.7</v>
      </c>
      <c r="G904" s="6">
        <f>'Пр.3 Рд,пр, ЦС,ВР 21'!G967</f>
        <v>73.72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1306</v>
      </c>
      <c r="E905" s="20" t="s">
        <v>275</v>
      </c>
      <c r="F905" s="6">
        <f>'Пр.3 Рд,пр, ЦС,ВР 21'!F968</f>
        <v>73.7</v>
      </c>
      <c r="G905" s="6">
        <f>'Пр.3 Рд,пр, ЦС,ВР 21'!G968</f>
        <v>73.72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1269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1269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1269</v>
      </c>
      <c r="E908" s="20" t="s">
        <v>275</v>
      </c>
      <c r="F908" s="6">
        <f>'пр.6.1.ведом.22-23'!G788</f>
        <v>1204</v>
      </c>
      <c r="G908" s="6">
        <f>'пр.6.1.ведом.22-23'!H788</f>
        <v>1204</v>
      </c>
    </row>
    <row r="909" spans="1:7" ht="54.75" customHeight="1" x14ac:dyDescent="0.25">
      <c r="A909" s="23" t="s">
        <v>900</v>
      </c>
      <c r="B909" s="24" t="s">
        <v>491</v>
      </c>
      <c r="C909" s="24" t="s">
        <v>118</v>
      </c>
      <c r="D909" s="24" t="s">
        <v>1270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1405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1405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1405</v>
      </c>
      <c r="E912" s="20" t="s">
        <v>275</v>
      </c>
      <c r="F912" s="6">
        <f>'пр.6.1.ведом.22-23'!G792</f>
        <v>813.5</v>
      </c>
      <c r="G912" s="6">
        <f>'пр.6.1.ведом.22-23'!H792</f>
        <v>813.5</v>
      </c>
    </row>
    <row r="913" spans="1:7" s="200" customFormat="1" ht="63" x14ac:dyDescent="0.25">
      <c r="A913" s="34" t="s">
        <v>1360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0" customFormat="1" ht="63" x14ac:dyDescent="0.25">
      <c r="A914" s="34" t="s">
        <v>1024</v>
      </c>
      <c r="B914" s="24" t="s">
        <v>491</v>
      </c>
      <c r="C914" s="24" t="s">
        <v>118</v>
      </c>
      <c r="D914" s="24" t="s">
        <v>934</v>
      </c>
      <c r="E914" s="24"/>
      <c r="F914" s="4">
        <f t="shared" si="94"/>
        <v>0</v>
      </c>
      <c r="G914" s="4">
        <f t="shared" si="94"/>
        <v>8</v>
      </c>
    </row>
    <row r="915" spans="1:7" s="200" customFormat="1" ht="47.25" x14ac:dyDescent="0.25">
      <c r="A915" s="31" t="s">
        <v>1008</v>
      </c>
      <c r="B915" s="20" t="s">
        <v>491</v>
      </c>
      <c r="C915" s="20" t="s">
        <v>118</v>
      </c>
      <c r="D915" s="20" t="s">
        <v>935</v>
      </c>
      <c r="E915" s="20"/>
      <c r="F915" s="6">
        <f t="shared" si="94"/>
        <v>0</v>
      </c>
      <c r="G915" s="6">
        <f t="shared" si="94"/>
        <v>8</v>
      </c>
    </row>
    <row r="916" spans="1:7" s="200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935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200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935</v>
      </c>
      <c r="E917" s="20" t="s">
        <v>275</v>
      </c>
      <c r="F917" s="6">
        <f>'пр.6.1.ведом.22-23'!G797</f>
        <v>0</v>
      </c>
      <c r="G917" s="6">
        <f>'пр.6.1.ведом.22-23'!H797</f>
        <v>8</v>
      </c>
    </row>
    <row r="918" spans="1:7" ht="48.95" customHeight="1" x14ac:dyDescent="0.25">
      <c r="A918" s="41" t="s">
        <v>1355</v>
      </c>
      <c r="B918" s="24" t="s">
        <v>491</v>
      </c>
      <c r="C918" s="24" t="s">
        <v>118</v>
      </c>
      <c r="D918" s="24" t="s">
        <v>705</v>
      </c>
      <c r="E918" s="217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890</v>
      </c>
      <c r="B919" s="24" t="s">
        <v>491</v>
      </c>
      <c r="C919" s="24" t="s">
        <v>118</v>
      </c>
      <c r="D919" s="24" t="s">
        <v>888</v>
      </c>
      <c r="E919" s="217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936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2" t="s">
        <v>274</v>
      </c>
      <c r="B922" s="20" t="s">
        <v>491</v>
      </c>
      <c r="C922" s="20" t="s">
        <v>118</v>
      </c>
      <c r="D922" s="20" t="s">
        <v>936</v>
      </c>
      <c r="E922" s="32" t="s">
        <v>275</v>
      </c>
      <c r="F922" s="6">
        <f>'пр.6.1.ведом.22-23'!G802</f>
        <v>579.1</v>
      </c>
      <c r="G922" s="6">
        <f>'пр.6.1.ведом.22-23'!H802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917</v>
      </c>
      <c r="B924" s="24" t="s">
        <v>491</v>
      </c>
      <c r="C924" s="24" t="s">
        <v>234</v>
      </c>
      <c r="D924" s="24" t="s">
        <v>858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918</v>
      </c>
      <c r="B925" s="24" t="s">
        <v>491</v>
      </c>
      <c r="C925" s="24" t="s">
        <v>234</v>
      </c>
      <c r="D925" s="24" t="s">
        <v>859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897</v>
      </c>
      <c r="B926" s="20" t="s">
        <v>491</v>
      </c>
      <c r="C926" s="20" t="s">
        <v>234</v>
      </c>
      <c r="D926" s="20" t="s">
        <v>860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860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860</v>
      </c>
      <c r="E928" s="20" t="s">
        <v>130</v>
      </c>
      <c r="F928" s="6">
        <f>'пр.6.1.ведом.22-23'!G808</f>
        <v>4888.5</v>
      </c>
      <c r="G928" s="6">
        <f>'пр.6.1.ведом.22-23'!H808</f>
        <v>4888.5</v>
      </c>
    </row>
    <row r="929" spans="1:7" ht="47.25" x14ac:dyDescent="0.25">
      <c r="A929" s="25" t="s">
        <v>839</v>
      </c>
      <c r="B929" s="20" t="s">
        <v>491</v>
      </c>
      <c r="C929" s="20" t="s">
        <v>234</v>
      </c>
      <c r="D929" s="20" t="s">
        <v>862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862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862</v>
      </c>
      <c r="E931" s="20" t="s">
        <v>130</v>
      </c>
      <c r="F931" s="6">
        <f>'пр.6.1.ведом.22-23'!G811</f>
        <v>336</v>
      </c>
      <c r="G931" s="6">
        <f>'пр.6.1.ведом.22-23'!H811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929</v>
      </c>
      <c r="B933" s="24" t="s">
        <v>491</v>
      </c>
      <c r="C933" s="24" t="s">
        <v>234</v>
      </c>
      <c r="D933" s="24" t="s">
        <v>914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903</v>
      </c>
      <c r="B934" s="20" t="s">
        <v>491</v>
      </c>
      <c r="C934" s="20" t="s">
        <v>234</v>
      </c>
      <c r="D934" s="20" t="s">
        <v>915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915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915</v>
      </c>
      <c r="E936" s="20" t="s">
        <v>209</v>
      </c>
      <c r="F936" s="6">
        <f>'пр.6.1.ведом.22-23'!G816</f>
        <v>4695.3999999999996</v>
      </c>
      <c r="G936" s="6">
        <f>'пр.6.1.ведом.22-23'!H816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915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915</v>
      </c>
      <c r="E938" s="20" t="s">
        <v>134</v>
      </c>
      <c r="F938" s="6">
        <f>'пр.6.1.ведом.22-23'!G818</f>
        <v>343.3</v>
      </c>
      <c r="G938" s="6">
        <f>'пр.6.1.ведом.22-23'!H818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915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915</v>
      </c>
      <c r="E940" s="20" t="s">
        <v>138</v>
      </c>
      <c r="F940" s="6">
        <f>'пр.6.1.ведом.22-23'!G820</f>
        <v>51</v>
      </c>
      <c r="G940" s="6">
        <f>'пр.6.1.ведом.22-23'!H820</f>
        <v>51</v>
      </c>
    </row>
    <row r="941" spans="1:7" ht="47.25" x14ac:dyDescent="0.25">
      <c r="A941" s="25" t="s">
        <v>839</v>
      </c>
      <c r="B941" s="20" t="s">
        <v>491</v>
      </c>
      <c r="C941" s="20" t="s">
        <v>234</v>
      </c>
      <c r="D941" s="20" t="s">
        <v>916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916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916</v>
      </c>
      <c r="E943" s="20" t="s">
        <v>130</v>
      </c>
      <c r="F943" s="6">
        <f>'пр.6.1.ведом.22-23'!G823</f>
        <v>215</v>
      </c>
      <c r="G943" s="6">
        <f>'пр.6.1.ведом.22-23'!H823</f>
        <v>215</v>
      </c>
    </row>
    <row r="944" spans="1:7" ht="47.25" x14ac:dyDescent="0.25">
      <c r="A944" s="41" t="s">
        <v>1372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951</v>
      </c>
      <c r="B945" s="24" t="s">
        <v>491</v>
      </c>
      <c r="C945" s="24" t="s">
        <v>234</v>
      </c>
      <c r="D945" s="7" t="s">
        <v>1272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952</v>
      </c>
      <c r="B946" s="20" t="s">
        <v>491</v>
      </c>
      <c r="C946" s="20" t="s">
        <v>234</v>
      </c>
      <c r="D946" s="40" t="s">
        <v>1273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1273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1273</v>
      </c>
      <c r="E948" s="20" t="s">
        <v>209</v>
      </c>
      <c r="F948" s="6">
        <f>'пр.6.1.ведом.22-23'!G828</f>
        <v>2500</v>
      </c>
      <c r="G948" s="6">
        <f>'пр.6.1.ведом.22-23'!H828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1273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1273</v>
      </c>
      <c r="E950" s="20" t="s">
        <v>134</v>
      </c>
      <c r="F950" s="6">
        <f>'пр.6.1.ведом.22-23'!G830</f>
        <v>500</v>
      </c>
      <c r="G950" s="6">
        <f>'пр.6.1.ведом.22-23'!H830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1354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1301</v>
      </c>
      <c r="B954" s="24" t="s">
        <v>238</v>
      </c>
      <c r="C954" s="24" t="s">
        <v>213</v>
      </c>
      <c r="D954" s="24" t="s">
        <v>1204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1205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1205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1205</v>
      </c>
      <c r="E957" s="20" t="s">
        <v>209</v>
      </c>
      <c r="F957" s="6">
        <f>'пр.6.1.ведом.22-23'!G474</f>
        <v>4897.2</v>
      </c>
      <c r="G957" s="6">
        <f>'пр.6.1.ведом.22-23'!H474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1205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1205</v>
      </c>
      <c r="E959" s="20" t="s">
        <v>134</v>
      </c>
      <c r="F959" s="6">
        <f>'пр.6.1.ведом.22-23'!G476</f>
        <v>595.1</v>
      </c>
      <c r="G959" s="6">
        <f>'пр.6.1.ведом.22-23'!H476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1205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1205</v>
      </c>
      <c r="E961" s="20" t="s">
        <v>138</v>
      </c>
      <c r="F961" s="6">
        <f>'пр.6.1.ведом.22-23'!G478</f>
        <v>30</v>
      </c>
      <c r="G961" s="6">
        <f>'пр.6.1.ведом.22-23'!H478</f>
        <v>30</v>
      </c>
    </row>
    <row r="962" spans="1:7" ht="47.25" x14ac:dyDescent="0.25">
      <c r="A962" s="25" t="s">
        <v>839</v>
      </c>
      <c r="B962" s="20" t="s">
        <v>238</v>
      </c>
      <c r="C962" s="20" t="s">
        <v>213</v>
      </c>
      <c r="D962" s="20" t="s">
        <v>1313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1313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1313</v>
      </c>
      <c r="E964" s="20" t="s">
        <v>209</v>
      </c>
      <c r="F964" s="6">
        <f>'пр.6.1.ведом.22-23'!G482</f>
        <v>276</v>
      </c>
      <c r="G964" s="6">
        <f>'пр.6.1.ведом.22-23'!H482</f>
        <v>276</v>
      </c>
    </row>
    <row r="965" spans="1:7" ht="63" x14ac:dyDescent="0.25">
      <c r="A965" s="41" t="s">
        <v>1355</v>
      </c>
      <c r="B965" s="24" t="s">
        <v>238</v>
      </c>
      <c r="C965" s="24" t="s">
        <v>213</v>
      </c>
      <c r="D965" s="24" t="s">
        <v>705</v>
      </c>
      <c r="E965" s="217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890</v>
      </c>
      <c r="B966" s="24" t="s">
        <v>238</v>
      </c>
      <c r="C966" s="24" t="s">
        <v>213</v>
      </c>
      <c r="D966" s="24" t="s">
        <v>888</v>
      </c>
      <c r="E966" s="217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1004</v>
      </c>
      <c r="B967" s="20" t="s">
        <v>238</v>
      </c>
      <c r="C967" s="20" t="s">
        <v>213</v>
      </c>
      <c r="D967" s="20" t="s">
        <v>889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889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889</v>
      </c>
      <c r="E969" s="32" t="s">
        <v>134</v>
      </c>
      <c r="F969" s="6">
        <f>'пр.6.1.ведом.22-23'!G487</f>
        <v>74.900000000000006</v>
      </c>
      <c r="G969" s="6">
        <f>'пр.6.1.ведом.22-23'!H487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64">
        <f>F9+F230+F249+F314+F478+F741+F885+F951+F829+F8</f>
        <v>803970.57185000007</v>
      </c>
      <c r="G970" s="364">
        <f>G9+G230+G249+G314+G478+G741+G885+G951+G829+G8</f>
        <v>844977.02399999998</v>
      </c>
    </row>
    <row r="971" spans="1:7" ht="15.75" x14ac:dyDescent="0.25">
      <c r="A971" s="200"/>
      <c r="B971" s="200"/>
      <c r="C971" s="200"/>
      <c r="D971" s="200"/>
      <c r="E971" s="200"/>
      <c r="F971" s="4">
        <f>'пр.6.1.ведом.22-23'!G1094</f>
        <v>804315.29999999981</v>
      </c>
      <c r="G971" s="4">
        <f>'пр.6.1.ведом.22-23'!H1094</f>
        <v>845302.1</v>
      </c>
    </row>
    <row r="972" spans="1:7" ht="15.75" x14ac:dyDescent="0.25">
      <c r="A972" s="200"/>
      <c r="B972" s="200"/>
      <c r="C972" s="200"/>
      <c r="D972" s="200"/>
      <c r="E972" s="200"/>
      <c r="F972" s="4">
        <f>F971-F970</f>
        <v>344.72814999974798</v>
      </c>
      <c r="G972" s="4">
        <f>G971-G970</f>
        <v>325.07600000000093</v>
      </c>
    </row>
  </sheetData>
  <autoFilter ref="A7:G972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8.28515625" style="449" customWidth="1"/>
    <col min="2" max="2" width="4.5703125" style="449" customWidth="1"/>
    <col min="3" max="3" width="4.140625" style="449" customWidth="1"/>
    <col min="4" max="4" width="15.140625" style="449" customWidth="1"/>
    <col min="5" max="5" width="5.7109375" style="449" customWidth="1"/>
    <col min="6" max="6" width="13.7109375" style="22" customWidth="1"/>
    <col min="7" max="7" width="14.7109375" style="22" customWidth="1"/>
    <col min="8" max="8" width="13.5703125" style="449" hidden="1" customWidth="1"/>
    <col min="9" max="9" width="13.85546875" style="449" hidden="1" customWidth="1"/>
    <col min="10" max="10" width="11.85546875" style="449" hidden="1" customWidth="1"/>
    <col min="11" max="16384" width="9.140625" style="449"/>
  </cols>
  <sheetData>
    <row r="1" spans="1:10" ht="15.75" x14ac:dyDescent="0.25">
      <c r="A1" s="56"/>
      <c r="B1" s="56"/>
      <c r="C1" s="56"/>
      <c r="D1" s="201"/>
      <c r="E1" s="201"/>
      <c r="F1" s="554" t="s">
        <v>1524</v>
      </c>
      <c r="G1" s="554"/>
    </row>
    <row r="2" spans="1:10" ht="15.75" x14ac:dyDescent="0.25">
      <c r="A2" s="56"/>
      <c r="B2" s="56"/>
      <c r="C2" s="56"/>
      <c r="D2" s="201"/>
      <c r="E2" s="201"/>
      <c r="F2" s="554" t="s">
        <v>1522</v>
      </c>
      <c r="G2" s="554"/>
    </row>
    <row r="3" spans="1:10" ht="18.75" x14ac:dyDescent="0.3">
      <c r="A3" s="56"/>
      <c r="B3" s="56"/>
      <c r="C3" s="56"/>
      <c r="D3" s="201"/>
      <c r="E3" s="185"/>
      <c r="F3" s="554" t="s">
        <v>1521</v>
      </c>
      <c r="G3" s="554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63" t="s">
        <v>1307</v>
      </c>
      <c r="B5" s="563"/>
      <c r="C5" s="563"/>
      <c r="D5" s="563"/>
      <c r="E5" s="563"/>
      <c r="F5" s="563"/>
      <c r="G5" s="563"/>
    </row>
    <row r="6" spans="1:10" x14ac:dyDescent="0.25">
      <c r="A6" s="56"/>
      <c r="B6" s="56"/>
      <c r="C6" s="56"/>
      <c r="D6" s="56"/>
      <c r="E6" s="56"/>
      <c r="F6" s="115"/>
      <c r="G6" s="268" t="s">
        <v>1</v>
      </c>
    </row>
    <row r="7" spans="1:10" ht="35.450000000000003" customHeight="1" x14ac:dyDescent="0.25">
      <c r="A7" s="221" t="s">
        <v>592</v>
      </c>
      <c r="B7" s="222" t="s">
        <v>112</v>
      </c>
      <c r="C7" s="222" t="s">
        <v>113</v>
      </c>
      <c r="D7" s="222" t="s">
        <v>114</v>
      </c>
      <c r="E7" s="222" t="s">
        <v>115</v>
      </c>
      <c r="F7" s="269" t="s">
        <v>1083</v>
      </c>
      <c r="G7" s="269" t="s">
        <v>1308</v>
      </c>
      <c r="H7" s="227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247959.91000000003</v>
      </c>
      <c r="I7" s="227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242586.16999999998</v>
      </c>
    </row>
    <row r="8" spans="1:10" ht="16.350000000000001" customHeight="1" x14ac:dyDescent="0.25">
      <c r="A8" s="293" t="s">
        <v>1416</v>
      </c>
      <c r="B8" s="294"/>
      <c r="C8" s="294"/>
      <c r="D8" s="294"/>
      <c r="E8" s="294"/>
      <c r="F8" s="295">
        <f>'пр.4.1. рдпр 22-23 (2)'!D10</f>
        <v>12478.692500000001</v>
      </c>
      <c r="G8" s="295">
        <f>'пр.4.1. рдпр 22-23 (2)'!E10</f>
        <v>25451.88</v>
      </c>
      <c r="H8" s="227"/>
      <c r="I8" s="227"/>
    </row>
    <row r="9" spans="1:10" ht="15.75" x14ac:dyDescent="0.25">
      <c r="A9" s="462" t="s">
        <v>117</v>
      </c>
      <c r="B9" s="7" t="s">
        <v>118</v>
      </c>
      <c r="C9" s="7"/>
      <c r="D9" s="7"/>
      <c r="E9" s="7"/>
      <c r="F9" s="450">
        <f>F10+F29+F45+F106+F136+F128</f>
        <v>136787.41</v>
      </c>
      <c r="G9" s="450">
        <f>G10+G29+G45+G106+G136+G128</f>
        <v>123941.72</v>
      </c>
      <c r="H9" s="220"/>
      <c r="I9" s="220"/>
      <c r="J9" s="220"/>
    </row>
    <row r="10" spans="1:10" ht="47.25" x14ac:dyDescent="0.25">
      <c r="A10" s="462" t="s">
        <v>575</v>
      </c>
      <c r="B10" s="7" t="s">
        <v>118</v>
      </c>
      <c r="C10" s="7" t="s">
        <v>213</v>
      </c>
      <c r="D10" s="7"/>
      <c r="E10" s="7"/>
      <c r="F10" s="450">
        <f>F11+F21</f>
        <v>4867.3999999999996</v>
      </c>
      <c r="G10" s="450">
        <f>G11+G21</f>
        <v>4867.3999999999996</v>
      </c>
      <c r="H10" s="220"/>
      <c r="I10" s="220"/>
    </row>
    <row r="11" spans="1:10" ht="31.5" x14ac:dyDescent="0.25">
      <c r="A11" s="456" t="s">
        <v>917</v>
      </c>
      <c r="B11" s="7" t="s">
        <v>118</v>
      </c>
      <c r="C11" s="7" t="s">
        <v>213</v>
      </c>
      <c r="D11" s="7" t="s">
        <v>858</v>
      </c>
      <c r="E11" s="7"/>
      <c r="F11" s="450">
        <f t="shared" ref="F11:G11" si="0">F12</f>
        <v>4826.8999999999996</v>
      </c>
      <c r="G11" s="450">
        <f t="shared" si="0"/>
        <v>4826.8999999999996</v>
      </c>
    </row>
    <row r="12" spans="1:10" ht="15.75" x14ac:dyDescent="0.25">
      <c r="A12" s="456" t="s">
        <v>918</v>
      </c>
      <c r="B12" s="7" t="s">
        <v>118</v>
      </c>
      <c r="C12" s="7" t="s">
        <v>213</v>
      </c>
      <c r="D12" s="7" t="s">
        <v>859</v>
      </c>
      <c r="E12" s="7"/>
      <c r="F12" s="450">
        <f>F13+F18</f>
        <v>4826.8999999999996</v>
      </c>
      <c r="G12" s="450">
        <f>G13+G18</f>
        <v>4826.8999999999996</v>
      </c>
    </row>
    <row r="13" spans="1:10" ht="47.25" x14ac:dyDescent="0.25">
      <c r="A13" s="29" t="s">
        <v>576</v>
      </c>
      <c r="B13" s="461" t="s">
        <v>118</v>
      </c>
      <c r="C13" s="461" t="s">
        <v>213</v>
      </c>
      <c r="D13" s="461" t="s">
        <v>1331</v>
      </c>
      <c r="E13" s="461"/>
      <c r="F13" s="451">
        <f>F14+F16</f>
        <v>4826.8999999999996</v>
      </c>
      <c r="G13" s="451">
        <f>G14+G16</f>
        <v>4826.8999999999996</v>
      </c>
      <c r="H13" s="227">
        <f>F13+F18+F48+F57+F60+F118+F125+F446+F453+F717+F798+F803+F926+F929+F722</f>
        <v>104071.91</v>
      </c>
      <c r="I13" s="227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61" t="s">
        <v>118</v>
      </c>
      <c r="C14" s="461" t="s">
        <v>213</v>
      </c>
      <c r="D14" s="461" t="s">
        <v>1331</v>
      </c>
      <c r="E14" s="461" t="s">
        <v>128</v>
      </c>
      <c r="F14" s="451">
        <f>F15</f>
        <v>4736.8999999999996</v>
      </c>
      <c r="G14" s="451">
        <f>G15</f>
        <v>4736.8999999999996</v>
      </c>
    </row>
    <row r="15" spans="1:10" ht="31.5" x14ac:dyDescent="0.25">
      <c r="A15" s="29" t="s">
        <v>129</v>
      </c>
      <c r="B15" s="461" t="s">
        <v>118</v>
      </c>
      <c r="C15" s="461" t="s">
        <v>213</v>
      </c>
      <c r="D15" s="461" t="s">
        <v>1331</v>
      </c>
      <c r="E15" s="461" t="s">
        <v>130</v>
      </c>
      <c r="F15" s="451">
        <f>'пр.6.1.ведом.22-23 (2)'!G38</f>
        <v>4736.8999999999996</v>
      </c>
      <c r="G15" s="451">
        <f>'пр.6.1.ведом.22-23 (2)'!H38</f>
        <v>4736.8999999999996</v>
      </c>
    </row>
    <row r="16" spans="1:10" ht="31.5" x14ac:dyDescent="0.25">
      <c r="A16" s="29" t="s">
        <v>131</v>
      </c>
      <c r="B16" s="461" t="s">
        <v>118</v>
      </c>
      <c r="C16" s="461" t="s">
        <v>213</v>
      </c>
      <c r="D16" s="461" t="s">
        <v>1331</v>
      </c>
      <c r="E16" s="461" t="s">
        <v>132</v>
      </c>
      <c r="F16" s="451">
        <f>F17</f>
        <v>90</v>
      </c>
      <c r="G16" s="451">
        <f>G17</f>
        <v>90</v>
      </c>
    </row>
    <row r="17" spans="1:9" ht="47.25" x14ac:dyDescent="0.25">
      <c r="A17" s="29" t="s">
        <v>133</v>
      </c>
      <c r="B17" s="461" t="s">
        <v>118</v>
      </c>
      <c r="C17" s="461" t="s">
        <v>213</v>
      </c>
      <c r="D17" s="461" t="s">
        <v>1331</v>
      </c>
      <c r="E17" s="461" t="s">
        <v>134</v>
      </c>
      <c r="F17" s="451">
        <f>'пр.6.1.ведом.22-23 (2)'!G40</f>
        <v>90</v>
      </c>
      <c r="G17" s="451">
        <f>'пр.6.1.ведом.22-23 (2)'!H40</f>
        <v>90</v>
      </c>
    </row>
    <row r="18" spans="1:9" ht="47.25" hidden="1" x14ac:dyDescent="0.25">
      <c r="A18" s="458" t="s">
        <v>839</v>
      </c>
      <c r="B18" s="461" t="s">
        <v>118</v>
      </c>
      <c r="C18" s="461" t="s">
        <v>213</v>
      </c>
      <c r="D18" s="461" t="s">
        <v>862</v>
      </c>
      <c r="E18" s="461"/>
      <c r="F18" s="451">
        <f>F19</f>
        <v>0</v>
      </c>
      <c r="G18" s="451">
        <f t="shared" ref="G18:G44" si="1">F18</f>
        <v>0</v>
      </c>
    </row>
    <row r="19" spans="1:9" ht="94.5" hidden="1" x14ac:dyDescent="0.25">
      <c r="A19" s="458" t="s">
        <v>127</v>
      </c>
      <c r="B19" s="461" t="s">
        <v>118</v>
      </c>
      <c r="C19" s="461" t="s">
        <v>213</v>
      </c>
      <c r="D19" s="461" t="s">
        <v>862</v>
      </c>
      <c r="E19" s="461" t="s">
        <v>128</v>
      </c>
      <c r="F19" s="451">
        <f>F20</f>
        <v>0</v>
      </c>
      <c r="G19" s="451">
        <f>G20</f>
        <v>0</v>
      </c>
    </row>
    <row r="20" spans="1:9" ht="31.5" hidden="1" x14ac:dyDescent="0.25">
      <c r="A20" s="458" t="s">
        <v>129</v>
      </c>
      <c r="B20" s="461" t="s">
        <v>118</v>
      </c>
      <c r="C20" s="461" t="s">
        <v>213</v>
      </c>
      <c r="D20" s="461" t="s">
        <v>862</v>
      </c>
      <c r="E20" s="461" t="s">
        <v>130</v>
      </c>
      <c r="F20" s="451">
        <f>'пр.6.1.ведом.22-23 (2)'!G43</f>
        <v>0</v>
      </c>
      <c r="G20" s="451">
        <f>'пр.6.1.ведом.22-23 (2)'!H43</f>
        <v>0</v>
      </c>
    </row>
    <row r="21" spans="1:9" ht="47.25" x14ac:dyDescent="0.25">
      <c r="A21" s="456" t="s">
        <v>1341</v>
      </c>
      <c r="B21" s="457" t="s">
        <v>118</v>
      </c>
      <c r="C21" s="7" t="s">
        <v>213</v>
      </c>
      <c r="D21" s="457" t="s">
        <v>162</v>
      </c>
      <c r="E21" s="7"/>
      <c r="F21" s="361">
        <f>F22</f>
        <v>40.5</v>
      </c>
      <c r="G21" s="361">
        <f>G22</f>
        <v>40.5</v>
      </c>
    </row>
    <row r="22" spans="1:9" ht="78.75" x14ac:dyDescent="0.25">
      <c r="A22" s="215" t="s">
        <v>843</v>
      </c>
      <c r="B22" s="457" t="s">
        <v>118</v>
      </c>
      <c r="C22" s="7" t="s">
        <v>213</v>
      </c>
      <c r="D22" s="7" t="s">
        <v>850</v>
      </c>
      <c r="E22" s="7"/>
      <c r="F22" s="361">
        <f>F23+F26</f>
        <v>40.5</v>
      </c>
      <c r="G22" s="361">
        <f>G23+G26</f>
        <v>40.5</v>
      </c>
    </row>
    <row r="23" spans="1:9" ht="63" x14ac:dyDescent="0.25">
      <c r="A23" s="31" t="s">
        <v>695</v>
      </c>
      <c r="B23" s="454" t="s">
        <v>118</v>
      </c>
      <c r="C23" s="454" t="s">
        <v>213</v>
      </c>
      <c r="D23" s="461" t="s">
        <v>993</v>
      </c>
      <c r="E23" s="454"/>
      <c r="F23" s="451">
        <f>F24</f>
        <v>40.5</v>
      </c>
      <c r="G23" s="451">
        <f>G24</f>
        <v>40.5</v>
      </c>
    </row>
    <row r="24" spans="1:9" ht="31.5" x14ac:dyDescent="0.25">
      <c r="A24" s="458" t="s">
        <v>131</v>
      </c>
      <c r="B24" s="454" t="s">
        <v>118</v>
      </c>
      <c r="C24" s="454" t="s">
        <v>213</v>
      </c>
      <c r="D24" s="461" t="s">
        <v>993</v>
      </c>
      <c r="E24" s="454" t="s">
        <v>132</v>
      </c>
      <c r="F24" s="451">
        <f>F25</f>
        <v>40.5</v>
      </c>
      <c r="G24" s="451">
        <f>G25</f>
        <v>40.5</v>
      </c>
    </row>
    <row r="25" spans="1:9" ht="47.25" x14ac:dyDescent="0.25">
      <c r="A25" s="458" t="s">
        <v>133</v>
      </c>
      <c r="B25" s="454" t="s">
        <v>118</v>
      </c>
      <c r="C25" s="454" t="s">
        <v>213</v>
      </c>
      <c r="D25" s="461" t="s">
        <v>696</v>
      </c>
      <c r="E25" s="454" t="s">
        <v>134</v>
      </c>
      <c r="F25" s="451">
        <f>'пр.6.1.ведом.22-23 (2)'!G48</f>
        <v>40.5</v>
      </c>
      <c r="G25" s="451">
        <f>'пр.6.1.ведом.22-23 (2)'!H48</f>
        <v>40.5</v>
      </c>
    </row>
    <row r="26" spans="1:9" ht="63" hidden="1" x14ac:dyDescent="0.25">
      <c r="A26" s="31" t="s">
        <v>695</v>
      </c>
      <c r="B26" s="454" t="s">
        <v>118</v>
      </c>
      <c r="C26" s="454" t="s">
        <v>213</v>
      </c>
      <c r="D26" s="454" t="s">
        <v>992</v>
      </c>
      <c r="E26" s="454"/>
      <c r="F26" s="451">
        <f>F27</f>
        <v>0</v>
      </c>
      <c r="G26" s="451">
        <f>G27</f>
        <v>0</v>
      </c>
    </row>
    <row r="27" spans="1:9" ht="31.5" hidden="1" x14ac:dyDescent="0.25">
      <c r="A27" s="458" t="s">
        <v>131</v>
      </c>
      <c r="B27" s="454" t="s">
        <v>118</v>
      </c>
      <c r="C27" s="454" t="s">
        <v>213</v>
      </c>
      <c r="D27" s="454" t="s">
        <v>992</v>
      </c>
      <c r="E27" s="454" t="s">
        <v>132</v>
      </c>
      <c r="F27" s="451">
        <f>F28</f>
        <v>0</v>
      </c>
      <c r="G27" s="451">
        <f>G28</f>
        <v>0</v>
      </c>
    </row>
    <row r="28" spans="1:9" ht="47.25" hidden="1" x14ac:dyDescent="0.25">
      <c r="A28" s="458" t="s">
        <v>133</v>
      </c>
      <c r="B28" s="454" t="s">
        <v>118</v>
      </c>
      <c r="C28" s="454" t="s">
        <v>213</v>
      </c>
      <c r="D28" s="454" t="s">
        <v>992</v>
      </c>
      <c r="E28" s="454" t="s">
        <v>134</v>
      </c>
      <c r="F28" s="451">
        <f>'пр.6.1.ведом.22-23 (2)'!G51</f>
        <v>0</v>
      </c>
      <c r="G28" s="451">
        <f>'пр.6.1.ведом.22-23 (2)'!H51</f>
        <v>0</v>
      </c>
    </row>
    <row r="29" spans="1:9" ht="78.75" x14ac:dyDescent="0.25">
      <c r="A29" s="462" t="s">
        <v>578</v>
      </c>
      <c r="B29" s="7" t="s">
        <v>118</v>
      </c>
      <c r="C29" s="7" t="s">
        <v>215</v>
      </c>
      <c r="D29" s="7"/>
      <c r="E29" s="7"/>
      <c r="F29" s="450">
        <f t="shared" ref="F29:G30" si="2">F30</f>
        <v>5488</v>
      </c>
      <c r="G29" s="450">
        <f t="shared" si="2"/>
        <v>5488</v>
      </c>
    </row>
    <row r="30" spans="1:9" ht="31.5" x14ac:dyDescent="0.25">
      <c r="A30" s="456" t="s">
        <v>917</v>
      </c>
      <c r="B30" s="7" t="s">
        <v>118</v>
      </c>
      <c r="C30" s="7" t="s">
        <v>215</v>
      </c>
      <c r="D30" s="7" t="s">
        <v>858</v>
      </c>
      <c r="E30" s="7"/>
      <c r="F30" s="450">
        <f t="shared" si="2"/>
        <v>5488</v>
      </c>
      <c r="G30" s="450">
        <f t="shared" si="2"/>
        <v>5488</v>
      </c>
    </row>
    <row r="31" spans="1:9" ht="31.5" x14ac:dyDescent="0.25">
      <c r="A31" s="456" t="s">
        <v>986</v>
      </c>
      <c r="B31" s="7" t="s">
        <v>118</v>
      </c>
      <c r="C31" s="7" t="s">
        <v>215</v>
      </c>
      <c r="D31" s="7" t="s">
        <v>987</v>
      </c>
      <c r="E31" s="7"/>
      <c r="F31" s="450">
        <f>F37+F42+F32</f>
        <v>5488</v>
      </c>
      <c r="G31" s="450">
        <f>G37+G42+G32</f>
        <v>5488</v>
      </c>
    </row>
    <row r="32" spans="1:9" ht="47.25" x14ac:dyDescent="0.25">
      <c r="A32" s="284" t="s">
        <v>1366</v>
      </c>
      <c r="B32" s="454" t="s">
        <v>118</v>
      </c>
      <c r="C32" s="454" t="s">
        <v>215</v>
      </c>
      <c r="D32" s="454" t="s">
        <v>1404</v>
      </c>
      <c r="E32" s="457"/>
      <c r="F32" s="451">
        <f>F33+F35</f>
        <v>4247.6000000000004</v>
      </c>
      <c r="G32" s="451">
        <f>G33+G35</f>
        <v>4247.6000000000004</v>
      </c>
      <c r="H32" s="227">
        <f>F32+F37+F109+F114</f>
        <v>7286.5</v>
      </c>
      <c r="I32" s="227">
        <f>G32+G37+G109+G114</f>
        <v>7286.5</v>
      </c>
    </row>
    <row r="33" spans="1:9" ht="94.5" x14ac:dyDescent="0.25">
      <c r="A33" s="458" t="s">
        <v>127</v>
      </c>
      <c r="B33" s="454" t="s">
        <v>118</v>
      </c>
      <c r="C33" s="454" t="s">
        <v>215</v>
      </c>
      <c r="D33" s="454" t="s">
        <v>1404</v>
      </c>
      <c r="E33" s="454" t="s">
        <v>128</v>
      </c>
      <c r="F33" s="451">
        <f>F34</f>
        <v>4154.6000000000004</v>
      </c>
      <c r="G33" s="451">
        <f>G34</f>
        <v>4154.6000000000004</v>
      </c>
    </row>
    <row r="34" spans="1:9" ht="31.5" x14ac:dyDescent="0.25">
      <c r="A34" s="458" t="s">
        <v>129</v>
      </c>
      <c r="B34" s="454" t="s">
        <v>118</v>
      </c>
      <c r="C34" s="454" t="s">
        <v>215</v>
      </c>
      <c r="D34" s="454" t="s">
        <v>1404</v>
      </c>
      <c r="E34" s="454" t="s">
        <v>130</v>
      </c>
      <c r="F34" s="451">
        <f>'пр.6.1.ведом.22-23 (2)'!G1072</f>
        <v>4154.6000000000004</v>
      </c>
      <c r="G34" s="451">
        <f>'пр.6.1.ведом.22-23 (2)'!H1072</f>
        <v>4154.6000000000004</v>
      </c>
    </row>
    <row r="35" spans="1:9" ht="47.25" x14ac:dyDescent="0.25">
      <c r="A35" s="458" t="s">
        <v>198</v>
      </c>
      <c r="B35" s="454" t="s">
        <v>118</v>
      </c>
      <c r="C35" s="454" t="s">
        <v>215</v>
      </c>
      <c r="D35" s="454" t="s">
        <v>1404</v>
      </c>
      <c r="E35" s="454" t="s">
        <v>132</v>
      </c>
      <c r="F35" s="451">
        <f>F36</f>
        <v>93</v>
      </c>
      <c r="G35" s="451">
        <f>G36</f>
        <v>93</v>
      </c>
    </row>
    <row r="36" spans="1:9" ht="47.25" x14ac:dyDescent="0.25">
      <c r="A36" s="458" t="s">
        <v>133</v>
      </c>
      <c r="B36" s="454" t="s">
        <v>118</v>
      </c>
      <c r="C36" s="454" t="s">
        <v>215</v>
      </c>
      <c r="D36" s="454" t="s">
        <v>1404</v>
      </c>
      <c r="E36" s="454" t="s">
        <v>134</v>
      </c>
      <c r="F36" s="451">
        <f>'пр.6.1.ведом.22-23 (2)'!G1074</f>
        <v>93</v>
      </c>
      <c r="G36" s="451">
        <f>'пр.6.1.ведом.22-23 (2)'!H1074</f>
        <v>93</v>
      </c>
    </row>
    <row r="37" spans="1:9" ht="31.5" x14ac:dyDescent="0.25">
      <c r="A37" s="458" t="s">
        <v>990</v>
      </c>
      <c r="B37" s="461" t="s">
        <v>118</v>
      </c>
      <c r="C37" s="461" t="s">
        <v>215</v>
      </c>
      <c r="D37" s="461" t="s">
        <v>991</v>
      </c>
      <c r="E37" s="461"/>
      <c r="F37" s="451">
        <f>F38+F40</f>
        <v>1240.4000000000001</v>
      </c>
      <c r="G37" s="451">
        <f>G38+G40</f>
        <v>1240.4000000000001</v>
      </c>
    </row>
    <row r="38" spans="1:9" ht="94.5" x14ac:dyDescent="0.25">
      <c r="A38" s="29" t="s">
        <v>127</v>
      </c>
      <c r="B38" s="461" t="s">
        <v>118</v>
      </c>
      <c r="C38" s="461" t="s">
        <v>215</v>
      </c>
      <c r="D38" s="461" t="s">
        <v>991</v>
      </c>
      <c r="E38" s="461" t="s">
        <v>128</v>
      </c>
      <c r="F38" s="451">
        <f>F39</f>
        <v>1240.4000000000001</v>
      </c>
      <c r="G38" s="451">
        <f>G39</f>
        <v>1240.4000000000001</v>
      </c>
    </row>
    <row r="39" spans="1:9" ht="35.450000000000003" customHeight="1" x14ac:dyDescent="0.25">
      <c r="A39" s="29" t="s">
        <v>129</v>
      </c>
      <c r="B39" s="461" t="s">
        <v>118</v>
      </c>
      <c r="C39" s="461" t="s">
        <v>215</v>
      </c>
      <c r="D39" s="461" t="s">
        <v>991</v>
      </c>
      <c r="E39" s="461" t="s">
        <v>130</v>
      </c>
      <c r="F39" s="451">
        <f>'пр.6.1.ведом.22-23 (2)'!G1077</f>
        <v>1240.4000000000001</v>
      </c>
      <c r="G39" s="451">
        <f>'пр.6.1.ведом.22-23 (2)'!H1077</f>
        <v>1240.4000000000001</v>
      </c>
    </row>
    <row r="40" spans="1:9" ht="31.5" hidden="1" x14ac:dyDescent="0.25">
      <c r="A40" s="29" t="s">
        <v>131</v>
      </c>
      <c r="B40" s="461" t="s">
        <v>118</v>
      </c>
      <c r="C40" s="461" t="s">
        <v>215</v>
      </c>
      <c r="D40" s="461" t="s">
        <v>991</v>
      </c>
      <c r="E40" s="461" t="s">
        <v>132</v>
      </c>
      <c r="F40" s="451">
        <f>F41</f>
        <v>0</v>
      </c>
      <c r="G40" s="451">
        <f>G41</f>
        <v>0</v>
      </c>
    </row>
    <row r="41" spans="1:9" ht="47.25" hidden="1" x14ac:dyDescent="0.25">
      <c r="A41" s="29" t="s">
        <v>133</v>
      </c>
      <c r="B41" s="461" t="s">
        <v>118</v>
      </c>
      <c r="C41" s="461" t="s">
        <v>215</v>
      </c>
      <c r="D41" s="461" t="s">
        <v>991</v>
      </c>
      <c r="E41" s="461" t="s">
        <v>134</v>
      </c>
      <c r="F41" s="451">
        <f>'пр.6.1.ведом.22-23 (2)'!G1079</f>
        <v>0</v>
      </c>
      <c r="G41" s="451">
        <f>'пр.6.1.ведом.22-23 (2)'!H1079</f>
        <v>0</v>
      </c>
    </row>
    <row r="42" spans="1:9" ht="47.25" hidden="1" x14ac:dyDescent="0.25">
      <c r="A42" s="458" t="s">
        <v>839</v>
      </c>
      <c r="B42" s="461" t="s">
        <v>118</v>
      </c>
      <c r="C42" s="461" t="s">
        <v>215</v>
      </c>
      <c r="D42" s="461" t="s">
        <v>989</v>
      </c>
      <c r="E42" s="461"/>
      <c r="F42" s="451">
        <f>'[1]Пр.4 Рд,пр, ЦС,ВР 21'!F38</f>
        <v>0</v>
      </c>
      <c r="G42" s="451">
        <f t="shared" si="1"/>
        <v>0</v>
      </c>
    </row>
    <row r="43" spans="1:9" ht="94.5" hidden="1" x14ac:dyDescent="0.25">
      <c r="A43" s="458" t="s">
        <v>127</v>
      </c>
      <c r="B43" s="461" t="s">
        <v>118</v>
      </c>
      <c r="C43" s="461" t="s">
        <v>215</v>
      </c>
      <c r="D43" s="461" t="s">
        <v>989</v>
      </c>
      <c r="E43" s="461" t="s">
        <v>128</v>
      </c>
      <c r="F43" s="451">
        <f>'[1]Пр.4 Рд,пр, ЦС,ВР 21'!F39</f>
        <v>0</v>
      </c>
      <c r="G43" s="451">
        <f t="shared" si="1"/>
        <v>0</v>
      </c>
    </row>
    <row r="44" spans="1:9" ht="39.75" hidden="1" customHeight="1" x14ac:dyDescent="0.25">
      <c r="A44" s="458" t="s">
        <v>129</v>
      </c>
      <c r="B44" s="461" t="s">
        <v>118</v>
      </c>
      <c r="C44" s="461" t="s">
        <v>215</v>
      </c>
      <c r="D44" s="461" t="s">
        <v>989</v>
      </c>
      <c r="E44" s="461" t="s">
        <v>130</v>
      </c>
      <c r="F44" s="451">
        <f>'[1]Пр.4 Рд,пр, ЦС,ВР 21'!F40</f>
        <v>0</v>
      </c>
      <c r="G44" s="451">
        <f t="shared" si="1"/>
        <v>0</v>
      </c>
    </row>
    <row r="45" spans="1:9" ht="78.75" x14ac:dyDescent="0.25">
      <c r="A45" s="462" t="s">
        <v>149</v>
      </c>
      <c r="B45" s="7" t="s">
        <v>118</v>
      </c>
      <c r="C45" s="7" t="s">
        <v>150</v>
      </c>
      <c r="D45" s="7"/>
      <c r="E45" s="7"/>
      <c r="F45" s="450">
        <f>F46+F85</f>
        <v>56977.11</v>
      </c>
      <c r="G45" s="450">
        <f>G46+G85</f>
        <v>43788.420000000006</v>
      </c>
      <c r="H45" s="227">
        <f>'пр.6.1.ведом.22-23 (2)'!H490+'пр.6.1.ведом.22-23 (2)'!H52</f>
        <v>43788.42</v>
      </c>
      <c r="I45" s="227">
        <f>H46-F45</f>
        <v>5218.0900000000038</v>
      </c>
    </row>
    <row r="46" spans="1:9" ht="31.5" x14ac:dyDescent="0.25">
      <c r="A46" s="456" t="s">
        <v>917</v>
      </c>
      <c r="B46" s="7" t="s">
        <v>118</v>
      </c>
      <c r="C46" s="7" t="s">
        <v>150</v>
      </c>
      <c r="D46" s="7" t="s">
        <v>858</v>
      </c>
      <c r="E46" s="7"/>
      <c r="F46" s="450">
        <f>F47+F63</f>
        <v>56293.61</v>
      </c>
      <c r="G46" s="450">
        <f>G47+G63</f>
        <v>43104.920000000006</v>
      </c>
      <c r="H46" s="449">
        <f>50028.3+12166.9</f>
        <v>62195.200000000004</v>
      </c>
    </row>
    <row r="47" spans="1:9" ht="15.75" x14ac:dyDescent="0.25">
      <c r="A47" s="456" t="s">
        <v>918</v>
      </c>
      <c r="B47" s="7" t="s">
        <v>118</v>
      </c>
      <c r="C47" s="7" t="s">
        <v>150</v>
      </c>
      <c r="D47" s="7" t="s">
        <v>859</v>
      </c>
      <c r="E47" s="7"/>
      <c r="F47" s="450">
        <f>F48+F57+F60</f>
        <v>52962.71</v>
      </c>
      <c r="G47" s="450">
        <f>G48+G57+G60</f>
        <v>39989.520000000004</v>
      </c>
    </row>
    <row r="48" spans="1:9" ht="31.5" x14ac:dyDescent="0.25">
      <c r="A48" s="29" t="s">
        <v>897</v>
      </c>
      <c r="B48" s="461" t="s">
        <v>118</v>
      </c>
      <c r="C48" s="461" t="s">
        <v>150</v>
      </c>
      <c r="D48" s="461" t="s">
        <v>860</v>
      </c>
      <c r="E48" s="461"/>
      <c r="F48" s="451">
        <f>F49+F51+F53+F55</f>
        <v>48838.31</v>
      </c>
      <c r="G48" s="451">
        <f>G49+G51+G53+G55</f>
        <v>35865.120000000003</v>
      </c>
      <c r="H48" s="227">
        <f>'пр.6.1.ведом.22-23 (2)'!G55+'пр.6.1.ведом.22-23 (2)'!G493</f>
        <v>48838.31</v>
      </c>
    </row>
    <row r="49" spans="1:9" ht="94.5" x14ac:dyDescent="0.25">
      <c r="A49" s="29" t="s">
        <v>127</v>
      </c>
      <c r="B49" s="461" t="s">
        <v>118</v>
      </c>
      <c r="C49" s="461" t="s">
        <v>150</v>
      </c>
      <c r="D49" s="461" t="s">
        <v>860</v>
      </c>
      <c r="E49" s="461" t="s">
        <v>128</v>
      </c>
      <c r="F49" s="451">
        <f>F50</f>
        <v>42632.909999999996</v>
      </c>
      <c r="G49" s="451">
        <f>G50</f>
        <v>29659.72</v>
      </c>
    </row>
    <row r="50" spans="1:9" ht="40.700000000000003" customHeight="1" x14ac:dyDescent="0.25">
      <c r="A50" s="29" t="s">
        <v>129</v>
      </c>
      <c r="B50" s="461" t="s">
        <v>118</v>
      </c>
      <c r="C50" s="461" t="s">
        <v>150</v>
      </c>
      <c r="D50" s="461" t="s">
        <v>860</v>
      </c>
      <c r="E50" s="461" t="s">
        <v>130</v>
      </c>
      <c r="F50" s="451">
        <f>'пр.6.1.ведом.22-23 (2)'!G495+'пр.6.1.ведом.22-23 (2)'!G57</f>
        <v>42632.909999999996</v>
      </c>
      <c r="G50" s="451">
        <f>'пр.6.1.ведом.22-23 (2)'!H495+'пр.6.1.ведом.22-23 (2)'!H57</f>
        <v>29659.72</v>
      </c>
    </row>
    <row r="51" spans="1:9" ht="31.5" x14ac:dyDescent="0.25">
      <c r="A51" s="29" t="s">
        <v>131</v>
      </c>
      <c r="B51" s="461" t="s">
        <v>118</v>
      </c>
      <c r="C51" s="461" t="s">
        <v>150</v>
      </c>
      <c r="D51" s="461" t="s">
        <v>860</v>
      </c>
      <c r="E51" s="461" t="s">
        <v>132</v>
      </c>
      <c r="F51" s="451">
        <f>F52</f>
        <v>5999.4</v>
      </c>
      <c r="G51" s="451">
        <f>G52</f>
        <v>5999.4</v>
      </c>
    </row>
    <row r="52" spans="1:9" ht="47.25" x14ac:dyDescent="0.25">
      <c r="A52" s="29" t="s">
        <v>133</v>
      </c>
      <c r="B52" s="461" t="s">
        <v>118</v>
      </c>
      <c r="C52" s="461" t="s">
        <v>150</v>
      </c>
      <c r="D52" s="461" t="s">
        <v>860</v>
      </c>
      <c r="E52" s="461" t="s">
        <v>134</v>
      </c>
      <c r="F52" s="451">
        <f>'пр.6.1.ведом.22-23 (2)'!G59+'пр.6.1.ведом.22-23 (2)'!G497</f>
        <v>5999.4</v>
      </c>
      <c r="G52" s="451">
        <f>'пр.6.1.ведом.22-23 (2)'!H59+'пр.6.1.ведом.22-23 (2)'!H497</f>
        <v>5999.4</v>
      </c>
    </row>
    <row r="53" spans="1:9" ht="31.5" hidden="1" x14ac:dyDescent="0.25">
      <c r="A53" s="458" t="s">
        <v>248</v>
      </c>
      <c r="B53" s="461" t="s">
        <v>118</v>
      </c>
      <c r="C53" s="461" t="s">
        <v>150</v>
      </c>
      <c r="D53" s="461" t="s">
        <v>860</v>
      </c>
      <c r="E53" s="461" t="s">
        <v>249</v>
      </c>
      <c r="F53" s="451">
        <f>F54</f>
        <v>0</v>
      </c>
      <c r="G53" s="451">
        <f>G54</f>
        <v>0</v>
      </c>
    </row>
    <row r="54" spans="1:9" ht="31.5" hidden="1" x14ac:dyDescent="0.25">
      <c r="A54" s="458" t="s">
        <v>250</v>
      </c>
      <c r="B54" s="461" t="s">
        <v>118</v>
      </c>
      <c r="C54" s="461" t="s">
        <v>150</v>
      </c>
      <c r="D54" s="461" t="s">
        <v>860</v>
      </c>
      <c r="E54" s="461" t="s">
        <v>251</v>
      </c>
      <c r="F54" s="451">
        <f>'пр.6.1.ведом.22-23 (2)'!G61</f>
        <v>0</v>
      </c>
      <c r="G54" s="451">
        <f>'пр.6.1.ведом.22-23 (2)'!H61</f>
        <v>0</v>
      </c>
    </row>
    <row r="55" spans="1:9" ht="15.75" x14ac:dyDescent="0.25">
      <c r="A55" s="29" t="s">
        <v>135</v>
      </c>
      <c r="B55" s="461" t="s">
        <v>118</v>
      </c>
      <c r="C55" s="461" t="s">
        <v>150</v>
      </c>
      <c r="D55" s="461" t="s">
        <v>860</v>
      </c>
      <c r="E55" s="461" t="s">
        <v>145</v>
      </c>
      <c r="F55" s="451">
        <f>F56</f>
        <v>206</v>
      </c>
      <c r="G55" s="451">
        <f>G56</f>
        <v>206</v>
      </c>
    </row>
    <row r="56" spans="1:9" ht="19.5" customHeight="1" x14ac:dyDescent="0.25">
      <c r="A56" s="29" t="s">
        <v>568</v>
      </c>
      <c r="B56" s="461" t="s">
        <v>118</v>
      </c>
      <c r="C56" s="461" t="s">
        <v>150</v>
      </c>
      <c r="D56" s="461" t="s">
        <v>860</v>
      </c>
      <c r="E56" s="461" t="s">
        <v>138</v>
      </c>
      <c r="F56" s="451">
        <f>'пр.6.1.ведом.22-23 (2)'!G63+'пр.6.1.ведом.22-23 (2)'!G499</f>
        <v>206</v>
      </c>
      <c r="G56" s="451">
        <f>'пр.6.1.ведом.22-23 (2)'!H63+'пр.6.1.ведом.22-23 (2)'!H499</f>
        <v>206</v>
      </c>
    </row>
    <row r="57" spans="1:9" ht="31.5" x14ac:dyDescent="0.25">
      <c r="A57" s="458" t="s">
        <v>153</v>
      </c>
      <c r="B57" s="454" t="s">
        <v>118</v>
      </c>
      <c r="C57" s="454" t="s">
        <v>150</v>
      </c>
      <c r="D57" s="461" t="s">
        <v>861</v>
      </c>
      <c r="E57" s="454"/>
      <c r="F57" s="451">
        <f>F58</f>
        <v>2071.4</v>
      </c>
      <c r="G57" s="451">
        <f>G58</f>
        <v>2071.4</v>
      </c>
    </row>
    <row r="58" spans="1:9" ht="94.5" x14ac:dyDescent="0.25">
      <c r="A58" s="458" t="s">
        <v>127</v>
      </c>
      <c r="B58" s="454" t="s">
        <v>118</v>
      </c>
      <c r="C58" s="454" t="s">
        <v>150</v>
      </c>
      <c r="D58" s="461" t="s">
        <v>861</v>
      </c>
      <c r="E58" s="454" t="s">
        <v>128</v>
      </c>
      <c r="F58" s="451">
        <f>F59</f>
        <v>2071.4</v>
      </c>
      <c r="G58" s="451">
        <f>G59</f>
        <v>2071.4</v>
      </c>
    </row>
    <row r="59" spans="1:9" ht="33.75" customHeight="1" x14ac:dyDescent="0.25">
      <c r="A59" s="458" t="s">
        <v>129</v>
      </c>
      <c r="B59" s="454" t="s">
        <v>118</v>
      </c>
      <c r="C59" s="454" t="s">
        <v>150</v>
      </c>
      <c r="D59" s="461" t="s">
        <v>861</v>
      </c>
      <c r="E59" s="454" t="s">
        <v>130</v>
      </c>
      <c r="F59" s="451">
        <f>'пр.6.1.ведом.22-23 (2)'!G66</f>
        <v>2071.4</v>
      </c>
      <c r="G59" s="451">
        <f>'пр.6.1.ведом.22-23 (2)'!H66</f>
        <v>2071.4</v>
      </c>
    </row>
    <row r="60" spans="1:9" ht="47.25" x14ac:dyDescent="0.25">
      <c r="A60" s="458" t="s">
        <v>839</v>
      </c>
      <c r="B60" s="461" t="s">
        <v>118</v>
      </c>
      <c r="C60" s="454" t="s">
        <v>150</v>
      </c>
      <c r="D60" s="461" t="s">
        <v>862</v>
      </c>
      <c r="E60" s="461"/>
      <c r="F60" s="451">
        <f>F61</f>
        <v>2053</v>
      </c>
      <c r="G60" s="451">
        <f>G61</f>
        <v>2053</v>
      </c>
    </row>
    <row r="61" spans="1:9" ht="94.5" x14ac:dyDescent="0.25">
      <c r="A61" s="458" t="s">
        <v>127</v>
      </c>
      <c r="B61" s="461" t="s">
        <v>118</v>
      </c>
      <c r="C61" s="454" t="s">
        <v>150</v>
      </c>
      <c r="D61" s="461" t="s">
        <v>862</v>
      </c>
      <c r="E61" s="461" t="s">
        <v>128</v>
      </c>
      <c r="F61" s="451">
        <f>F62</f>
        <v>2053</v>
      </c>
      <c r="G61" s="451">
        <f>G62</f>
        <v>2053</v>
      </c>
    </row>
    <row r="62" spans="1:9" ht="31.7" customHeight="1" x14ac:dyDescent="0.25">
      <c r="A62" s="458" t="s">
        <v>129</v>
      </c>
      <c r="B62" s="461" t="s">
        <v>118</v>
      </c>
      <c r="C62" s="454" t="s">
        <v>150</v>
      </c>
      <c r="D62" s="461" t="s">
        <v>862</v>
      </c>
      <c r="E62" s="461" t="s">
        <v>130</v>
      </c>
      <c r="F62" s="451">
        <f>'пр.6.1.ведом.22-23 (2)'!G69+'пр.6.1.ведом.22-23 (2)'!G502</f>
        <v>2053</v>
      </c>
      <c r="G62" s="451">
        <f>'пр.6.1.ведом.22-23 (2)'!H69+'пр.6.1.ведом.22-23 (2)'!H502</f>
        <v>2053</v>
      </c>
      <c r="H62" s="227">
        <f>'пр.6.1.ведом.22-23 (2)'!G500+'пр.6.1.ведом.22-23 (2)'!G67</f>
        <v>2053</v>
      </c>
    </row>
    <row r="63" spans="1:9" ht="47.25" x14ac:dyDescent="0.25">
      <c r="A63" s="456" t="s">
        <v>885</v>
      </c>
      <c r="B63" s="7" t="s">
        <v>118</v>
      </c>
      <c r="C63" s="457" t="s">
        <v>150</v>
      </c>
      <c r="D63" s="7" t="s">
        <v>863</v>
      </c>
      <c r="E63" s="7"/>
      <c r="F63" s="450">
        <f>F64+F67+F72+F77+F82</f>
        <v>3330.9</v>
      </c>
      <c r="G63" s="450">
        <f>G64+G67+G72+G77+G82</f>
        <v>3115.4</v>
      </c>
    </row>
    <row r="64" spans="1:9" ht="47.25" hidden="1" x14ac:dyDescent="0.25">
      <c r="A64" s="458" t="s">
        <v>187</v>
      </c>
      <c r="B64" s="461" t="s">
        <v>118</v>
      </c>
      <c r="C64" s="454" t="s">
        <v>150</v>
      </c>
      <c r="D64" s="461" t="s">
        <v>1073</v>
      </c>
      <c r="E64" s="7"/>
      <c r="F64" s="451">
        <f>F65</f>
        <v>0</v>
      </c>
      <c r="G64" s="451">
        <f>G65</f>
        <v>0</v>
      </c>
      <c r="H64" s="227">
        <f>F64+F67+F72+F77+F82+F286+F342+F875</f>
        <v>7245.5</v>
      </c>
      <c r="I64" s="227">
        <f>G64+G67+G72+G77+G82+G286+G342+G875</f>
        <v>6996.6</v>
      </c>
    </row>
    <row r="65" spans="1:7" ht="31.5" hidden="1" x14ac:dyDescent="0.25">
      <c r="A65" s="458" t="s">
        <v>131</v>
      </c>
      <c r="B65" s="461" t="s">
        <v>118</v>
      </c>
      <c r="C65" s="454" t="s">
        <v>150</v>
      </c>
      <c r="D65" s="461" t="s">
        <v>1073</v>
      </c>
      <c r="E65" s="461" t="s">
        <v>132</v>
      </c>
      <c r="F65" s="451">
        <f>F66</f>
        <v>0</v>
      </c>
      <c r="G65" s="451">
        <f>G66</f>
        <v>0</v>
      </c>
    </row>
    <row r="66" spans="1:7" ht="47.25" hidden="1" x14ac:dyDescent="0.25">
      <c r="A66" s="458" t="s">
        <v>133</v>
      </c>
      <c r="B66" s="461" t="s">
        <v>118</v>
      </c>
      <c r="C66" s="454" t="s">
        <v>150</v>
      </c>
      <c r="D66" s="461" t="s">
        <v>1073</v>
      </c>
      <c r="E66" s="461" t="s">
        <v>134</v>
      </c>
      <c r="F66" s="451">
        <f>'пр.6.1.ведом.22-23 (2)'!G73</f>
        <v>0</v>
      </c>
      <c r="G66" s="451">
        <f>'пр.6.1.ведом.22-23 (2)'!H73</f>
        <v>0</v>
      </c>
    </row>
    <row r="67" spans="1:7" ht="47.25" x14ac:dyDescent="0.25">
      <c r="A67" s="45" t="s">
        <v>189</v>
      </c>
      <c r="B67" s="461" t="s">
        <v>118</v>
      </c>
      <c r="C67" s="454" t="s">
        <v>150</v>
      </c>
      <c r="D67" s="461" t="s">
        <v>920</v>
      </c>
      <c r="E67" s="461"/>
      <c r="F67" s="451">
        <f>F68+F70</f>
        <v>563.20000000000005</v>
      </c>
      <c r="G67" s="451">
        <f>G68+G70</f>
        <v>347.7</v>
      </c>
    </row>
    <row r="68" spans="1:7" ht="94.5" x14ac:dyDescent="0.25">
      <c r="A68" s="29" t="s">
        <v>127</v>
      </c>
      <c r="B68" s="461" t="s">
        <v>118</v>
      </c>
      <c r="C68" s="454" t="s">
        <v>150</v>
      </c>
      <c r="D68" s="461" t="s">
        <v>920</v>
      </c>
      <c r="E68" s="461" t="s">
        <v>128</v>
      </c>
      <c r="F68" s="451">
        <f>F69</f>
        <v>563.20000000000005</v>
      </c>
      <c r="G68" s="451">
        <f>G69</f>
        <v>347.7</v>
      </c>
    </row>
    <row r="69" spans="1:7" ht="31.5" x14ac:dyDescent="0.25">
      <c r="A69" s="29" t="s">
        <v>129</v>
      </c>
      <c r="B69" s="461" t="s">
        <v>118</v>
      </c>
      <c r="C69" s="454" t="s">
        <v>150</v>
      </c>
      <c r="D69" s="461" t="s">
        <v>920</v>
      </c>
      <c r="E69" s="461" t="s">
        <v>130</v>
      </c>
      <c r="F69" s="451">
        <f>'пр.6.1.ведом.22-23 (2)'!G76</f>
        <v>563.20000000000005</v>
      </c>
      <c r="G69" s="451">
        <f>'пр.6.1.ведом.22-23 (2)'!H76</f>
        <v>347.7</v>
      </c>
    </row>
    <row r="70" spans="1:7" ht="31.5" hidden="1" x14ac:dyDescent="0.25">
      <c r="A70" s="458" t="s">
        <v>131</v>
      </c>
      <c r="B70" s="461" t="s">
        <v>118</v>
      </c>
      <c r="C70" s="454" t="s">
        <v>150</v>
      </c>
      <c r="D70" s="461" t="s">
        <v>920</v>
      </c>
      <c r="E70" s="461" t="s">
        <v>132</v>
      </c>
      <c r="F70" s="451">
        <f>F71</f>
        <v>0</v>
      </c>
      <c r="G70" s="451">
        <f>G71</f>
        <v>0</v>
      </c>
    </row>
    <row r="71" spans="1:7" ht="47.25" hidden="1" x14ac:dyDescent="0.25">
      <c r="A71" s="458" t="s">
        <v>133</v>
      </c>
      <c r="B71" s="461" t="s">
        <v>118</v>
      </c>
      <c r="C71" s="454" t="s">
        <v>150</v>
      </c>
      <c r="D71" s="461" t="s">
        <v>920</v>
      </c>
      <c r="E71" s="461" t="s">
        <v>134</v>
      </c>
      <c r="F71" s="451">
        <f>'пр.6.1.ведом.22-23 (2)'!G78</f>
        <v>0</v>
      </c>
      <c r="G71" s="451">
        <f>'пр.6.1.ведом.22-23 (2)'!H78</f>
        <v>0</v>
      </c>
    </row>
    <row r="72" spans="1:7" ht="63" x14ac:dyDescent="0.25">
      <c r="A72" s="31" t="s">
        <v>194</v>
      </c>
      <c r="B72" s="461" t="s">
        <v>118</v>
      </c>
      <c r="C72" s="454" t="s">
        <v>150</v>
      </c>
      <c r="D72" s="461" t="s">
        <v>1028</v>
      </c>
      <c r="E72" s="461"/>
      <c r="F72" s="451">
        <f>F73+F75</f>
        <v>1411.1</v>
      </c>
      <c r="G72" s="451">
        <f>G73+G75</f>
        <v>1411.1</v>
      </c>
    </row>
    <row r="73" spans="1:7" ht="94.5" x14ac:dyDescent="0.25">
      <c r="A73" s="29" t="s">
        <v>127</v>
      </c>
      <c r="B73" s="461" t="s">
        <v>118</v>
      </c>
      <c r="C73" s="454" t="s">
        <v>150</v>
      </c>
      <c r="D73" s="461" t="s">
        <v>1028</v>
      </c>
      <c r="E73" s="461" t="s">
        <v>128</v>
      </c>
      <c r="F73" s="451">
        <f>F74</f>
        <v>1372.1</v>
      </c>
      <c r="G73" s="451">
        <f>G74</f>
        <v>1372.1</v>
      </c>
    </row>
    <row r="74" spans="1:7" ht="33" customHeight="1" x14ac:dyDescent="0.25">
      <c r="A74" s="29" t="s">
        <v>129</v>
      </c>
      <c r="B74" s="461" t="s">
        <v>118</v>
      </c>
      <c r="C74" s="454" t="s">
        <v>150</v>
      </c>
      <c r="D74" s="461" t="s">
        <v>1028</v>
      </c>
      <c r="E74" s="461" t="s">
        <v>130</v>
      </c>
      <c r="F74" s="451">
        <f>'пр.6.1.ведом.22-23 (2)'!G81</f>
        <v>1372.1</v>
      </c>
      <c r="G74" s="451">
        <f>'пр.6.1.ведом.22-23 (2)'!H81</f>
        <v>1372.1</v>
      </c>
    </row>
    <row r="75" spans="1:7" ht="31.5" x14ac:dyDescent="0.25">
      <c r="A75" s="458" t="s">
        <v>131</v>
      </c>
      <c r="B75" s="461" t="s">
        <v>118</v>
      </c>
      <c r="C75" s="454" t="s">
        <v>150</v>
      </c>
      <c r="D75" s="461" t="s">
        <v>1028</v>
      </c>
      <c r="E75" s="461" t="s">
        <v>132</v>
      </c>
      <c r="F75" s="451">
        <f>F76</f>
        <v>39</v>
      </c>
      <c r="G75" s="451">
        <f>G76</f>
        <v>39</v>
      </c>
    </row>
    <row r="76" spans="1:7" ht="47.25" x14ac:dyDescent="0.25">
      <c r="A76" s="458" t="s">
        <v>133</v>
      </c>
      <c r="B76" s="461" t="s">
        <v>118</v>
      </c>
      <c r="C76" s="454" t="s">
        <v>150</v>
      </c>
      <c r="D76" s="461" t="s">
        <v>1028</v>
      </c>
      <c r="E76" s="461" t="s">
        <v>134</v>
      </c>
      <c r="F76" s="451">
        <f>'пр.6.1.ведом.22-23 (2)'!G83</f>
        <v>39</v>
      </c>
      <c r="G76" s="451">
        <f>'пр.6.1.ведом.22-23 (2)'!H83</f>
        <v>39</v>
      </c>
    </row>
    <row r="77" spans="1:7" ht="47.25" x14ac:dyDescent="0.25">
      <c r="A77" s="45" t="s">
        <v>196</v>
      </c>
      <c r="B77" s="461" t="s">
        <v>118</v>
      </c>
      <c r="C77" s="454" t="s">
        <v>150</v>
      </c>
      <c r="D77" s="461" t="s">
        <v>921</v>
      </c>
      <c r="E77" s="461"/>
      <c r="F77" s="451">
        <f>F78+F80</f>
        <v>1334.3</v>
      </c>
      <c r="G77" s="451">
        <f>G78+G80</f>
        <v>1334.3</v>
      </c>
    </row>
    <row r="78" spans="1:7" ht="94.5" x14ac:dyDescent="0.25">
      <c r="A78" s="29" t="s">
        <v>127</v>
      </c>
      <c r="B78" s="461" t="s">
        <v>118</v>
      </c>
      <c r="C78" s="454" t="s">
        <v>150</v>
      </c>
      <c r="D78" s="461" t="s">
        <v>921</v>
      </c>
      <c r="E78" s="461" t="s">
        <v>128</v>
      </c>
      <c r="F78" s="451">
        <f>F79</f>
        <v>1300.3</v>
      </c>
      <c r="G78" s="451">
        <f>G79</f>
        <v>1300.3</v>
      </c>
    </row>
    <row r="79" spans="1:7" ht="33.75" customHeight="1" x14ac:dyDescent="0.25">
      <c r="A79" s="29" t="s">
        <v>129</v>
      </c>
      <c r="B79" s="461" t="s">
        <v>118</v>
      </c>
      <c r="C79" s="454" t="s">
        <v>150</v>
      </c>
      <c r="D79" s="461" t="s">
        <v>921</v>
      </c>
      <c r="E79" s="461" t="s">
        <v>130</v>
      </c>
      <c r="F79" s="451">
        <f>'пр.6.1.ведом.22-23 (2)'!G86</f>
        <v>1300.3</v>
      </c>
      <c r="G79" s="451">
        <f>'пр.6.1.ведом.22-23 (2)'!H86</f>
        <v>1300.3</v>
      </c>
    </row>
    <row r="80" spans="1:7" ht="31.5" x14ac:dyDescent="0.25">
      <c r="A80" s="29" t="s">
        <v>131</v>
      </c>
      <c r="B80" s="461" t="s">
        <v>118</v>
      </c>
      <c r="C80" s="454" t="s">
        <v>150</v>
      </c>
      <c r="D80" s="461" t="s">
        <v>921</v>
      </c>
      <c r="E80" s="461" t="s">
        <v>132</v>
      </c>
      <c r="F80" s="451">
        <f>F81</f>
        <v>34</v>
      </c>
      <c r="G80" s="451">
        <f>G81</f>
        <v>34</v>
      </c>
    </row>
    <row r="81" spans="1:7" ht="47.25" x14ac:dyDescent="0.25">
      <c r="A81" s="29" t="s">
        <v>133</v>
      </c>
      <c r="B81" s="461" t="s">
        <v>118</v>
      </c>
      <c r="C81" s="454" t="s">
        <v>150</v>
      </c>
      <c r="D81" s="461" t="s">
        <v>921</v>
      </c>
      <c r="E81" s="461" t="s">
        <v>134</v>
      </c>
      <c r="F81" s="451">
        <f>'пр.6.1.ведом.22-23 (2)'!G88</f>
        <v>34</v>
      </c>
      <c r="G81" s="451">
        <f>'пр.6.1.ведом.22-23 (2)'!H88</f>
        <v>34</v>
      </c>
    </row>
    <row r="82" spans="1:7" ht="94.5" x14ac:dyDescent="0.25">
      <c r="A82" s="31" t="s">
        <v>1170</v>
      </c>
      <c r="B82" s="454" t="s">
        <v>118</v>
      </c>
      <c r="C82" s="454" t="s">
        <v>150</v>
      </c>
      <c r="D82" s="454" t="s">
        <v>1169</v>
      </c>
      <c r="E82" s="454"/>
      <c r="F82" s="459">
        <f>F83</f>
        <v>22.3</v>
      </c>
      <c r="G82" s="459">
        <f>G83</f>
        <v>22.3</v>
      </c>
    </row>
    <row r="83" spans="1:7" ht="94.5" x14ac:dyDescent="0.25">
      <c r="A83" s="458" t="s">
        <v>127</v>
      </c>
      <c r="B83" s="454" t="s">
        <v>118</v>
      </c>
      <c r="C83" s="454" t="s">
        <v>150</v>
      </c>
      <c r="D83" s="454" t="s">
        <v>1169</v>
      </c>
      <c r="E83" s="454" t="s">
        <v>128</v>
      </c>
      <c r="F83" s="459">
        <f>F84</f>
        <v>22.3</v>
      </c>
      <c r="G83" s="459">
        <f>G84</f>
        <v>22.3</v>
      </c>
    </row>
    <row r="84" spans="1:7" ht="38.25" customHeight="1" x14ac:dyDescent="0.25">
      <c r="A84" s="458" t="s">
        <v>129</v>
      </c>
      <c r="B84" s="454" t="s">
        <v>118</v>
      </c>
      <c r="C84" s="454" t="s">
        <v>150</v>
      </c>
      <c r="D84" s="454" t="s">
        <v>1169</v>
      </c>
      <c r="E84" s="454" t="s">
        <v>130</v>
      </c>
      <c r="F84" s="459">
        <f>'пр.6.1.ведом.22-23 (2)'!G506</f>
        <v>22.3</v>
      </c>
      <c r="G84" s="451">
        <f>'пр.6.1.ведом.22-23 (2)'!H506</f>
        <v>22.3</v>
      </c>
    </row>
    <row r="85" spans="1:7" ht="47.25" x14ac:dyDescent="0.25">
      <c r="A85" s="456" t="s">
        <v>1367</v>
      </c>
      <c r="B85" s="457" t="s">
        <v>118</v>
      </c>
      <c r="C85" s="457" t="s">
        <v>150</v>
      </c>
      <c r="D85" s="457" t="s">
        <v>162</v>
      </c>
      <c r="E85" s="457"/>
      <c r="F85" s="450">
        <f>F86+F90+F102</f>
        <v>683.5</v>
      </c>
      <c r="G85" s="450">
        <f>G86+G90+G102</f>
        <v>683.5</v>
      </c>
    </row>
    <row r="86" spans="1:7" ht="78.75" x14ac:dyDescent="0.25">
      <c r="A86" s="289" t="s">
        <v>1342</v>
      </c>
      <c r="B86" s="457" t="s">
        <v>118</v>
      </c>
      <c r="C86" s="457" t="s">
        <v>150</v>
      </c>
      <c r="D86" s="7" t="s">
        <v>849</v>
      </c>
      <c r="E86" s="457"/>
      <c r="F86" s="450">
        <f t="shared" ref="F86:G88" si="3">F87</f>
        <v>606</v>
      </c>
      <c r="G86" s="450">
        <f t="shared" si="3"/>
        <v>606</v>
      </c>
    </row>
    <row r="87" spans="1:7" ht="63" x14ac:dyDescent="0.25">
      <c r="A87" s="29" t="s">
        <v>1309</v>
      </c>
      <c r="B87" s="454" t="s">
        <v>118</v>
      </c>
      <c r="C87" s="454" t="s">
        <v>150</v>
      </c>
      <c r="D87" s="461" t="s">
        <v>841</v>
      </c>
      <c r="E87" s="454"/>
      <c r="F87" s="451">
        <f t="shared" si="3"/>
        <v>606</v>
      </c>
      <c r="G87" s="451">
        <f t="shared" si="3"/>
        <v>606</v>
      </c>
    </row>
    <row r="88" spans="1:7" ht="31.5" x14ac:dyDescent="0.25">
      <c r="A88" s="458" t="s">
        <v>131</v>
      </c>
      <c r="B88" s="454" t="s">
        <v>118</v>
      </c>
      <c r="C88" s="454" t="s">
        <v>150</v>
      </c>
      <c r="D88" s="461" t="s">
        <v>841</v>
      </c>
      <c r="E88" s="454" t="s">
        <v>132</v>
      </c>
      <c r="F88" s="451">
        <f t="shared" si="3"/>
        <v>606</v>
      </c>
      <c r="G88" s="451">
        <f t="shared" si="3"/>
        <v>606</v>
      </c>
    </row>
    <row r="89" spans="1:7" ht="47.25" x14ac:dyDescent="0.25">
      <c r="A89" s="458" t="s">
        <v>133</v>
      </c>
      <c r="B89" s="454" t="s">
        <v>118</v>
      </c>
      <c r="C89" s="454" t="s">
        <v>150</v>
      </c>
      <c r="D89" s="461" t="s">
        <v>841</v>
      </c>
      <c r="E89" s="454" t="s">
        <v>134</v>
      </c>
      <c r="F89" s="451">
        <f>'пр.6.1.ведом.22-23 (2)'!G93</f>
        <v>606</v>
      </c>
      <c r="G89" s="451">
        <f>'пр.6.1.ведом.22-23 (2)'!H93</f>
        <v>606</v>
      </c>
    </row>
    <row r="90" spans="1:7" ht="78.75" x14ac:dyDescent="0.25">
      <c r="A90" s="215" t="s">
        <v>843</v>
      </c>
      <c r="B90" s="457" t="s">
        <v>118</v>
      </c>
      <c r="C90" s="457" t="s">
        <v>150</v>
      </c>
      <c r="D90" s="7" t="s">
        <v>850</v>
      </c>
      <c r="E90" s="457"/>
      <c r="F90" s="450">
        <f>F91+F96+F99</f>
        <v>77</v>
      </c>
      <c r="G90" s="450">
        <f>G91+G96+G99</f>
        <v>77</v>
      </c>
    </row>
    <row r="91" spans="1:7" ht="63" x14ac:dyDescent="0.25">
      <c r="A91" s="174" t="s">
        <v>165</v>
      </c>
      <c r="B91" s="454" t="s">
        <v>118</v>
      </c>
      <c r="C91" s="454" t="s">
        <v>150</v>
      </c>
      <c r="D91" s="461" t="s">
        <v>842</v>
      </c>
      <c r="E91" s="454"/>
      <c r="F91" s="451">
        <f>F92+F94</f>
        <v>77</v>
      </c>
      <c r="G91" s="451">
        <f>G92+G94</f>
        <v>77</v>
      </c>
    </row>
    <row r="92" spans="1:7" ht="94.5" x14ac:dyDescent="0.25">
      <c r="A92" s="458" t="s">
        <v>127</v>
      </c>
      <c r="B92" s="454" t="s">
        <v>118</v>
      </c>
      <c r="C92" s="454" t="s">
        <v>150</v>
      </c>
      <c r="D92" s="461" t="s">
        <v>842</v>
      </c>
      <c r="E92" s="454" t="s">
        <v>128</v>
      </c>
      <c r="F92" s="451">
        <f>F93</f>
        <v>37</v>
      </c>
      <c r="G92" s="451">
        <f>G93</f>
        <v>37</v>
      </c>
    </row>
    <row r="93" spans="1:7" ht="31.5" x14ac:dyDescent="0.25">
      <c r="A93" s="458" t="s">
        <v>129</v>
      </c>
      <c r="B93" s="454" t="s">
        <v>118</v>
      </c>
      <c r="C93" s="454" t="s">
        <v>150</v>
      </c>
      <c r="D93" s="461" t="s">
        <v>842</v>
      </c>
      <c r="E93" s="454" t="s">
        <v>130</v>
      </c>
      <c r="F93" s="451">
        <f>'пр.6.1.ведом.22-23 (2)'!G97</f>
        <v>37</v>
      </c>
      <c r="G93" s="451">
        <f>'пр.6.1.ведом.22-23 (2)'!H97</f>
        <v>37</v>
      </c>
    </row>
    <row r="94" spans="1:7" ht="31.5" x14ac:dyDescent="0.25">
      <c r="A94" s="458" t="s">
        <v>131</v>
      </c>
      <c r="B94" s="454" t="s">
        <v>118</v>
      </c>
      <c r="C94" s="454" t="s">
        <v>150</v>
      </c>
      <c r="D94" s="461" t="s">
        <v>842</v>
      </c>
      <c r="E94" s="454" t="s">
        <v>132</v>
      </c>
      <c r="F94" s="451">
        <f>F95</f>
        <v>40</v>
      </c>
      <c r="G94" s="451">
        <f>G95</f>
        <v>40</v>
      </c>
    </row>
    <row r="95" spans="1:7" ht="47.25" x14ac:dyDescent="0.25">
      <c r="A95" s="458" t="s">
        <v>133</v>
      </c>
      <c r="B95" s="454" t="s">
        <v>118</v>
      </c>
      <c r="C95" s="454" t="s">
        <v>150</v>
      </c>
      <c r="D95" s="461" t="s">
        <v>842</v>
      </c>
      <c r="E95" s="454" t="s">
        <v>134</v>
      </c>
      <c r="F95" s="451">
        <f>'пр.6.1.ведом.22-23 (2)'!G99</f>
        <v>40</v>
      </c>
      <c r="G95" s="451">
        <f>'пр.6.1.ведом.22-23 (2)'!H99</f>
        <v>40</v>
      </c>
    </row>
    <row r="96" spans="1:7" ht="47.25" hidden="1" x14ac:dyDescent="0.25">
      <c r="A96" s="31" t="s">
        <v>1095</v>
      </c>
      <c r="B96" s="454" t="s">
        <v>118</v>
      </c>
      <c r="C96" s="454" t="s">
        <v>150</v>
      </c>
      <c r="D96" s="461" t="s">
        <v>993</v>
      </c>
      <c r="E96" s="454"/>
      <c r="F96" s="459">
        <f>F97</f>
        <v>0</v>
      </c>
      <c r="G96" s="459">
        <f>G97</f>
        <v>0</v>
      </c>
    </row>
    <row r="97" spans="1:8" ht="31.5" hidden="1" x14ac:dyDescent="0.25">
      <c r="A97" s="458" t="s">
        <v>131</v>
      </c>
      <c r="B97" s="454" t="s">
        <v>118</v>
      </c>
      <c r="C97" s="454" t="s">
        <v>150</v>
      </c>
      <c r="D97" s="461" t="s">
        <v>993</v>
      </c>
      <c r="E97" s="454" t="s">
        <v>132</v>
      </c>
      <c r="F97" s="459">
        <f>F98</f>
        <v>0</v>
      </c>
      <c r="G97" s="459">
        <f>G98</f>
        <v>0</v>
      </c>
    </row>
    <row r="98" spans="1:8" ht="47.25" hidden="1" x14ac:dyDescent="0.25">
      <c r="A98" s="458" t="s">
        <v>133</v>
      </c>
      <c r="B98" s="454" t="s">
        <v>118</v>
      </c>
      <c r="C98" s="454" t="s">
        <v>150</v>
      </c>
      <c r="D98" s="461" t="s">
        <v>696</v>
      </c>
      <c r="E98" s="454" t="s">
        <v>134</v>
      </c>
      <c r="F98" s="459">
        <f>'пр.6.1.ведом.22-23 (2)'!G102</f>
        <v>0</v>
      </c>
      <c r="G98" s="459">
        <f>'пр.6.1.ведом.22-23 (2)'!H102</f>
        <v>0</v>
      </c>
    </row>
    <row r="99" spans="1:8" ht="63" hidden="1" x14ac:dyDescent="0.25">
      <c r="A99" s="31" t="s">
        <v>695</v>
      </c>
      <c r="B99" s="454" t="s">
        <v>118</v>
      </c>
      <c r="C99" s="454" t="s">
        <v>150</v>
      </c>
      <c r="D99" s="454" t="s">
        <v>992</v>
      </c>
      <c r="E99" s="454"/>
      <c r="F99" s="459">
        <f>F100</f>
        <v>0</v>
      </c>
      <c r="G99" s="459">
        <f>G100</f>
        <v>0</v>
      </c>
    </row>
    <row r="100" spans="1:8" ht="31.5" hidden="1" x14ac:dyDescent="0.25">
      <c r="A100" s="458" t="s">
        <v>131</v>
      </c>
      <c r="B100" s="454" t="s">
        <v>118</v>
      </c>
      <c r="C100" s="454" t="s">
        <v>150</v>
      </c>
      <c r="D100" s="454" t="s">
        <v>992</v>
      </c>
      <c r="E100" s="454" t="s">
        <v>132</v>
      </c>
      <c r="F100" s="459">
        <f>F101</f>
        <v>0</v>
      </c>
      <c r="G100" s="459">
        <f>G101</f>
        <v>0</v>
      </c>
    </row>
    <row r="101" spans="1:8" ht="47.25" hidden="1" x14ac:dyDescent="0.25">
      <c r="A101" s="458" t="s">
        <v>133</v>
      </c>
      <c r="B101" s="454" t="s">
        <v>118</v>
      </c>
      <c r="C101" s="454" t="s">
        <v>150</v>
      </c>
      <c r="D101" s="454" t="s">
        <v>992</v>
      </c>
      <c r="E101" s="454" t="s">
        <v>134</v>
      </c>
      <c r="F101" s="459">
        <f>'пр.6.1.ведом.22-23 (2)'!G105</f>
        <v>0</v>
      </c>
      <c r="G101" s="459">
        <f>'пр.6.1.ведом.22-23 (2)'!H105</f>
        <v>0</v>
      </c>
    </row>
    <row r="102" spans="1:8" ht="62.45" customHeight="1" x14ac:dyDescent="0.25">
      <c r="A102" s="216" t="s">
        <v>1003</v>
      </c>
      <c r="B102" s="457" t="s">
        <v>118</v>
      </c>
      <c r="C102" s="457" t="s">
        <v>150</v>
      </c>
      <c r="D102" s="7" t="s">
        <v>851</v>
      </c>
      <c r="E102" s="457"/>
      <c r="F102" s="450">
        <f t="shared" ref="F102:G104" si="4">F103</f>
        <v>0.5</v>
      </c>
      <c r="G102" s="450">
        <f t="shared" si="4"/>
        <v>0.5</v>
      </c>
    </row>
    <row r="103" spans="1:8" ht="47.25" x14ac:dyDescent="0.25">
      <c r="A103" s="33" t="s">
        <v>191</v>
      </c>
      <c r="B103" s="454" t="s">
        <v>118</v>
      </c>
      <c r="C103" s="454" t="s">
        <v>150</v>
      </c>
      <c r="D103" s="461" t="s">
        <v>844</v>
      </c>
      <c r="E103" s="454"/>
      <c r="F103" s="451">
        <f t="shared" si="4"/>
        <v>0.5</v>
      </c>
      <c r="G103" s="451">
        <f t="shared" si="4"/>
        <v>0.5</v>
      </c>
    </row>
    <row r="104" spans="1:8" ht="31.5" x14ac:dyDescent="0.25">
      <c r="A104" s="458" t="s">
        <v>131</v>
      </c>
      <c r="B104" s="454" t="s">
        <v>118</v>
      </c>
      <c r="C104" s="454" t="s">
        <v>150</v>
      </c>
      <c r="D104" s="461" t="s">
        <v>844</v>
      </c>
      <c r="E104" s="454" t="s">
        <v>132</v>
      </c>
      <c r="F104" s="451">
        <f t="shared" si="4"/>
        <v>0.5</v>
      </c>
      <c r="G104" s="451">
        <f t="shared" si="4"/>
        <v>0.5</v>
      </c>
    </row>
    <row r="105" spans="1:8" ht="47.25" x14ac:dyDescent="0.25">
      <c r="A105" s="458" t="s">
        <v>133</v>
      </c>
      <c r="B105" s="454" t="s">
        <v>118</v>
      </c>
      <c r="C105" s="454" t="s">
        <v>150</v>
      </c>
      <c r="D105" s="461" t="s">
        <v>844</v>
      </c>
      <c r="E105" s="454" t="s">
        <v>134</v>
      </c>
      <c r="F105" s="451">
        <f>'пр.6.1.ведом.22-23 (2)'!G109</f>
        <v>0.5</v>
      </c>
      <c r="G105" s="451">
        <f>'пр.6.1.ведом.22-23 (2)'!H109</f>
        <v>0.5</v>
      </c>
    </row>
    <row r="106" spans="1:8" ht="63" x14ac:dyDescent="0.25">
      <c r="A106" s="462" t="s">
        <v>119</v>
      </c>
      <c r="B106" s="7" t="s">
        <v>118</v>
      </c>
      <c r="C106" s="7" t="s">
        <v>120</v>
      </c>
      <c r="D106" s="7"/>
      <c r="E106" s="7"/>
      <c r="F106" s="450">
        <f t="shared" ref="F106:G106" si="5">F107</f>
        <v>16636.7</v>
      </c>
      <c r="G106" s="450">
        <f t="shared" si="5"/>
        <v>16636.7</v>
      </c>
      <c r="H106" s="227">
        <f>'пр.6.1.ведом.22-23 (2)'!H113+'пр.6.1.ведом.22-23 (2)'!H12+'пр.6.1.ведом.22-23 (2)'!H1083</f>
        <v>16636.7</v>
      </c>
    </row>
    <row r="107" spans="1:8" ht="31.5" x14ac:dyDescent="0.25">
      <c r="A107" s="456" t="s">
        <v>917</v>
      </c>
      <c r="B107" s="7" t="s">
        <v>118</v>
      </c>
      <c r="C107" s="7" t="s">
        <v>120</v>
      </c>
      <c r="D107" s="7" t="s">
        <v>858</v>
      </c>
      <c r="E107" s="7"/>
      <c r="F107" s="450">
        <f>F117+F108</f>
        <v>16636.7</v>
      </c>
      <c r="G107" s="450">
        <f>G117+G108</f>
        <v>16636.7</v>
      </c>
    </row>
    <row r="108" spans="1:8" ht="31.5" x14ac:dyDescent="0.25">
      <c r="A108" s="456" t="s">
        <v>986</v>
      </c>
      <c r="B108" s="7" t="s">
        <v>118</v>
      </c>
      <c r="C108" s="7" t="s">
        <v>120</v>
      </c>
      <c r="D108" s="7" t="s">
        <v>987</v>
      </c>
      <c r="E108" s="7"/>
      <c r="F108" s="450">
        <f>F109+F114</f>
        <v>1798.5</v>
      </c>
      <c r="G108" s="450">
        <f>G109+G114</f>
        <v>1798.5</v>
      </c>
    </row>
    <row r="109" spans="1:8" ht="31.5" x14ac:dyDescent="0.25">
      <c r="A109" s="458" t="s">
        <v>897</v>
      </c>
      <c r="B109" s="454" t="s">
        <v>118</v>
      </c>
      <c r="C109" s="454" t="s">
        <v>120</v>
      </c>
      <c r="D109" s="454" t="s">
        <v>991</v>
      </c>
      <c r="E109" s="454"/>
      <c r="F109" s="451">
        <f>F110+F112</f>
        <v>1752.5</v>
      </c>
      <c r="G109" s="451">
        <f>G110+G112</f>
        <v>1752.5</v>
      </c>
    </row>
    <row r="110" spans="1:8" ht="94.5" x14ac:dyDescent="0.25">
      <c r="A110" s="458" t="s">
        <v>127</v>
      </c>
      <c r="B110" s="454" t="s">
        <v>118</v>
      </c>
      <c r="C110" s="454" t="s">
        <v>120</v>
      </c>
      <c r="D110" s="454" t="s">
        <v>991</v>
      </c>
      <c r="E110" s="454" t="s">
        <v>128</v>
      </c>
      <c r="F110" s="451">
        <f>F111</f>
        <v>1734.5</v>
      </c>
      <c r="G110" s="451">
        <f>G111</f>
        <v>1734.5</v>
      </c>
    </row>
    <row r="111" spans="1:8" ht="31.5" x14ac:dyDescent="0.25">
      <c r="A111" s="458" t="s">
        <v>129</v>
      </c>
      <c r="B111" s="454" t="s">
        <v>118</v>
      </c>
      <c r="C111" s="454" t="s">
        <v>120</v>
      </c>
      <c r="D111" s="454" t="s">
        <v>991</v>
      </c>
      <c r="E111" s="454" t="s">
        <v>130</v>
      </c>
      <c r="F111" s="451">
        <f>'пр.6.1.ведом.22-23 (2)'!G1088</f>
        <v>1734.5</v>
      </c>
      <c r="G111" s="451">
        <f>'пр.6.1.ведом.22-23 (2)'!H1088</f>
        <v>1734.5</v>
      </c>
    </row>
    <row r="112" spans="1:8" ht="47.25" x14ac:dyDescent="0.25">
      <c r="A112" s="458" t="s">
        <v>198</v>
      </c>
      <c r="B112" s="454" t="s">
        <v>118</v>
      </c>
      <c r="C112" s="454" t="s">
        <v>120</v>
      </c>
      <c r="D112" s="454" t="s">
        <v>991</v>
      </c>
      <c r="E112" s="454" t="s">
        <v>132</v>
      </c>
      <c r="F112" s="451">
        <f>F113</f>
        <v>18</v>
      </c>
      <c r="G112" s="451">
        <f>G113</f>
        <v>18</v>
      </c>
    </row>
    <row r="113" spans="1:7" ht="47.25" x14ac:dyDescent="0.25">
      <c r="A113" s="458" t="s">
        <v>133</v>
      </c>
      <c r="B113" s="454" t="s">
        <v>118</v>
      </c>
      <c r="C113" s="454" t="s">
        <v>120</v>
      </c>
      <c r="D113" s="454" t="s">
        <v>991</v>
      </c>
      <c r="E113" s="454" t="s">
        <v>134</v>
      </c>
      <c r="F113" s="451">
        <f>'пр.6.1.ведом.22-23 (2)'!G1090</f>
        <v>18</v>
      </c>
      <c r="G113" s="451">
        <f>'пр.6.1.ведом.22-23 (2)'!H1090</f>
        <v>18</v>
      </c>
    </row>
    <row r="114" spans="1:7" ht="47.25" x14ac:dyDescent="0.25">
      <c r="A114" s="458" t="s">
        <v>839</v>
      </c>
      <c r="B114" s="454" t="s">
        <v>118</v>
      </c>
      <c r="C114" s="454" t="s">
        <v>120</v>
      </c>
      <c r="D114" s="454" t="s">
        <v>989</v>
      </c>
      <c r="E114" s="454"/>
      <c r="F114" s="451">
        <f>F115</f>
        <v>46</v>
      </c>
      <c r="G114" s="451">
        <f>G115</f>
        <v>46</v>
      </c>
    </row>
    <row r="115" spans="1:7" ht="94.5" x14ac:dyDescent="0.25">
      <c r="A115" s="458" t="s">
        <v>127</v>
      </c>
      <c r="B115" s="454" t="s">
        <v>118</v>
      </c>
      <c r="C115" s="454" t="s">
        <v>120</v>
      </c>
      <c r="D115" s="454" t="s">
        <v>989</v>
      </c>
      <c r="E115" s="454" t="s">
        <v>128</v>
      </c>
      <c r="F115" s="451">
        <f>F116</f>
        <v>46</v>
      </c>
      <c r="G115" s="451">
        <f>G116</f>
        <v>46</v>
      </c>
    </row>
    <row r="116" spans="1:7" ht="31.5" x14ac:dyDescent="0.25">
      <c r="A116" s="458" t="s">
        <v>129</v>
      </c>
      <c r="B116" s="454" t="s">
        <v>118</v>
      </c>
      <c r="C116" s="454" t="s">
        <v>120</v>
      </c>
      <c r="D116" s="454" t="s">
        <v>989</v>
      </c>
      <c r="E116" s="454" t="s">
        <v>130</v>
      </c>
      <c r="F116" s="451">
        <f>'пр.6.1.ведом.22-23 (2)'!G1093</f>
        <v>46</v>
      </c>
      <c r="G116" s="451">
        <f>'пр.6.1.ведом.22-23 (2)'!H1093</f>
        <v>46</v>
      </c>
    </row>
    <row r="117" spans="1:7" ht="15.75" x14ac:dyDescent="0.25">
      <c r="A117" s="456" t="s">
        <v>918</v>
      </c>
      <c r="B117" s="7" t="s">
        <v>118</v>
      </c>
      <c r="C117" s="7" t="s">
        <v>120</v>
      </c>
      <c r="D117" s="7" t="s">
        <v>859</v>
      </c>
      <c r="E117" s="7"/>
      <c r="F117" s="450">
        <f>F118+F125</f>
        <v>14838.2</v>
      </c>
      <c r="G117" s="450">
        <f>G118+G125</f>
        <v>14838.2</v>
      </c>
    </row>
    <row r="118" spans="1:7" ht="31.5" x14ac:dyDescent="0.25">
      <c r="A118" s="29" t="s">
        <v>897</v>
      </c>
      <c r="B118" s="461" t="s">
        <v>118</v>
      </c>
      <c r="C118" s="461" t="s">
        <v>120</v>
      </c>
      <c r="D118" s="461" t="s">
        <v>860</v>
      </c>
      <c r="E118" s="461"/>
      <c r="F118" s="451">
        <f>F119+F121+F123</f>
        <v>14372.2</v>
      </c>
      <c r="G118" s="451">
        <f>G119+G121+G123</f>
        <v>14372.2</v>
      </c>
    </row>
    <row r="119" spans="1:7" ht="94.5" x14ac:dyDescent="0.25">
      <c r="A119" s="29" t="s">
        <v>127</v>
      </c>
      <c r="B119" s="461" t="s">
        <v>118</v>
      </c>
      <c r="C119" s="461" t="s">
        <v>120</v>
      </c>
      <c r="D119" s="461" t="s">
        <v>860</v>
      </c>
      <c r="E119" s="461" t="s">
        <v>128</v>
      </c>
      <c r="F119" s="451">
        <f>F120</f>
        <v>13367.2</v>
      </c>
      <c r="G119" s="451">
        <f>G120</f>
        <v>13367.2</v>
      </c>
    </row>
    <row r="120" spans="1:7" ht="31.5" x14ac:dyDescent="0.25">
      <c r="A120" s="29" t="s">
        <v>129</v>
      </c>
      <c r="B120" s="461" t="s">
        <v>118</v>
      </c>
      <c r="C120" s="461" t="s">
        <v>120</v>
      </c>
      <c r="D120" s="461" t="s">
        <v>860</v>
      </c>
      <c r="E120" s="461" t="s">
        <v>130</v>
      </c>
      <c r="F120" s="451">
        <f>'пр.6.1.ведом.22-23 (2)'!G118+'пр.6.1.ведом.22-23 (2)'!G17</f>
        <v>13367.2</v>
      </c>
      <c r="G120" s="451">
        <f>'пр.6.1.ведом.22-23 (2)'!H118+'пр.6.1.ведом.22-23 (2)'!H17</f>
        <v>13367.2</v>
      </c>
    </row>
    <row r="121" spans="1:7" ht="31.5" x14ac:dyDescent="0.25">
      <c r="A121" s="29" t="s">
        <v>131</v>
      </c>
      <c r="B121" s="461" t="s">
        <v>118</v>
      </c>
      <c r="C121" s="461" t="s">
        <v>120</v>
      </c>
      <c r="D121" s="461" t="s">
        <v>860</v>
      </c>
      <c r="E121" s="461" t="s">
        <v>132</v>
      </c>
      <c r="F121" s="451">
        <f>F122</f>
        <v>977</v>
      </c>
      <c r="G121" s="451">
        <f>G122</f>
        <v>977</v>
      </c>
    </row>
    <row r="122" spans="1:7" ht="47.25" x14ac:dyDescent="0.25">
      <c r="A122" s="29" t="s">
        <v>133</v>
      </c>
      <c r="B122" s="461" t="s">
        <v>118</v>
      </c>
      <c r="C122" s="461" t="s">
        <v>120</v>
      </c>
      <c r="D122" s="461" t="s">
        <v>860</v>
      </c>
      <c r="E122" s="461" t="s">
        <v>134</v>
      </c>
      <c r="F122" s="451">
        <f>'пр.6.1.ведом.22-23 (2)'!G19</f>
        <v>977</v>
      </c>
      <c r="G122" s="451">
        <f>'пр.6.1.ведом.22-23 (2)'!H19</f>
        <v>977</v>
      </c>
    </row>
    <row r="123" spans="1:7" ht="15.75" x14ac:dyDescent="0.25">
      <c r="A123" s="29" t="s">
        <v>135</v>
      </c>
      <c r="B123" s="461" t="s">
        <v>118</v>
      </c>
      <c r="C123" s="461" t="s">
        <v>120</v>
      </c>
      <c r="D123" s="461" t="s">
        <v>860</v>
      </c>
      <c r="E123" s="461" t="s">
        <v>145</v>
      </c>
      <c r="F123" s="451">
        <f>F124</f>
        <v>28</v>
      </c>
      <c r="G123" s="451">
        <f>G124</f>
        <v>28</v>
      </c>
    </row>
    <row r="124" spans="1:7" ht="15.75" x14ac:dyDescent="0.25">
      <c r="A124" s="29" t="s">
        <v>568</v>
      </c>
      <c r="B124" s="461" t="s">
        <v>118</v>
      </c>
      <c r="C124" s="461" t="s">
        <v>120</v>
      </c>
      <c r="D124" s="461" t="s">
        <v>860</v>
      </c>
      <c r="E124" s="461" t="s">
        <v>138</v>
      </c>
      <c r="F124" s="451">
        <f>'пр.6.1.ведом.22-23 (2)'!G21</f>
        <v>28</v>
      </c>
      <c r="G124" s="451">
        <f>'пр.6.1.ведом.22-23 (2)'!H21</f>
        <v>28</v>
      </c>
    </row>
    <row r="125" spans="1:7" ht="47.25" x14ac:dyDescent="0.25">
      <c r="A125" s="458" t="s">
        <v>839</v>
      </c>
      <c r="B125" s="454" t="s">
        <v>118</v>
      </c>
      <c r="C125" s="454" t="s">
        <v>120</v>
      </c>
      <c r="D125" s="454" t="s">
        <v>862</v>
      </c>
      <c r="E125" s="454"/>
      <c r="F125" s="451">
        <f>F126</f>
        <v>466</v>
      </c>
      <c r="G125" s="451">
        <f>G126</f>
        <v>466</v>
      </c>
    </row>
    <row r="126" spans="1:7" ht="94.5" x14ac:dyDescent="0.25">
      <c r="A126" s="458" t="s">
        <v>127</v>
      </c>
      <c r="B126" s="454" t="s">
        <v>118</v>
      </c>
      <c r="C126" s="454" t="s">
        <v>120</v>
      </c>
      <c r="D126" s="454" t="s">
        <v>862</v>
      </c>
      <c r="E126" s="454" t="s">
        <v>128</v>
      </c>
      <c r="F126" s="451">
        <f>F127</f>
        <v>466</v>
      </c>
      <c r="G126" s="451">
        <f>G127</f>
        <v>466</v>
      </c>
    </row>
    <row r="127" spans="1:7" ht="31.5" x14ac:dyDescent="0.25">
      <c r="A127" s="458" t="s">
        <v>129</v>
      </c>
      <c r="B127" s="454" t="s">
        <v>118</v>
      </c>
      <c r="C127" s="454" t="s">
        <v>120</v>
      </c>
      <c r="D127" s="454" t="s">
        <v>862</v>
      </c>
      <c r="E127" s="454" t="s">
        <v>130</v>
      </c>
      <c r="F127" s="451">
        <f>'пр.6.1.ведом.22-23 (2)'!G24+'пр.6.1.ведом.22-23 (2)'!G121</f>
        <v>466</v>
      </c>
      <c r="G127" s="451">
        <f>'пр.6.1.ведом.22-23 (2)'!H24+'пр.6.1.ведом.22-23 (2)'!H121</f>
        <v>466</v>
      </c>
    </row>
    <row r="128" spans="1:7" ht="15.75" hidden="1" customHeight="1" x14ac:dyDescent="0.25">
      <c r="A128" s="456" t="s">
        <v>1148</v>
      </c>
      <c r="B128" s="457" t="s">
        <v>118</v>
      </c>
      <c r="C128" s="457" t="s">
        <v>264</v>
      </c>
      <c r="D128" s="457"/>
      <c r="E128" s="454"/>
      <c r="F128" s="455">
        <f t="shared" ref="F128:G130" si="6">F129</f>
        <v>0</v>
      </c>
      <c r="G128" s="455">
        <f t="shared" si="6"/>
        <v>0</v>
      </c>
    </row>
    <row r="129" spans="1:8" ht="15.75" hidden="1" customHeight="1" x14ac:dyDescent="0.25">
      <c r="A129" s="456" t="s">
        <v>141</v>
      </c>
      <c r="B129" s="457" t="s">
        <v>118</v>
      </c>
      <c r="C129" s="457" t="s">
        <v>264</v>
      </c>
      <c r="D129" s="457" t="s">
        <v>866</v>
      </c>
      <c r="E129" s="454"/>
      <c r="F129" s="455">
        <f t="shared" si="6"/>
        <v>0</v>
      </c>
      <c r="G129" s="455">
        <f t="shared" si="6"/>
        <v>0</v>
      </c>
    </row>
    <row r="130" spans="1:8" ht="31.7" hidden="1" customHeight="1" x14ac:dyDescent="0.25">
      <c r="A130" s="456" t="s">
        <v>870</v>
      </c>
      <c r="B130" s="457" t="s">
        <v>118</v>
      </c>
      <c r="C130" s="457" t="s">
        <v>264</v>
      </c>
      <c r="D130" s="457" t="s">
        <v>865</v>
      </c>
      <c r="E130" s="454"/>
      <c r="F130" s="455">
        <f t="shared" si="6"/>
        <v>0</v>
      </c>
      <c r="G130" s="455">
        <f t="shared" si="6"/>
        <v>0</v>
      </c>
    </row>
    <row r="131" spans="1:8" ht="31.7" hidden="1" customHeight="1" x14ac:dyDescent="0.25">
      <c r="A131" s="45" t="s">
        <v>199</v>
      </c>
      <c r="B131" s="454" t="s">
        <v>118</v>
      </c>
      <c r="C131" s="454" t="s">
        <v>264</v>
      </c>
      <c r="D131" s="454" t="s">
        <v>1147</v>
      </c>
      <c r="E131" s="454"/>
      <c r="F131" s="459">
        <f>F132+F134</f>
        <v>0</v>
      </c>
      <c r="G131" s="459">
        <f>G132+G134</f>
        <v>0</v>
      </c>
    </row>
    <row r="132" spans="1:8" ht="94.7" hidden="1" customHeight="1" x14ac:dyDescent="0.25">
      <c r="A132" s="458" t="s">
        <v>127</v>
      </c>
      <c r="B132" s="454" t="s">
        <v>118</v>
      </c>
      <c r="C132" s="454" t="s">
        <v>264</v>
      </c>
      <c r="D132" s="454" t="s">
        <v>1147</v>
      </c>
      <c r="E132" s="454" t="s">
        <v>128</v>
      </c>
      <c r="F132" s="459">
        <f>F133</f>
        <v>0</v>
      </c>
      <c r="G132" s="459">
        <f>G133</f>
        <v>0</v>
      </c>
    </row>
    <row r="133" spans="1:8" ht="47.25" hidden="1" customHeight="1" x14ac:dyDescent="0.25">
      <c r="A133" s="458" t="s">
        <v>129</v>
      </c>
      <c r="B133" s="454" t="s">
        <v>118</v>
      </c>
      <c r="C133" s="454" t="s">
        <v>264</v>
      </c>
      <c r="D133" s="454" t="s">
        <v>1147</v>
      </c>
      <c r="E133" s="454" t="s">
        <v>130</v>
      </c>
      <c r="F133" s="459">
        <f>'пр.6.1.ведом.22-23 (2)'!G127</f>
        <v>0</v>
      </c>
      <c r="G133" s="459">
        <f>'пр.6.1.ведом.22-23 (2)'!H127</f>
        <v>0</v>
      </c>
    </row>
    <row r="134" spans="1:8" ht="47.25" hidden="1" customHeight="1" x14ac:dyDescent="0.25">
      <c r="A134" s="458" t="s">
        <v>198</v>
      </c>
      <c r="B134" s="454" t="s">
        <v>118</v>
      </c>
      <c r="C134" s="454" t="s">
        <v>264</v>
      </c>
      <c r="D134" s="454" t="s">
        <v>1147</v>
      </c>
      <c r="E134" s="454" t="s">
        <v>132</v>
      </c>
      <c r="F134" s="459">
        <f>F135</f>
        <v>0</v>
      </c>
      <c r="G134" s="459">
        <f>G135</f>
        <v>0</v>
      </c>
    </row>
    <row r="135" spans="1:8" ht="47.25" hidden="1" customHeight="1" x14ac:dyDescent="0.25">
      <c r="A135" s="458" t="s">
        <v>133</v>
      </c>
      <c r="B135" s="454" t="s">
        <v>118</v>
      </c>
      <c r="C135" s="454" t="s">
        <v>264</v>
      </c>
      <c r="D135" s="454" t="s">
        <v>1147</v>
      </c>
      <c r="E135" s="454" t="s">
        <v>134</v>
      </c>
      <c r="F135" s="459">
        <f>'пр.6.1.ведом.22-23 (2)'!G129</f>
        <v>0</v>
      </c>
      <c r="G135" s="459">
        <f>'пр.6.1.ведом.22-23 (2)'!H129</f>
        <v>0</v>
      </c>
    </row>
    <row r="136" spans="1:8" ht="15.75" x14ac:dyDescent="0.25">
      <c r="A136" s="462" t="s">
        <v>139</v>
      </c>
      <c r="B136" s="7" t="s">
        <v>118</v>
      </c>
      <c r="C136" s="7" t="s">
        <v>140</v>
      </c>
      <c r="D136" s="7"/>
      <c r="E136" s="7"/>
      <c r="F136" s="450">
        <f>F137+F168+F182+F199+F208+F213+F218+F177</f>
        <v>52818.200000000004</v>
      </c>
      <c r="G136" s="450">
        <f>G137+G168+G182+G199+G208+G213+G218+G177</f>
        <v>53161.200000000004</v>
      </c>
    </row>
    <row r="137" spans="1:8" ht="15.75" x14ac:dyDescent="0.25">
      <c r="A137" s="456" t="s">
        <v>141</v>
      </c>
      <c r="B137" s="457" t="s">
        <v>118</v>
      </c>
      <c r="C137" s="457" t="s">
        <v>140</v>
      </c>
      <c r="D137" s="457" t="s">
        <v>866</v>
      </c>
      <c r="E137" s="457"/>
      <c r="F137" s="450">
        <f>F138+F149+F159</f>
        <v>52313.200000000004</v>
      </c>
      <c r="G137" s="450">
        <f>G138+G149+G159</f>
        <v>52313.200000000004</v>
      </c>
    </row>
    <row r="138" spans="1:8" ht="15.75" x14ac:dyDescent="0.25">
      <c r="A138" s="456" t="s">
        <v>954</v>
      </c>
      <c r="B138" s="457" t="s">
        <v>118</v>
      </c>
      <c r="C138" s="457" t="s">
        <v>140</v>
      </c>
      <c r="D138" s="457" t="s">
        <v>953</v>
      </c>
      <c r="E138" s="457"/>
      <c r="F138" s="362">
        <f>F142+F139</f>
        <v>41282.100000000006</v>
      </c>
      <c r="G138" s="362">
        <f>G142+G139</f>
        <v>41282.100000000006</v>
      </c>
    </row>
    <row r="139" spans="1:8" ht="47.25" x14ac:dyDescent="0.25">
      <c r="A139" s="458" t="s">
        <v>839</v>
      </c>
      <c r="B139" s="454" t="s">
        <v>118</v>
      </c>
      <c r="C139" s="454" t="s">
        <v>140</v>
      </c>
      <c r="D139" s="454" t="s">
        <v>956</v>
      </c>
      <c r="E139" s="454"/>
      <c r="F139" s="451">
        <f>F140</f>
        <v>1072</v>
      </c>
      <c r="G139" s="451">
        <f>G140</f>
        <v>1072</v>
      </c>
      <c r="H139" s="227">
        <f>F139+F142</f>
        <v>41282.100000000006</v>
      </c>
    </row>
    <row r="140" spans="1:8" ht="94.5" x14ac:dyDescent="0.25">
      <c r="A140" s="458" t="s">
        <v>127</v>
      </c>
      <c r="B140" s="454" t="s">
        <v>118</v>
      </c>
      <c r="C140" s="454" t="s">
        <v>140</v>
      </c>
      <c r="D140" s="454" t="s">
        <v>956</v>
      </c>
      <c r="E140" s="454" t="s">
        <v>128</v>
      </c>
      <c r="F140" s="451">
        <f>F141</f>
        <v>1072</v>
      </c>
      <c r="G140" s="451">
        <f>G141</f>
        <v>1072</v>
      </c>
    </row>
    <row r="141" spans="1:8" ht="31.5" x14ac:dyDescent="0.25">
      <c r="A141" s="458" t="s">
        <v>129</v>
      </c>
      <c r="B141" s="454" t="s">
        <v>118</v>
      </c>
      <c r="C141" s="454" t="s">
        <v>140</v>
      </c>
      <c r="D141" s="454" t="s">
        <v>956</v>
      </c>
      <c r="E141" s="454" t="s">
        <v>209</v>
      </c>
      <c r="F141" s="451">
        <f>'пр.6.1.ведом.22-23 (2)'!G838</f>
        <v>1072</v>
      </c>
      <c r="G141" s="451">
        <f>'пр.6.1.ведом.22-23 (2)'!H838</f>
        <v>1072</v>
      </c>
    </row>
    <row r="142" spans="1:8" ht="31.5" x14ac:dyDescent="0.25">
      <c r="A142" s="458" t="s">
        <v>801</v>
      </c>
      <c r="B142" s="454" t="s">
        <v>118</v>
      </c>
      <c r="C142" s="454" t="s">
        <v>140</v>
      </c>
      <c r="D142" s="454" t="s">
        <v>955</v>
      </c>
      <c r="E142" s="454"/>
      <c r="F142" s="451">
        <f>F143+F145+F147</f>
        <v>40210.100000000006</v>
      </c>
      <c r="G142" s="451">
        <f>G143+G145+G147</f>
        <v>40210.100000000006</v>
      </c>
    </row>
    <row r="143" spans="1:8" ht="94.5" x14ac:dyDescent="0.25">
      <c r="A143" s="458" t="s">
        <v>127</v>
      </c>
      <c r="B143" s="454" t="s">
        <v>118</v>
      </c>
      <c r="C143" s="454" t="s">
        <v>140</v>
      </c>
      <c r="D143" s="454" t="s">
        <v>955</v>
      </c>
      <c r="E143" s="454" t="s">
        <v>128</v>
      </c>
      <c r="F143" s="451">
        <f>F144</f>
        <v>32825.800000000003</v>
      </c>
      <c r="G143" s="451">
        <f>G144</f>
        <v>32825.800000000003</v>
      </c>
    </row>
    <row r="144" spans="1:8" ht="31.5" x14ac:dyDescent="0.25">
      <c r="A144" s="46" t="s">
        <v>342</v>
      </c>
      <c r="B144" s="454" t="s">
        <v>118</v>
      </c>
      <c r="C144" s="454" t="s">
        <v>140</v>
      </c>
      <c r="D144" s="454" t="s">
        <v>955</v>
      </c>
      <c r="E144" s="454" t="s">
        <v>209</v>
      </c>
      <c r="F144" s="451">
        <f>'пр.6.1.ведом.22-23 (2)'!G841</f>
        <v>32825.800000000003</v>
      </c>
      <c r="G144" s="451">
        <f>'пр.6.1.ведом.22-23 (2)'!H841</f>
        <v>32825.800000000003</v>
      </c>
    </row>
    <row r="145" spans="1:8" ht="31.5" x14ac:dyDescent="0.25">
      <c r="A145" s="458" t="s">
        <v>131</v>
      </c>
      <c r="B145" s="454" t="s">
        <v>118</v>
      </c>
      <c r="C145" s="454" t="s">
        <v>140</v>
      </c>
      <c r="D145" s="454" t="s">
        <v>955</v>
      </c>
      <c r="E145" s="454" t="s">
        <v>132</v>
      </c>
      <c r="F145" s="451">
        <f>F146</f>
        <v>6963.3</v>
      </c>
      <c r="G145" s="451">
        <f>G146</f>
        <v>6963.3</v>
      </c>
    </row>
    <row r="146" spans="1:8" ht="47.25" x14ac:dyDescent="0.25">
      <c r="A146" s="458" t="s">
        <v>133</v>
      </c>
      <c r="B146" s="454" t="s">
        <v>118</v>
      </c>
      <c r="C146" s="454" t="s">
        <v>140</v>
      </c>
      <c r="D146" s="454" t="s">
        <v>955</v>
      </c>
      <c r="E146" s="454" t="s">
        <v>134</v>
      </c>
      <c r="F146" s="451">
        <f>'пр.6.1.ведом.22-23 (2)'!G843</f>
        <v>6963.3</v>
      </c>
      <c r="G146" s="451">
        <f>'пр.6.1.ведом.22-23 (2)'!H843</f>
        <v>6963.3</v>
      </c>
    </row>
    <row r="147" spans="1:8" ht="15.75" x14ac:dyDescent="0.25">
      <c r="A147" s="458" t="s">
        <v>135</v>
      </c>
      <c r="B147" s="454" t="s">
        <v>118</v>
      </c>
      <c r="C147" s="454" t="s">
        <v>140</v>
      </c>
      <c r="D147" s="454" t="s">
        <v>955</v>
      </c>
      <c r="E147" s="454" t="s">
        <v>145</v>
      </c>
      <c r="F147" s="451">
        <f>F148</f>
        <v>421</v>
      </c>
      <c r="G147" s="451">
        <f>G148</f>
        <v>421</v>
      </c>
    </row>
    <row r="148" spans="1:8" ht="15.75" x14ac:dyDescent="0.25">
      <c r="A148" s="458" t="s">
        <v>704</v>
      </c>
      <c r="B148" s="454" t="s">
        <v>118</v>
      </c>
      <c r="C148" s="454" t="s">
        <v>140</v>
      </c>
      <c r="D148" s="454" t="s">
        <v>955</v>
      </c>
      <c r="E148" s="454" t="s">
        <v>138</v>
      </c>
      <c r="F148" s="451">
        <f>'пр.6.1.ведом.22-23 (2)'!G845</f>
        <v>421</v>
      </c>
      <c r="G148" s="451">
        <f>'пр.6.1.ведом.22-23 (2)'!H845</f>
        <v>421</v>
      </c>
    </row>
    <row r="149" spans="1:8" ht="31.5" x14ac:dyDescent="0.25">
      <c r="A149" s="456" t="s">
        <v>870</v>
      </c>
      <c r="B149" s="457" t="s">
        <v>118</v>
      </c>
      <c r="C149" s="457" t="s">
        <v>140</v>
      </c>
      <c r="D149" s="457" t="s">
        <v>865</v>
      </c>
      <c r="E149" s="457"/>
      <c r="F149" s="450">
        <f>F150+F156</f>
        <v>5202.1000000000004</v>
      </c>
      <c r="G149" s="450">
        <f>G150+G156</f>
        <v>5202.1000000000004</v>
      </c>
    </row>
    <row r="150" spans="1:8" ht="47.25" x14ac:dyDescent="0.25">
      <c r="A150" s="458" t="s">
        <v>388</v>
      </c>
      <c r="B150" s="454" t="s">
        <v>118</v>
      </c>
      <c r="C150" s="454" t="s">
        <v>140</v>
      </c>
      <c r="D150" s="454" t="s">
        <v>1011</v>
      </c>
      <c r="E150" s="454"/>
      <c r="F150" s="451">
        <f>F151</f>
        <v>5202.1000000000004</v>
      </c>
      <c r="G150" s="451">
        <f>G151</f>
        <v>5202.1000000000004</v>
      </c>
    </row>
    <row r="151" spans="1:8" ht="31.5" x14ac:dyDescent="0.25">
      <c r="A151" s="458" t="s">
        <v>131</v>
      </c>
      <c r="B151" s="454" t="s">
        <v>118</v>
      </c>
      <c r="C151" s="454" t="s">
        <v>140</v>
      </c>
      <c r="D151" s="454" t="s">
        <v>1011</v>
      </c>
      <c r="E151" s="454" t="s">
        <v>132</v>
      </c>
      <c r="F151" s="451">
        <f>F152</f>
        <v>5202.1000000000004</v>
      </c>
      <c r="G151" s="451">
        <f>G152</f>
        <v>5202.1000000000004</v>
      </c>
    </row>
    <row r="152" spans="1:8" ht="47.25" x14ac:dyDescent="0.25">
      <c r="A152" s="458" t="s">
        <v>133</v>
      </c>
      <c r="B152" s="454" t="s">
        <v>118</v>
      </c>
      <c r="C152" s="454" t="s">
        <v>140</v>
      </c>
      <c r="D152" s="454" t="s">
        <v>1011</v>
      </c>
      <c r="E152" s="454" t="s">
        <v>134</v>
      </c>
      <c r="F152" s="451">
        <f>'пр.6.1.ведом.22-23 (2)'!G512</f>
        <v>5202.1000000000004</v>
      </c>
      <c r="G152" s="451">
        <f>'пр.6.1.ведом.22-23 (2)'!H512</f>
        <v>5202.1000000000004</v>
      </c>
    </row>
    <row r="153" spans="1:8" ht="47.25" hidden="1" x14ac:dyDescent="0.25">
      <c r="A153" s="458" t="s">
        <v>931</v>
      </c>
      <c r="B153" s="454" t="s">
        <v>118</v>
      </c>
      <c r="C153" s="454" t="s">
        <v>140</v>
      </c>
      <c r="D153" s="454" t="s">
        <v>1012</v>
      </c>
      <c r="E153" s="454"/>
      <c r="F153" s="451">
        <f>'[1]Пр.4 Рд,пр, ЦС,ВР 21'!F155</f>
        <v>0</v>
      </c>
      <c r="G153" s="451">
        <f t="shared" ref="G153:G202" si="7">F153</f>
        <v>0</v>
      </c>
    </row>
    <row r="154" spans="1:8" ht="31.5" hidden="1" x14ac:dyDescent="0.25">
      <c r="A154" s="458" t="s">
        <v>131</v>
      </c>
      <c r="B154" s="454" t="s">
        <v>118</v>
      </c>
      <c r="C154" s="454" t="s">
        <v>140</v>
      </c>
      <c r="D154" s="454" t="s">
        <v>1012</v>
      </c>
      <c r="E154" s="454" t="s">
        <v>132</v>
      </c>
      <c r="F154" s="451">
        <f>'[1]Пр.4 Рд,пр, ЦС,ВР 21'!F156</f>
        <v>0</v>
      </c>
      <c r="G154" s="451">
        <f t="shared" si="7"/>
        <v>0</v>
      </c>
    </row>
    <row r="155" spans="1:8" ht="47.25" hidden="1" x14ac:dyDescent="0.25">
      <c r="A155" s="458" t="s">
        <v>133</v>
      </c>
      <c r="B155" s="454" t="s">
        <v>118</v>
      </c>
      <c r="C155" s="454" t="s">
        <v>140</v>
      </c>
      <c r="D155" s="454" t="s">
        <v>1012</v>
      </c>
      <c r="E155" s="454" t="s">
        <v>134</v>
      </c>
      <c r="F155" s="451">
        <f>'[1]Пр.4 Рд,пр, ЦС,ВР 21'!F157</f>
        <v>0</v>
      </c>
      <c r="G155" s="451">
        <f t="shared" si="7"/>
        <v>0</v>
      </c>
    </row>
    <row r="156" spans="1:8" ht="15.75" hidden="1" x14ac:dyDescent="0.25">
      <c r="A156" s="458" t="s">
        <v>1138</v>
      </c>
      <c r="B156" s="454" t="s">
        <v>118</v>
      </c>
      <c r="C156" s="454" t="s">
        <v>140</v>
      </c>
      <c r="D156" s="454" t="s">
        <v>1139</v>
      </c>
      <c r="E156" s="454"/>
      <c r="F156" s="459">
        <f>F157</f>
        <v>0</v>
      </c>
      <c r="G156" s="459">
        <f>G157</f>
        <v>0</v>
      </c>
    </row>
    <row r="157" spans="1:8" ht="15.75" hidden="1" x14ac:dyDescent="0.25">
      <c r="A157" s="458" t="s">
        <v>135</v>
      </c>
      <c r="B157" s="454" t="s">
        <v>118</v>
      </c>
      <c r="C157" s="454" t="s">
        <v>140</v>
      </c>
      <c r="D157" s="454" t="s">
        <v>1139</v>
      </c>
      <c r="E157" s="454" t="s">
        <v>145</v>
      </c>
      <c r="F157" s="459">
        <f>F158</f>
        <v>0</v>
      </c>
      <c r="G157" s="459">
        <f>G158</f>
        <v>0</v>
      </c>
    </row>
    <row r="158" spans="1:8" ht="15.75" hidden="1" x14ac:dyDescent="0.25">
      <c r="A158" s="458" t="s">
        <v>1138</v>
      </c>
      <c r="B158" s="454" t="s">
        <v>118</v>
      </c>
      <c r="C158" s="454" t="s">
        <v>140</v>
      </c>
      <c r="D158" s="454" t="s">
        <v>1139</v>
      </c>
      <c r="E158" s="454" t="s">
        <v>1140</v>
      </c>
      <c r="F158" s="459">
        <f>'пр.6.1.ведом.22-23 (2)'!G30</f>
        <v>0</v>
      </c>
      <c r="G158" s="459">
        <f>'пр.6.1.ведом.22-23 (2)'!H30</f>
        <v>0</v>
      </c>
    </row>
    <row r="159" spans="1:8" ht="31.5" x14ac:dyDescent="0.25">
      <c r="A159" s="456" t="s">
        <v>922</v>
      </c>
      <c r="B159" s="457" t="s">
        <v>118</v>
      </c>
      <c r="C159" s="457" t="s">
        <v>140</v>
      </c>
      <c r="D159" s="457" t="s">
        <v>867</v>
      </c>
      <c r="E159" s="457"/>
      <c r="F159" s="450">
        <f>F160+F165</f>
        <v>5829</v>
      </c>
      <c r="G159" s="450">
        <f>G160+G165</f>
        <v>5829</v>
      </c>
    </row>
    <row r="160" spans="1:8" ht="31.5" x14ac:dyDescent="0.25">
      <c r="A160" s="458" t="s">
        <v>928</v>
      </c>
      <c r="B160" s="454" t="s">
        <v>118</v>
      </c>
      <c r="C160" s="454" t="s">
        <v>140</v>
      </c>
      <c r="D160" s="454" t="s">
        <v>868</v>
      </c>
      <c r="E160" s="454"/>
      <c r="F160" s="451">
        <f>F161+F163</f>
        <v>5701</v>
      </c>
      <c r="G160" s="451">
        <f>G161+G163</f>
        <v>5701</v>
      </c>
      <c r="H160" s="227">
        <f>F160+F165</f>
        <v>5829</v>
      </c>
    </row>
    <row r="161" spans="1:7" ht="94.5" x14ac:dyDescent="0.25">
      <c r="A161" s="458" t="s">
        <v>127</v>
      </c>
      <c r="B161" s="454" t="s">
        <v>118</v>
      </c>
      <c r="C161" s="454" t="s">
        <v>140</v>
      </c>
      <c r="D161" s="454" t="s">
        <v>868</v>
      </c>
      <c r="E161" s="454" t="s">
        <v>128</v>
      </c>
      <c r="F161" s="451">
        <f>F162</f>
        <v>4501</v>
      </c>
      <c r="G161" s="451">
        <f>G162</f>
        <v>4501</v>
      </c>
    </row>
    <row r="162" spans="1:7" ht="31.5" x14ac:dyDescent="0.25">
      <c r="A162" s="458" t="s">
        <v>208</v>
      </c>
      <c r="B162" s="454" t="s">
        <v>118</v>
      </c>
      <c r="C162" s="454" t="s">
        <v>140</v>
      </c>
      <c r="D162" s="454" t="s">
        <v>868</v>
      </c>
      <c r="E162" s="454" t="s">
        <v>209</v>
      </c>
      <c r="F162" s="451">
        <f>'пр.6.1.ведом.22-23 (2)'!G135</f>
        <v>4501</v>
      </c>
      <c r="G162" s="451">
        <f>'пр.6.1.ведом.22-23 (2)'!H135</f>
        <v>4501</v>
      </c>
    </row>
    <row r="163" spans="1:7" ht="47.25" x14ac:dyDescent="0.25">
      <c r="A163" s="458" t="s">
        <v>198</v>
      </c>
      <c r="B163" s="454" t="s">
        <v>118</v>
      </c>
      <c r="C163" s="454" t="s">
        <v>140</v>
      </c>
      <c r="D163" s="454" t="s">
        <v>868</v>
      </c>
      <c r="E163" s="454" t="s">
        <v>132</v>
      </c>
      <c r="F163" s="451">
        <f>F164</f>
        <v>1200</v>
      </c>
      <c r="G163" s="451">
        <f>G164</f>
        <v>1200</v>
      </c>
    </row>
    <row r="164" spans="1:7" ht="47.25" x14ac:dyDescent="0.25">
      <c r="A164" s="458" t="s">
        <v>133</v>
      </c>
      <c r="B164" s="454" t="s">
        <v>118</v>
      </c>
      <c r="C164" s="454" t="s">
        <v>140</v>
      </c>
      <c r="D164" s="454" t="s">
        <v>868</v>
      </c>
      <c r="E164" s="454" t="s">
        <v>134</v>
      </c>
      <c r="F164" s="451">
        <f>'пр.6.1.ведом.22-23 (2)'!G137</f>
        <v>1200</v>
      </c>
      <c r="G164" s="451">
        <f>'пр.6.1.ведом.22-23 (2)'!H137</f>
        <v>1200</v>
      </c>
    </row>
    <row r="165" spans="1:7" ht="47.25" x14ac:dyDescent="0.25">
      <c r="A165" s="458" t="s">
        <v>839</v>
      </c>
      <c r="B165" s="454" t="s">
        <v>118</v>
      </c>
      <c r="C165" s="454" t="s">
        <v>140</v>
      </c>
      <c r="D165" s="454" t="s">
        <v>869</v>
      </c>
      <c r="E165" s="454"/>
      <c r="F165" s="451">
        <f>F166</f>
        <v>128</v>
      </c>
      <c r="G165" s="451">
        <f>G166</f>
        <v>128</v>
      </c>
    </row>
    <row r="166" spans="1:7" ht="94.5" x14ac:dyDescent="0.25">
      <c r="A166" s="458" t="s">
        <v>127</v>
      </c>
      <c r="B166" s="454" t="s">
        <v>118</v>
      </c>
      <c r="C166" s="454" t="s">
        <v>140</v>
      </c>
      <c r="D166" s="454" t="s">
        <v>869</v>
      </c>
      <c r="E166" s="454" t="s">
        <v>128</v>
      </c>
      <c r="F166" s="451">
        <f>F167</f>
        <v>128</v>
      </c>
      <c r="G166" s="451">
        <f>G167</f>
        <v>128</v>
      </c>
    </row>
    <row r="167" spans="1:7" ht="31.5" x14ac:dyDescent="0.25">
      <c r="A167" s="458" t="s">
        <v>208</v>
      </c>
      <c r="B167" s="454" t="s">
        <v>118</v>
      </c>
      <c r="C167" s="454" t="s">
        <v>140</v>
      </c>
      <c r="D167" s="454" t="s">
        <v>869</v>
      </c>
      <c r="E167" s="454" t="s">
        <v>209</v>
      </c>
      <c r="F167" s="451">
        <f>'пр.6.1.ведом.22-23 (2)'!G140</f>
        <v>128</v>
      </c>
      <c r="G167" s="451">
        <f>'пр.6.1.ведом.22-23 (2)'!H140</f>
        <v>128</v>
      </c>
    </row>
    <row r="168" spans="1:7" ht="47.25" x14ac:dyDescent="0.25">
      <c r="A168" s="456" t="s">
        <v>1375</v>
      </c>
      <c r="B168" s="7" t="s">
        <v>118</v>
      </c>
      <c r="C168" s="7" t="s">
        <v>140</v>
      </c>
      <c r="D168" s="7" t="s">
        <v>344</v>
      </c>
      <c r="E168" s="7"/>
      <c r="F168" s="450">
        <f t="shared" ref="F168:G172" si="8">F169</f>
        <v>200</v>
      </c>
      <c r="G168" s="450">
        <f t="shared" si="8"/>
        <v>500</v>
      </c>
    </row>
    <row r="169" spans="1:7" ht="94.5" x14ac:dyDescent="0.25">
      <c r="A169" s="462" t="s">
        <v>1382</v>
      </c>
      <c r="B169" s="7" t="s">
        <v>118</v>
      </c>
      <c r="C169" s="7" t="s">
        <v>140</v>
      </c>
      <c r="D169" s="7" t="s">
        <v>359</v>
      </c>
      <c r="E169" s="7"/>
      <c r="F169" s="450">
        <f t="shared" si="8"/>
        <v>200</v>
      </c>
      <c r="G169" s="450">
        <f t="shared" si="8"/>
        <v>500</v>
      </c>
    </row>
    <row r="170" spans="1:7" ht="63" x14ac:dyDescent="0.25">
      <c r="A170" s="245" t="s">
        <v>1045</v>
      </c>
      <c r="B170" s="7" t="s">
        <v>118</v>
      </c>
      <c r="C170" s="7" t="s">
        <v>140</v>
      </c>
      <c r="D170" s="7" t="s">
        <v>909</v>
      </c>
      <c r="E170" s="7"/>
      <c r="F170" s="450">
        <f t="shared" si="8"/>
        <v>200</v>
      </c>
      <c r="G170" s="450">
        <f t="shared" si="8"/>
        <v>500</v>
      </c>
    </row>
    <row r="171" spans="1:7" ht="31.5" x14ac:dyDescent="0.25">
      <c r="A171" s="98" t="s">
        <v>1096</v>
      </c>
      <c r="B171" s="461" t="s">
        <v>118</v>
      </c>
      <c r="C171" s="461" t="s">
        <v>140</v>
      </c>
      <c r="D171" s="461" t="s">
        <v>1199</v>
      </c>
      <c r="E171" s="461"/>
      <c r="F171" s="451">
        <f t="shared" si="8"/>
        <v>200</v>
      </c>
      <c r="G171" s="451">
        <f t="shared" si="8"/>
        <v>500</v>
      </c>
    </row>
    <row r="172" spans="1:7" ht="31.5" x14ac:dyDescent="0.25">
      <c r="A172" s="29" t="s">
        <v>131</v>
      </c>
      <c r="B172" s="461" t="s">
        <v>118</v>
      </c>
      <c r="C172" s="461" t="s">
        <v>140</v>
      </c>
      <c r="D172" s="461" t="s">
        <v>1199</v>
      </c>
      <c r="E172" s="461" t="s">
        <v>132</v>
      </c>
      <c r="F172" s="451">
        <f t="shared" si="8"/>
        <v>200</v>
      </c>
      <c r="G172" s="451">
        <f t="shared" si="8"/>
        <v>500</v>
      </c>
    </row>
    <row r="173" spans="1:7" ht="47.25" x14ac:dyDescent="0.25">
      <c r="A173" s="29" t="s">
        <v>133</v>
      </c>
      <c r="B173" s="461" t="s">
        <v>118</v>
      </c>
      <c r="C173" s="461" t="s">
        <v>140</v>
      </c>
      <c r="D173" s="461" t="s">
        <v>1199</v>
      </c>
      <c r="E173" s="461" t="s">
        <v>134</v>
      </c>
      <c r="F173" s="451">
        <f>'пр.6.1.ведом.22-23 (2)'!G250</f>
        <v>200</v>
      </c>
      <c r="G173" s="451">
        <f>'пр.6.1.ведом.22-23 (2)'!H250</f>
        <v>500</v>
      </c>
    </row>
    <row r="174" spans="1:7" ht="47.25" hidden="1" x14ac:dyDescent="0.25">
      <c r="A174" s="35" t="s">
        <v>886</v>
      </c>
      <c r="B174" s="454" t="s">
        <v>118</v>
      </c>
      <c r="C174" s="454" t="s">
        <v>140</v>
      </c>
      <c r="D174" s="454" t="s">
        <v>1298</v>
      </c>
      <c r="E174" s="457"/>
      <c r="F174" s="451" t="e">
        <f>'[1]Пр.4 Рд,пр, ЦС,ВР 21'!#REF!</f>
        <v>#REF!</v>
      </c>
      <c r="G174" s="451" t="e">
        <f t="shared" si="7"/>
        <v>#REF!</v>
      </c>
    </row>
    <row r="175" spans="1:7" ht="31.5" hidden="1" x14ac:dyDescent="0.25">
      <c r="A175" s="458" t="s">
        <v>131</v>
      </c>
      <c r="B175" s="454" t="s">
        <v>118</v>
      </c>
      <c r="C175" s="454" t="s">
        <v>140</v>
      </c>
      <c r="D175" s="454" t="s">
        <v>1298</v>
      </c>
      <c r="E175" s="454" t="s">
        <v>132</v>
      </c>
      <c r="F175" s="451" t="e">
        <f>'[1]Пр.4 Рд,пр, ЦС,ВР 21'!#REF!</f>
        <v>#REF!</v>
      </c>
      <c r="G175" s="451" t="e">
        <f t="shared" si="7"/>
        <v>#REF!</v>
      </c>
    </row>
    <row r="176" spans="1:7" ht="47.25" hidden="1" x14ac:dyDescent="0.25">
      <c r="A176" s="458" t="s">
        <v>133</v>
      </c>
      <c r="B176" s="454" t="s">
        <v>118</v>
      </c>
      <c r="C176" s="454" t="s">
        <v>140</v>
      </c>
      <c r="D176" s="454" t="s">
        <v>1298</v>
      </c>
      <c r="E176" s="454" t="s">
        <v>134</v>
      </c>
      <c r="F176" s="451" t="e">
        <f>'[1]Пр.4 Рд,пр, ЦС,ВР 21'!#REF!</f>
        <v>#REF!</v>
      </c>
      <c r="G176" s="451" t="e">
        <f t="shared" si="7"/>
        <v>#REF!</v>
      </c>
    </row>
    <row r="177" spans="1:7" ht="63" x14ac:dyDescent="0.25">
      <c r="A177" s="34" t="s">
        <v>1221</v>
      </c>
      <c r="B177" s="457" t="s">
        <v>118</v>
      </c>
      <c r="C177" s="457" t="s">
        <v>140</v>
      </c>
      <c r="D177" s="457" t="s">
        <v>324</v>
      </c>
      <c r="E177" s="457"/>
      <c r="F177" s="455">
        <f>F179</f>
        <v>12</v>
      </c>
      <c r="G177" s="455">
        <f>G179</f>
        <v>40</v>
      </c>
    </row>
    <row r="178" spans="1:7" ht="63" x14ac:dyDescent="0.25">
      <c r="A178" s="34" t="s">
        <v>1025</v>
      </c>
      <c r="B178" s="457" t="s">
        <v>118</v>
      </c>
      <c r="C178" s="457" t="s">
        <v>140</v>
      </c>
      <c r="D178" s="457" t="s">
        <v>934</v>
      </c>
      <c r="E178" s="457"/>
      <c r="F178" s="455">
        <f>F181</f>
        <v>12</v>
      </c>
      <c r="G178" s="455">
        <f>G181</f>
        <v>40</v>
      </c>
    </row>
    <row r="179" spans="1:7" ht="47.25" x14ac:dyDescent="0.25">
      <c r="A179" s="31" t="s">
        <v>1081</v>
      </c>
      <c r="B179" s="454" t="s">
        <v>118</v>
      </c>
      <c r="C179" s="454" t="s">
        <v>140</v>
      </c>
      <c r="D179" s="454" t="s">
        <v>1026</v>
      </c>
      <c r="E179" s="454"/>
      <c r="F179" s="459">
        <f>F180</f>
        <v>12</v>
      </c>
      <c r="G179" s="459">
        <f>G180</f>
        <v>40</v>
      </c>
    </row>
    <row r="180" spans="1:7" ht="31.5" x14ac:dyDescent="0.25">
      <c r="A180" s="458" t="s">
        <v>131</v>
      </c>
      <c r="B180" s="454" t="s">
        <v>118</v>
      </c>
      <c r="C180" s="454" t="s">
        <v>140</v>
      </c>
      <c r="D180" s="454" t="s">
        <v>1026</v>
      </c>
      <c r="E180" s="454" t="s">
        <v>132</v>
      </c>
      <c r="F180" s="459">
        <f>F181</f>
        <v>12</v>
      </c>
      <c r="G180" s="459">
        <f>G181</f>
        <v>40</v>
      </c>
    </row>
    <row r="181" spans="1:7" ht="47.25" x14ac:dyDescent="0.25">
      <c r="A181" s="458" t="s">
        <v>133</v>
      </c>
      <c r="B181" s="454" t="s">
        <v>118</v>
      </c>
      <c r="C181" s="454" t="s">
        <v>140</v>
      </c>
      <c r="D181" s="454" t="s">
        <v>1026</v>
      </c>
      <c r="E181" s="454" t="s">
        <v>134</v>
      </c>
      <c r="F181" s="459">
        <f>'пр.6.1.ведом.22-23 (2)'!G145</f>
        <v>12</v>
      </c>
      <c r="G181" s="459">
        <f>'пр.6.1.ведом.22-23 (2)'!H145</f>
        <v>40</v>
      </c>
    </row>
    <row r="182" spans="1:7" ht="47.25" x14ac:dyDescent="0.25">
      <c r="A182" s="456" t="s">
        <v>1358</v>
      </c>
      <c r="B182" s="457" t="s">
        <v>118</v>
      </c>
      <c r="C182" s="457" t="s">
        <v>140</v>
      </c>
      <c r="D182" s="457" t="s">
        <v>335</v>
      </c>
      <c r="E182" s="457"/>
      <c r="F182" s="59">
        <f>F183</f>
        <v>120</v>
      </c>
      <c r="G182" s="59">
        <f>G183</f>
        <v>120</v>
      </c>
    </row>
    <row r="183" spans="1:7" ht="45" customHeight="1" x14ac:dyDescent="0.25">
      <c r="A183" s="456" t="s">
        <v>1050</v>
      </c>
      <c r="B183" s="457" t="s">
        <v>118</v>
      </c>
      <c r="C183" s="457" t="s">
        <v>140</v>
      </c>
      <c r="D183" s="457" t="s">
        <v>1051</v>
      </c>
      <c r="E183" s="457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454" t="s">
        <v>118</v>
      </c>
      <c r="C184" s="454" t="s">
        <v>140</v>
      </c>
      <c r="D184" s="454" t="s">
        <v>1052</v>
      </c>
      <c r="E184" s="454"/>
      <c r="F184" s="451">
        <f>F185</f>
        <v>100</v>
      </c>
      <c r="G184" s="451">
        <f>G185</f>
        <v>100</v>
      </c>
    </row>
    <row r="185" spans="1:7" ht="31.5" x14ac:dyDescent="0.25">
      <c r="A185" s="458" t="s">
        <v>131</v>
      </c>
      <c r="B185" s="454" t="s">
        <v>118</v>
      </c>
      <c r="C185" s="454" t="s">
        <v>140</v>
      </c>
      <c r="D185" s="454" t="s">
        <v>1052</v>
      </c>
      <c r="E185" s="454" t="s">
        <v>132</v>
      </c>
      <c r="F185" s="451">
        <f>F186</f>
        <v>100</v>
      </c>
      <c r="G185" s="451">
        <f>G186</f>
        <v>100</v>
      </c>
    </row>
    <row r="186" spans="1:7" ht="47.25" x14ac:dyDescent="0.25">
      <c r="A186" s="458" t="s">
        <v>133</v>
      </c>
      <c r="B186" s="454" t="s">
        <v>118</v>
      </c>
      <c r="C186" s="454" t="s">
        <v>140</v>
      </c>
      <c r="D186" s="454" t="s">
        <v>1052</v>
      </c>
      <c r="E186" s="454" t="s">
        <v>134</v>
      </c>
      <c r="F186" s="451">
        <f>'пр.6.1.ведом.22-23 (2)'!G763+'пр.6.1.ведом.22-23 (2)'!G544+'пр.6.1.ведом.22-23 (2)'!G255</f>
        <v>100</v>
      </c>
      <c r="G186" s="451">
        <f>'пр.6.1.ведом.22-23 (2)'!H763+'пр.6.1.ведом.22-23 (2)'!H544+'пр.6.1.ведом.22-23 (2)'!H255</f>
        <v>100</v>
      </c>
    </row>
    <row r="187" spans="1:7" ht="31.5" x14ac:dyDescent="0.25">
      <c r="A187" s="458" t="s">
        <v>338</v>
      </c>
      <c r="B187" s="454" t="s">
        <v>118</v>
      </c>
      <c r="C187" s="454" t="s">
        <v>140</v>
      </c>
      <c r="D187" s="454" t="s">
        <v>1053</v>
      </c>
      <c r="E187" s="454"/>
      <c r="F187" s="451">
        <f>F188</f>
        <v>20</v>
      </c>
      <c r="G187" s="451">
        <f>G188</f>
        <v>20</v>
      </c>
    </row>
    <row r="188" spans="1:7" ht="31.5" x14ac:dyDescent="0.25">
      <c r="A188" s="458" t="s">
        <v>131</v>
      </c>
      <c r="B188" s="454" t="s">
        <v>118</v>
      </c>
      <c r="C188" s="454" t="s">
        <v>140</v>
      </c>
      <c r="D188" s="454" t="s">
        <v>1053</v>
      </c>
      <c r="E188" s="454" t="s">
        <v>132</v>
      </c>
      <c r="F188" s="451">
        <f>F189</f>
        <v>20</v>
      </c>
      <c r="G188" s="451">
        <f>G189</f>
        <v>20</v>
      </c>
    </row>
    <row r="189" spans="1:7" ht="47.25" x14ac:dyDescent="0.25">
      <c r="A189" s="458" t="s">
        <v>133</v>
      </c>
      <c r="B189" s="454" t="s">
        <v>118</v>
      </c>
      <c r="C189" s="454" t="s">
        <v>140</v>
      </c>
      <c r="D189" s="454" t="s">
        <v>1053</v>
      </c>
      <c r="E189" s="454" t="s">
        <v>134</v>
      </c>
      <c r="F189" s="451">
        <f>'пр.6.1.ведом.22-23 (2)'!G264</f>
        <v>20</v>
      </c>
      <c r="G189" s="451">
        <f>'пр.6.1.ведом.22-23 (2)'!H264</f>
        <v>20</v>
      </c>
    </row>
    <row r="190" spans="1:7" ht="63" hidden="1" x14ac:dyDescent="0.25">
      <c r="A190" s="31" t="s">
        <v>771</v>
      </c>
      <c r="B190" s="454" t="s">
        <v>118</v>
      </c>
      <c r="C190" s="454" t="s">
        <v>140</v>
      </c>
      <c r="D190" s="454" t="s">
        <v>1054</v>
      </c>
      <c r="E190" s="454"/>
      <c r="F190" s="451">
        <f>F191</f>
        <v>0</v>
      </c>
      <c r="G190" s="451">
        <f>G191</f>
        <v>0</v>
      </c>
    </row>
    <row r="191" spans="1:7" ht="31.5" hidden="1" x14ac:dyDescent="0.25">
      <c r="A191" s="458" t="s">
        <v>131</v>
      </c>
      <c r="B191" s="454" t="s">
        <v>118</v>
      </c>
      <c r="C191" s="454" t="s">
        <v>140</v>
      </c>
      <c r="D191" s="454" t="s">
        <v>1054</v>
      </c>
      <c r="E191" s="454" t="s">
        <v>132</v>
      </c>
      <c r="F191" s="451">
        <f>F192</f>
        <v>0</v>
      </c>
      <c r="G191" s="451">
        <f>G192</f>
        <v>0</v>
      </c>
    </row>
    <row r="192" spans="1:7" ht="47.25" hidden="1" x14ac:dyDescent="0.25">
      <c r="A192" s="458" t="s">
        <v>133</v>
      </c>
      <c r="B192" s="454" t="s">
        <v>118</v>
      </c>
      <c r="C192" s="454" t="s">
        <v>140</v>
      </c>
      <c r="D192" s="454" t="s">
        <v>1054</v>
      </c>
      <c r="E192" s="454" t="s">
        <v>134</v>
      </c>
      <c r="F192" s="451">
        <f>'пр.6.1.ведом.22-23 (2)'!G258</f>
        <v>0</v>
      </c>
      <c r="G192" s="451">
        <f>'пр.6.1.ведом.22-23 (2)'!H258</f>
        <v>0</v>
      </c>
    </row>
    <row r="193" spans="1:7" ht="31.5" hidden="1" x14ac:dyDescent="0.25">
      <c r="A193" s="458" t="s">
        <v>994</v>
      </c>
      <c r="B193" s="454" t="s">
        <v>118</v>
      </c>
      <c r="C193" s="454" t="s">
        <v>140</v>
      </c>
      <c r="D193" s="454" t="s">
        <v>1055</v>
      </c>
      <c r="E193" s="454"/>
      <c r="F193" s="451">
        <f>F194</f>
        <v>0</v>
      </c>
      <c r="G193" s="451">
        <f>G194</f>
        <v>0</v>
      </c>
    </row>
    <row r="194" spans="1:7" ht="31.5" hidden="1" x14ac:dyDescent="0.25">
      <c r="A194" s="458" t="s">
        <v>131</v>
      </c>
      <c r="B194" s="454" t="s">
        <v>118</v>
      </c>
      <c r="C194" s="454" t="s">
        <v>140</v>
      </c>
      <c r="D194" s="454" t="s">
        <v>1055</v>
      </c>
      <c r="E194" s="454" t="s">
        <v>132</v>
      </c>
      <c r="F194" s="451">
        <f>F195</f>
        <v>0</v>
      </c>
      <c r="G194" s="451">
        <f>G195</f>
        <v>0</v>
      </c>
    </row>
    <row r="195" spans="1:7" ht="47.25" hidden="1" x14ac:dyDescent="0.25">
      <c r="A195" s="458" t="s">
        <v>133</v>
      </c>
      <c r="B195" s="454" t="s">
        <v>118</v>
      </c>
      <c r="C195" s="454" t="s">
        <v>140</v>
      </c>
      <c r="D195" s="454" t="s">
        <v>1055</v>
      </c>
      <c r="E195" s="454" t="s">
        <v>134</v>
      </c>
      <c r="F195" s="451">
        <f>'пр.6.1.ведом.22-23 (2)'!G261</f>
        <v>0</v>
      </c>
      <c r="G195" s="451">
        <f>'пр.6.1.ведом.22-23 (2)'!H261</f>
        <v>0</v>
      </c>
    </row>
    <row r="196" spans="1:7" ht="31.5" hidden="1" x14ac:dyDescent="0.25">
      <c r="A196" s="31" t="s">
        <v>772</v>
      </c>
      <c r="B196" s="454" t="s">
        <v>118</v>
      </c>
      <c r="C196" s="454" t="s">
        <v>140</v>
      </c>
      <c r="D196" s="454" t="s">
        <v>1056</v>
      </c>
      <c r="E196" s="454"/>
      <c r="F196" s="451">
        <f>F197</f>
        <v>0</v>
      </c>
      <c r="G196" s="451">
        <f>G197</f>
        <v>0</v>
      </c>
    </row>
    <row r="197" spans="1:7" ht="31.5" hidden="1" x14ac:dyDescent="0.25">
      <c r="A197" s="458" t="s">
        <v>131</v>
      </c>
      <c r="B197" s="454" t="s">
        <v>118</v>
      </c>
      <c r="C197" s="454" t="s">
        <v>140</v>
      </c>
      <c r="D197" s="454" t="s">
        <v>1056</v>
      </c>
      <c r="E197" s="454" t="s">
        <v>132</v>
      </c>
      <c r="F197" s="451">
        <f>F198</f>
        <v>0</v>
      </c>
      <c r="G197" s="451">
        <f>G198</f>
        <v>0</v>
      </c>
    </row>
    <row r="198" spans="1:7" ht="47.25" hidden="1" x14ac:dyDescent="0.25">
      <c r="A198" s="458" t="s">
        <v>133</v>
      </c>
      <c r="B198" s="454" t="s">
        <v>118</v>
      </c>
      <c r="C198" s="454" t="s">
        <v>140</v>
      </c>
      <c r="D198" s="454" t="s">
        <v>1056</v>
      </c>
      <c r="E198" s="454" t="s">
        <v>134</v>
      </c>
      <c r="F198" s="451">
        <f>'пр.6.1.ведом.22-23 (2)'!G267</f>
        <v>0</v>
      </c>
      <c r="G198" s="451">
        <f>'пр.6.1.ведом.22-23 (2)'!H267</f>
        <v>0</v>
      </c>
    </row>
    <row r="199" spans="1:7" ht="57.2" customHeight="1" x14ac:dyDescent="0.25">
      <c r="A199" s="462" t="s">
        <v>1355</v>
      </c>
      <c r="B199" s="8" t="s">
        <v>118</v>
      </c>
      <c r="C199" s="8" t="s">
        <v>140</v>
      </c>
      <c r="D199" s="457" t="s">
        <v>705</v>
      </c>
      <c r="E199" s="465"/>
      <c r="F199" s="59">
        <f>F200+F204</f>
        <v>48</v>
      </c>
      <c r="G199" s="59">
        <f>G200+G204</f>
        <v>48</v>
      </c>
    </row>
    <row r="200" spans="1:7" ht="47.25" x14ac:dyDescent="0.25">
      <c r="A200" s="206" t="s">
        <v>846</v>
      </c>
      <c r="B200" s="457" t="s">
        <v>118</v>
      </c>
      <c r="C200" s="457" t="s">
        <v>140</v>
      </c>
      <c r="D200" s="457" t="s">
        <v>852</v>
      </c>
      <c r="E200" s="457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454" t="s">
        <v>118</v>
      </c>
      <c r="C201" s="454" t="s">
        <v>140</v>
      </c>
      <c r="D201" s="454" t="s">
        <v>847</v>
      </c>
      <c r="E201" s="454"/>
      <c r="F201" s="451">
        <f>F202</f>
        <v>33</v>
      </c>
      <c r="G201" s="451">
        <f>G202</f>
        <v>33</v>
      </c>
    </row>
    <row r="202" spans="1:7" ht="36.75" customHeight="1" x14ac:dyDescent="0.25">
      <c r="A202" s="458" t="s">
        <v>131</v>
      </c>
      <c r="B202" s="454" t="s">
        <v>118</v>
      </c>
      <c r="C202" s="454" t="s">
        <v>140</v>
      </c>
      <c r="D202" s="454" t="s">
        <v>847</v>
      </c>
      <c r="E202" s="454" t="s">
        <v>132</v>
      </c>
      <c r="F202" s="451">
        <f>F203</f>
        <v>33</v>
      </c>
      <c r="G202" s="451">
        <f t="shared" si="7"/>
        <v>33</v>
      </c>
    </row>
    <row r="203" spans="1:7" ht="47.25" x14ac:dyDescent="0.25">
      <c r="A203" s="458" t="s">
        <v>133</v>
      </c>
      <c r="B203" s="454" t="s">
        <v>118</v>
      </c>
      <c r="C203" s="454" t="s">
        <v>140</v>
      </c>
      <c r="D203" s="454" t="s">
        <v>847</v>
      </c>
      <c r="E203" s="454" t="s">
        <v>134</v>
      </c>
      <c r="F203" s="451">
        <f>'пр.6.1.ведом.22-23 (2)'!G150+'пр.6.1.ведом.22-23 (2)'!G272</f>
        <v>33</v>
      </c>
      <c r="G203" s="451">
        <f>'пр.6.1.ведом.22-23 (2)'!H150+'пр.6.1.ведом.22-23 (2)'!H272</f>
        <v>33</v>
      </c>
    </row>
    <row r="204" spans="1:7" ht="47.25" x14ac:dyDescent="0.25">
      <c r="A204" s="464" t="s">
        <v>1023</v>
      </c>
      <c r="B204" s="457" t="s">
        <v>118</v>
      </c>
      <c r="C204" s="457" t="s">
        <v>140</v>
      </c>
      <c r="D204" s="457" t="s">
        <v>853</v>
      </c>
      <c r="E204" s="465"/>
      <c r="F204" s="59">
        <f t="shared" ref="F204:G206" si="9">F205</f>
        <v>15</v>
      </c>
      <c r="G204" s="59">
        <f t="shared" si="9"/>
        <v>15</v>
      </c>
    </row>
    <row r="205" spans="1:7" ht="31.5" x14ac:dyDescent="0.25">
      <c r="A205" s="98" t="s">
        <v>777</v>
      </c>
      <c r="B205" s="454" t="s">
        <v>118</v>
      </c>
      <c r="C205" s="454" t="s">
        <v>140</v>
      </c>
      <c r="D205" s="454" t="s">
        <v>848</v>
      </c>
      <c r="E205" s="460"/>
      <c r="F205" s="451">
        <f t="shared" si="9"/>
        <v>15</v>
      </c>
      <c r="G205" s="451">
        <f t="shared" si="9"/>
        <v>15</v>
      </c>
    </row>
    <row r="206" spans="1:7" ht="31.5" x14ac:dyDescent="0.25">
      <c r="A206" s="458" t="s">
        <v>131</v>
      </c>
      <c r="B206" s="454" t="s">
        <v>118</v>
      </c>
      <c r="C206" s="454" t="s">
        <v>140</v>
      </c>
      <c r="D206" s="454" t="s">
        <v>848</v>
      </c>
      <c r="E206" s="460" t="s">
        <v>132</v>
      </c>
      <c r="F206" s="451">
        <f t="shared" si="9"/>
        <v>15</v>
      </c>
      <c r="G206" s="451">
        <f t="shared" si="9"/>
        <v>15</v>
      </c>
    </row>
    <row r="207" spans="1:7" ht="47.25" x14ac:dyDescent="0.25">
      <c r="A207" s="458" t="s">
        <v>133</v>
      </c>
      <c r="B207" s="454" t="s">
        <v>118</v>
      </c>
      <c r="C207" s="454" t="s">
        <v>140</v>
      </c>
      <c r="D207" s="454" t="s">
        <v>848</v>
      </c>
      <c r="E207" s="460" t="s">
        <v>134</v>
      </c>
      <c r="F207" s="451">
        <f>'пр.6.1.ведом.22-23 (2)'!G154</f>
        <v>15</v>
      </c>
      <c r="G207" s="451">
        <f>'пр.6.1.ведом.22-23 (2)'!H154</f>
        <v>15</v>
      </c>
    </row>
    <row r="208" spans="1:7" ht="63" hidden="1" x14ac:dyDescent="0.25">
      <c r="A208" s="212" t="s">
        <v>1383</v>
      </c>
      <c r="B208" s="457" t="s">
        <v>118</v>
      </c>
      <c r="C208" s="457" t="s">
        <v>140</v>
      </c>
      <c r="D208" s="457" t="s">
        <v>782</v>
      </c>
      <c r="E208" s="465"/>
      <c r="F208" s="59">
        <f>F210</f>
        <v>0</v>
      </c>
      <c r="G208" s="59">
        <f>G210</f>
        <v>0</v>
      </c>
    </row>
    <row r="209" spans="1:7" ht="31.5" hidden="1" x14ac:dyDescent="0.25">
      <c r="A209" s="456" t="s">
        <v>930</v>
      </c>
      <c r="B209" s="457" t="s">
        <v>118</v>
      </c>
      <c r="C209" s="457" t="s">
        <v>140</v>
      </c>
      <c r="D209" s="457" t="s">
        <v>1020</v>
      </c>
      <c r="E209" s="465"/>
      <c r="F209" s="59">
        <f t="shared" ref="F209:G211" si="10">F210</f>
        <v>0</v>
      </c>
      <c r="G209" s="59">
        <f t="shared" si="10"/>
        <v>0</v>
      </c>
    </row>
    <row r="210" spans="1:7" ht="31.5" hidden="1" x14ac:dyDescent="0.25">
      <c r="A210" s="182" t="s">
        <v>790</v>
      </c>
      <c r="B210" s="454" t="s">
        <v>118</v>
      </c>
      <c r="C210" s="454" t="s">
        <v>140</v>
      </c>
      <c r="D210" s="454" t="s">
        <v>1021</v>
      </c>
      <c r="E210" s="460"/>
      <c r="F210" s="451">
        <f t="shared" si="10"/>
        <v>0</v>
      </c>
      <c r="G210" s="451">
        <f t="shared" si="10"/>
        <v>0</v>
      </c>
    </row>
    <row r="211" spans="1:7" ht="31.5" hidden="1" x14ac:dyDescent="0.25">
      <c r="A211" s="182" t="s">
        <v>131</v>
      </c>
      <c r="B211" s="454" t="s">
        <v>118</v>
      </c>
      <c r="C211" s="454" t="s">
        <v>140</v>
      </c>
      <c r="D211" s="454" t="s">
        <v>1021</v>
      </c>
      <c r="E211" s="460" t="s">
        <v>132</v>
      </c>
      <c r="F211" s="451">
        <f t="shared" si="10"/>
        <v>0</v>
      </c>
      <c r="G211" s="451">
        <f t="shared" si="10"/>
        <v>0</v>
      </c>
    </row>
    <row r="212" spans="1:7" ht="47.25" hidden="1" x14ac:dyDescent="0.25">
      <c r="A212" s="182" t="s">
        <v>133</v>
      </c>
      <c r="B212" s="454" t="s">
        <v>118</v>
      </c>
      <c r="C212" s="454" t="s">
        <v>140</v>
      </c>
      <c r="D212" s="454" t="s">
        <v>1021</v>
      </c>
      <c r="E212" s="460" t="s">
        <v>134</v>
      </c>
      <c r="F212" s="451">
        <f>'пр.6.1.ведом.22-23 (2)'!G520</f>
        <v>0</v>
      </c>
      <c r="G212" s="451">
        <f>'пр.6.1.ведом.22-23 (2)'!H520</f>
        <v>0</v>
      </c>
    </row>
    <row r="213" spans="1:7" ht="78.75" x14ac:dyDescent="0.25">
      <c r="A213" s="462" t="s">
        <v>1345</v>
      </c>
      <c r="B213" s="8" t="s">
        <v>118</v>
      </c>
      <c r="C213" s="8" t="s">
        <v>140</v>
      </c>
      <c r="D213" s="500" t="s">
        <v>817</v>
      </c>
      <c r="E213" s="8"/>
      <c r="F213" s="59">
        <f t="shared" ref="F213:F216" si="11">F214</f>
        <v>45</v>
      </c>
      <c r="G213" s="59">
        <f>G214</f>
        <v>50</v>
      </c>
    </row>
    <row r="214" spans="1:7" ht="47.25" x14ac:dyDescent="0.25">
      <c r="A214" s="208" t="s">
        <v>854</v>
      </c>
      <c r="B214" s="8" t="s">
        <v>118</v>
      </c>
      <c r="C214" s="8" t="s">
        <v>140</v>
      </c>
      <c r="D214" s="193" t="s">
        <v>1076</v>
      </c>
      <c r="E214" s="8"/>
      <c r="F214" s="59">
        <f t="shared" si="11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451">
        <f t="shared" si="11"/>
        <v>45</v>
      </c>
      <c r="G215" s="451">
        <f>G216</f>
        <v>50</v>
      </c>
    </row>
    <row r="216" spans="1:7" ht="31.5" x14ac:dyDescent="0.25">
      <c r="A216" s="458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451">
        <f t="shared" si="11"/>
        <v>45</v>
      </c>
      <c r="G216" s="451">
        <f>G217</f>
        <v>50</v>
      </c>
    </row>
    <row r="217" spans="1:7" ht="47.25" x14ac:dyDescent="0.25">
      <c r="A217" s="458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451">
        <f>'пр.6.1.ведом.22-23 (2)'!G159</f>
        <v>45</v>
      </c>
      <c r="G217" s="451">
        <f>'пр.6.1.ведом.22-23 (2)'!H159</f>
        <v>50</v>
      </c>
    </row>
    <row r="218" spans="1:7" ht="62.45" customHeight="1" x14ac:dyDescent="0.25">
      <c r="A218" s="462" t="s">
        <v>1346</v>
      </c>
      <c r="B218" s="8" t="s">
        <v>118</v>
      </c>
      <c r="C218" s="8" t="s">
        <v>140</v>
      </c>
      <c r="D218" s="193" t="s">
        <v>818</v>
      </c>
      <c r="E218" s="8"/>
      <c r="F218" s="450">
        <f>F219</f>
        <v>80</v>
      </c>
      <c r="G218" s="450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3" t="s">
        <v>864</v>
      </c>
      <c r="E219" s="8"/>
      <c r="F219" s="450">
        <f t="shared" ref="F219:G219" si="12">F220</f>
        <v>80</v>
      </c>
      <c r="G219" s="450">
        <f t="shared" si="12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451">
        <f>F221</f>
        <v>80</v>
      </c>
      <c r="G220" s="451">
        <f>G221</f>
        <v>90</v>
      </c>
    </row>
    <row r="221" spans="1:7" ht="31.5" x14ac:dyDescent="0.25">
      <c r="A221" s="458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451">
        <f>F222</f>
        <v>80</v>
      </c>
      <c r="G221" s="451">
        <f>G222</f>
        <v>90</v>
      </c>
    </row>
    <row r="222" spans="1:7" ht="47.25" x14ac:dyDescent="0.25">
      <c r="A222" s="458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451">
        <f>'пр.6.1.ведом.22-23 (2)'!G164</f>
        <v>80</v>
      </c>
      <c r="G222" s="451">
        <f>'пр.6.1.ведом.22-23 (2)'!H164</f>
        <v>90</v>
      </c>
    </row>
    <row r="223" spans="1:7" ht="15.75" hidden="1" x14ac:dyDescent="0.25">
      <c r="A223" s="456" t="s">
        <v>212</v>
      </c>
      <c r="B223" s="457" t="s">
        <v>213</v>
      </c>
      <c r="C223" s="457"/>
      <c r="D223" s="457"/>
      <c r="E223" s="457"/>
      <c r="F223" s="450">
        <f t="shared" ref="F223:G226" si="13">F224</f>
        <v>0</v>
      </c>
      <c r="G223" s="450">
        <f t="shared" si="13"/>
        <v>0</v>
      </c>
    </row>
    <row r="224" spans="1:7" ht="31.5" hidden="1" x14ac:dyDescent="0.25">
      <c r="A224" s="456" t="s">
        <v>218</v>
      </c>
      <c r="B224" s="457" t="s">
        <v>213</v>
      </c>
      <c r="C224" s="457" t="s">
        <v>219</v>
      </c>
      <c r="D224" s="457"/>
      <c r="E224" s="457"/>
      <c r="F224" s="450">
        <f t="shared" si="13"/>
        <v>0</v>
      </c>
      <c r="G224" s="450">
        <f t="shared" si="13"/>
        <v>0</v>
      </c>
    </row>
    <row r="225" spans="1:7" ht="15.75" hidden="1" x14ac:dyDescent="0.25">
      <c r="A225" s="456" t="s">
        <v>141</v>
      </c>
      <c r="B225" s="457" t="s">
        <v>213</v>
      </c>
      <c r="C225" s="457" t="s">
        <v>219</v>
      </c>
      <c r="D225" s="457" t="s">
        <v>866</v>
      </c>
      <c r="E225" s="457"/>
      <c r="F225" s="450">
        <f t="shared" si="13"/>
        <v>0</v>
      </c>
      <c r="G225" s="450">
        <f t="shared" si="13"/>
        <v>0</v>
      </c>
    </row>
    <row r="226" spans="1:7" ht="31.5" hidden="1" x14ac:dyDescent="0.25">
      <c r="A226" s="456" t="s">
        <v>870</v>
      </c>
      <c r="B226" s="457" t="s">
        <v>213</v>
      </c>
      <c r="C226" s="457" t="s">
        <v>219</v>
      </c>
      <c r="D226" s="457" t="s">
        <v>865</v>
      </c>
      <c r="E226" s="457"/>
      <c r="F226" s="450">
        <f t="shared" si="13"/>
        <v>0</v>
      </c>
      <c r="G226" s="450">
        <f t="shared" si="13"/>
        <v>0</v>
      </c>
    </row>
    <row r="227" spans="1:7" ht="16.350000000000001" hidden="1" customHeight="1" x14ac:dyDescent="0.25">
      <c r="A227" s="458" t="s">
        <v>220</v>
      </c>
      <c r="B227" s="454" t="s">
        <v>213</v>
      </c>
      <c r="C227" s="454" t="s">
        <v>219</v>
      </c>
      <c r="D227" s="454" t="s">
        <v>871</v>
      </c>
      <c r="E227" s="454"/>
      <c r="F227" s="451">
        <f>'[1]Пр.4 Рд,пр, ЦС,ВР 21'!F218</f>
        <v>0</v>
      </c>
      <c r="G227" s="451">
        <f t="shared" ref="G227:G282" si="14">F227</f>
        <v>0</v>
      </c>
    </row>
    <row r="228" spans="1:7" ht="47.25" hidden="1" x14ac:dyDescent="0.25">
      <c r="A228" s="458" t="s">
        <v>198</v>
      </c>
      <c r="B228" s="454" t="s">
        <v>213</v>
      </c>
      <c r="C228" s="454" t="s">
        <v>219</v>
      </c>
      <c r="D228" s="454" t="s">
        <v>871</v>
      </c>
      <c r="E228" s="454" t="s">
        <v>132</v>
      </c>
      <c r="F228" s="451">
        <f>'[1]Пр.4 Рд,пр, ЦС,ВР 21'!F219</f>
        <v>0</v>
      </c>
      <c r="G228" s="451">
        <f t="shared" si="14"/>
        <v>0</v>
      </c>
    </row>
    <row r="229" spans="1:7" ht="47.25" hidden="1" x14ac:dyDescent="0.25">
      <c r="A229" s="458" t="s">
        <v>133</v>
      </c>
      <c r="B229" s="454" t="s">
        <v>213</v>
      </c>
      <c r="C229" s="454" t="s">
        <v>219</v>
      </c>
      <c r="D229" s="454" t="s">
        <v>871</v>
      </c>
      <c r="E229" s="454" t="s">
        <v>134</v>
      </c>
      <c r="F229" s="451">
        <f>'[1]Пр.4 Рд,пр, ЦС,ВР 21'!F220</f>
        <v>0</v>
      </c>
      <c r="G229" s="451">
        <f t="shared" si="14"/>
        <v>0</v>
      </c>
    </row>
    <row r="230" spans="1:7" ht="31.5" x14ac:dyDescent="0.25">
      <c r="A230" s="456" t="s">
        <v>222</v>
      </c>
      <c r="B230" s="457" t="s">
        <v>215</v>
      </c>
      <c r="C230" s="457"/>
      <c r="D230" s="457"/>
      <c r="E230" s="457"/>
      <c r="F230" s="450">
        <f t="shared" ref="F230:G231" si="15">F231</f>
        <v>8197.1</v>
      </c>
      <c r="G230" s="450">
        <f t="shared" si="15"/>
        <v>8197.1</v>
      </c>
    </row>
    <row r="231" spans="1:7" ht="63" x14ac:dyDescent="0.25">
      <c r="A231" s="456" t="s">
        <v>1348</v>
      </c>
      <c r="B231" s="457" t="s">
        <v>215</v>
      </c>
      <c r="C231" s="457" t="s">
        <v>244</v>
      </c>
      <c r="D231" s="454"/>
      <c r="E231" s="454"/>
      <c r="F231" s="450">
        <f t="shared" si="15"/>
        <v>8197.1</v>
      </c>
      <c r="G231" s="450">
        <f t="shared" si="15"/>
        <v>8197.1</v>
      </c>
    </row>
    <row r="232" spans="1:7" ht="15.75" x14ac:dyDescent="0.25">
      <c r="A232" s="456" t="s">
        <v>141</v>
      </c>
      <c r="B232" s="457" t="s">
        <v>215</v>
      </c>
      <c r="C232" s="457" t="s">
        <v>244</v>
      </c>
      <c r="D232" s="457" t="s">
        <v>866</v>
      </c>
      <c r="E232" s="457"/>
      <c r="F232" s="450">
        <f>F233+F240</f>
        <v>8197.1</v>
      </c>
      <c r="G232" s="450">
        <f>G233+G240</f>
        <v>8197.1</v>
      </c>
    </row>
    <row r="233" spans="1:7" ht="31.5" x14ac:dyDescent="0.25">
      <c r="A233" s="456" t="s">
        <v>870</v>
      </c>
      <c r="B233" s="457" t="s">
        <v>215</v>
      </c>
      <c r="C233" s="457" t="s">
        <v>244</v>
      </c>
      <c r="D233" s="457" t="s">
        <v>865</v>
      </c>
      <c r="E233" s="457"/>
      <c r="F233" s="450">
        <f>F234+F237</f>
        <v>2089</v>
      </c>
      <c r="G233" s="450">
        <f>G234+G237</f>
        <v>2089</v>
      </c>
    </row>
    <row r="234" spans="1:7" ht="47.25" x14ac:dyDescent="0.25">
      <c r="A234" s="458" t="s">
        <v>224</v>
      </c>
      <c r="B234" s="454" t="s">
        <v>215</v>
      </c>
      <c r="C234" s="454" t="s">
        <v>244</v>
      </c>
      <c r="D234" s="454" t="s">
        <v>875</v>
      </c>
      <c r="E234" s="454"/>
      <c r="F234" s="451">
        <f>F235</f>
        <v>1785</v>
      </c>
      <c r="G234" s="451">
        <f>G235</f>
        <v>1785</v>
      </c>
    </row>
    <row r="235" spans="1:7" ht="35.450000000000003" customHeight="1" x14ac:dyDescent="0.25">
      <c r="A235" s="458" t="s">
        <v>198</v>
      </c>
      <c r="B235" s="454" t="s">
        <v>215</v>
      </c>
      <c r="C235" s="454" t="s">
        <v>244</v>
      </c>
      <c r="D235" s="454" t="s">
        <v>875</v>
      </c>
      <c r="E235" s="454" t="s">
        <v>132</v>
      </c>
      <c r="F235" s="451">
        <f>F236</f>
        <v>1785</v>
      </c>
      <c r="G235" s="451">
        <f>G236</f>
        <v>1785</v>
      </c>
    </row>
    <row r="236" spans="1:7" ht="47.25" x14ac:dyDescent="0.25">
      <c r="A236" s="458" t="s">
        <v>133</v>
      </c>
      <c r="B236" s="454" t="s">
        <v>215</v>
      </c>
      <c r="C236" s="454" t="s">
        <v>244</v>
      </c>
      <c r="D236" s="454" t="s">
        <v>875</v>
      </c>
      <c r="E236" s="454" t="s">
        <v>134</v>
      </c>
      <c r="F236" s="451">
        <f>'пр.6.1.ведом.22-23 (2)'!G178</f>
        <v>1785</v>
      </c>
      <c r="G236" s="451">
        <f>'пр.6.1.ведом.22-23 (2)'!H178</f>
        <v>1785</v>
      </c>
    </row>
    <row r="237" spans="1:7" ht="15.75" x14ac:dyDescent="0.25">
      <c r="A237" s="458" t="s">
        <v>230</v>
      </c>
      <c r="B237" s="454" t="s">
        <v>215</v>
      </c>
      <c r="C237" s="454" t="s">
        <v>244</v>
      </c>
      <c r="D237" s="454" t="s">
        <v>876</v>
      </c>
      <c r="E237" s="454"/>
      <c r="F237" s="451">
        <f>F238</f>
        <v>304</v>
      </c>
      <c r="G237" s="451">
        <f>G238</f>
        <v>304</v>
      </c>
    </row>
    <row r="238" spans="1:7" ht="47.25" x14ac:dyDescent="0.25">
      <c r="A238" s="458" t="s">
        <v>198</v>
      </c>
      <c r="B238" s="454" t="s">
        <v>215</v>
      </c>
      <c r="C238" s="454" t="s">
        <v>244</v>
      </c>
      <c r="D238" s="454" t="s">
        <v>876</v>
      </c>
      <c r="E238" s="454" t="s">
        <v>132</v>
      </c>
      <c r="F238" s="451">
        <f>F239</f>
        <v>304</v>
      </c>
      <c r="G238" s="451">
        <f>G239</f>
        <v>304</v>
      </c>
    </row>
    <row r="239" spans="1:7" ht="47.25" x14ac:dyDescent="0.25">
      <c r="A239" s="458" t="s">
        <v>133</v>
      </c>
      <c r="B239" s="454" t="s">
        <v>215</v>
      </c>
      <c r="C239" s="454" t="s">
        <v>244</v>
      </c>
      <c r="D239" s="454" t="s">
        <v>876</v>
      </c>
      <c r="E239" s="454" t="s">
        <v>134</v>
      </c>
      <c r="F239" s="451">
        <f>'пр.6.1.ведом.22-23 (2)'!G181+'пр.6.1.ведом.22-23 (2)'!G852</f>
        <v>304</v>
      </c>
      <c r="G239" s="451">
        <f>'пр.6.1.ведом.22-23 (2)'!H181+'пр.6.1.ведом.22-23 (2)'!H852</f>
        <v>304</v>
      </c>
    </row>
    <row r="240" spans="1:7" ht="47.25" x14ac:dyDescent="0.25">
      <c r="A240" s="456" t="s">
        <v>923</v>
      </c>
      <c r="B240" s="457" t="s">
        <v>215</v>
      </c>
      <c r="C240" s="457" t="s">
        <v>244</v>
      </c>
      <c r="D240" s="457" t="s">
        <v>872</v>
      </c>
      <c r="E240" s="457"/>
      <c r="F240" s="450">
        <f>F241+F246</f>
        <v>6108.1</v>
      </c>
      <c r="G240" s="450">
        <f>G241+G246</f>
        <v>6108.1</v>
      </c>
    </row>
    <row r="241" spans="1:9" ht="31.5" x14ac:dyDescent="0.25">
      <c r="A241" s="458" t="s">
        <v>927</v>
      </c>
      <c r="B241" s="454" t="s">
        <v>215</v>
      </c>
      <c r="C241" s="454" t="s">
        <v>244</v>
      </c>
      <c r="D241" s="454" t="s">
        <v>873</v>
      </c>
      <c r="E241" s="454"/>
      <c r="F241" s="451">
        <f>F242+F244</f>
        <v>5856.1</v>
      </c>
      <c r="G241" s="451">
        <f>G242+G244</f>
        <v>5856.1</v>
      </c>
    </row>
    <row r="242" spans="1:9" ht="94.5" x14ac:dyDescent="0.25">
      <c r="A242" s="458" t="s">
        <v>127</v>
      </c>
      <c r="B242" s="454" t="s">
        <v>215</v>
      </c>
      <c r="C242" s="454" t="s">
        <v>244</v>
      </c>
      <c r="D242" s="454" t="s">
        <v>873</v>
      </c>
      <c r="E242" s="454" t="s">
        <v>128</v>
      </c>
      <c r="F242" s="451">
        <f>F243</f>
        <v>5693.1</v>
      </c>
      <c r="G242" s="451">
        <f>G243</f>
        <v>5693.1</v>
      </c>
    </row>
    <row r="243" spans="1:9" ht="31.5" x14ac:dyDescent="0.25">
      <c r="A243" s="458" t="s">
        <v>208</v>
      </c>
      <c r="B243" s="454" t="s">
        <v>215</v>
      </c>
      <c r="C243" s="454" t="s">
        <v>244</v>
      </c>
      <c r="D243" s="454" t="s">
        <v>873</v>
      </c>
      <c r="E243" s="454" t="s">
        <v>209</v>
      </c>
      <c r="F243" s="451">
        <f>'пр.6.1.ведом.22-23 (2)'!G185</f>
        <v>5693.1</v>
      </c>
      <c r="G243" s="451">
        <f>'пр.6.1.ведом.22-23 (2)'!H185</f>
        <v>5693.1</v>
      </c>
    </row>
    <row r="244" spans="1:9" ht="47.25" x14ac:dyDescent="0.25">
      <c r="A244" s="458" t="s">
        <v>198</v>
      </c>
      <c r="B244" s="454" t="s">
        <v>215</v>
      </c>
      <c r="C244" s="454" t="s">
        <v>244</v>
      </c>
      <c r="D244" s="454" t="s">
        <v>873</v>
      </c>
      <c r="E244" s="454" t="s">
        <v>132</v>
      </c>
      <c r="F244" s="451">
        <f>F245</f>
        <v>163</v>
      </c>
      <c r="G244" s="451">
        <f>G245</f>
        <v>163</v>
      </c>
    </row>
    <row r="245" spans="1:9" ht="47.25" x14ac:dyDescent="0.25">
      <c r="A245" s="458" t="s">
        <v>133</v>
      </c>
      <c r="B245" s="454" t="s">
        <v>215</v>
      </c>
      <c r="C245" s="454" t="s">
        <v>244</v>
      </c>
      <c r="D245" s="454" t="s">
        <v>873</v>
      </c>
      <c r="E245" s="454" t="s">
        <v>134</v>
      </c>
      <c r="F245" s="451">
        <f>'пр.6.1.ведом.22-23 (2)'!G187</f>
        <v>163</v>
      </c>
      <c r="G245" s="451">
        <f>'пр.6.1.ведом.22-23 (2)'!H187</f>
        <v>163</v>
      </c>
    </row>
    <row r="246" spans="1:9" ht="47.25" x14ac:dyDescent="0.25">
      <c r="A246" s="458" t="s">
        <v>839</v>
      </c>
      <c r="B246" s="454" t="s">
        <v>215</v>
      </c>
      <c r="C246" s="454" t="s">
        <v>244</v>
      </c>
      <c r="D246" s="454" t="s">
        <v>874</v>
      </c>
      <c r="E246" s="454"/>
      <c r="F246" s="451">
        <f>F247</f>
        <v>252</v>
      </c>
      <c r="G246" s="451">
        <f>G247</f>
        <v>252</v>
      </c>
    </row>
    <row r="247" spans="1:9" ht="94.5" x14ac:dyDescent="0.25">
      <c r="A247" s="458" t="s">
        <v>127</v>
      </c>
      <c r="B247" s="454" t="s">
        <v>215</v>
      </c>
      <c r="C247" s="454" t="s">
        <v>244</v>
      </c>
      <c r="D247" s="454" t="s">
        <v>874</v>
      </c>
      <c r="E247" s="454" t="s">
        <v>128</v>
      </c>
      <c r="F247" s="451">
        <f>F248</f>
        <v>252</v>
      </c>
      <c r="G247" s="451">
        <f>G248</f>
        <v>252</v>
      </c>
    </row>
    <row r="248" spans="1:9" ht="31.7" customHeight="1" x14ac:dyDescent="0.25">
      <c r="A248" s="458" t="s">
        <v>129</v>
      </c>
      <c r="B248" s="454" t="s">
        <v>215</v>
      </c>
      <c r="C248" s="454" t="s">
        <v>244</v>
      </c>
      <c r="D248" s="454" t="s">
        <v>874</v>
      </c>
      <c r="E248" s="454" t="s">
        <v>130</v>
      </c>
      <c r="F248" s="451">
        <f>'пр.6.1.ведом.22-23 (2)'!G190</f>
        <v>252</v>
      </c>
      <c r="G248" s="451">
        <f>'пр.6.1.ведом.22-23 (2)'!H190</f>
        <v>252</v>
      </c>
    </row>
    <row r="249" spans="1:9" ht="15.75" x14ac:dyDescent="0.25">
      <c r="A249" s="456" t="s">
        <v>232</v>
      </c>
      <c r="B249" s="457" t="s">
        <v>150</v>
      </c>
      <c r="C249" s="457"/>
      <c r="D249" s="457"/>
      <c r="E249" s="454"/>
      <c r="F249" s="450">
        <f t="shared" ref="F249" si="16">F263+F269+F283+F250</f>
        <v>6525.2</v>
      </c>
      <c r="G249" s="450">
        <f>G263+G269+G283+G250</f>
        <v>6535.8</v>
      </c>
    </row>
    <row r="250" spans="1:9" ht="15.75" x14ac:dyDescent="0.25">
      <c r="A250" s="456" t="s">
        <v>233</v>
      </c>
      <c r="B250" s="457" t="s">
        <v>150</v>
      </c>
      <c r="C250" s="457" t="s">
        <v>234</v>
      </c>
      <c r="D250" s="457"/>
      <c r="E250" s="454"/>
      <c r="F250" s="450">
        <f>F251</f>
        <v>274</v>
      </c>
      <c r="G250" s="450">
        <f>G251</f>
        <v>274</v>
      </c>
      <c r="H250" s="22"/>
      <c r="I250" s="22"/>
    </row>
    <row r="251" spans="1:9" ht="47.25" x14ac:dyDescent="0.25">
      <c r="A251" s="34" t="s">
        <v>1384</v>
      </c>
      <c r="B251" s="457" t="s">
        <v>150</v>
      </c>
      <c r="C251" s="457" t="s">
        <v>234</v>
      </c>
      <c r="D251" s="193" t="s">
        <v>182</v>
      </c>
      <c r="E251" s="465"/>
      <c r="F251" s="450">
        <f>F252+F259</f>
        <v>274</v>
      </c>
      <c r="G251" s="450">
        <f>G252+G259</f>
        <v>274</v>
      </c>
    </row>
    <row r="252" spans="1:9" ht="47.25" x14ac:dyDescent="0.25">
      <c r="A252" s="34" t="s">
        <v>1006</v>
      </c>
      <c r="B252" s="457" t="s">
        <v>150</v>
      </c>
      <c r="C252" s="457" t="s">
        <v>234</v>
      </c>
      <c r="D252" s="246" t="s">
        <v>877</v>
      </c>
      <c r="E252" s="465"/>
      <c r="F252" s="450">
        <f>F253+F256</f>
        <v>274</v>
      </c>
      <c r="G252" s="450">
        <f>G253+G256</f>
        <v>274</v>
      </c>
    </row>
    <row r="253" spans="1:9" ht="31.5" x14ac:dyDescent="0.25">
      <c r="A253" s="458" t="s">
        <v>235</v>
      </c>
      <c r="B253" s="454" t="s">
        <v>150</v>
      </c>
      <c r="C253" s="454" t="s">
        <v>234</v>
      </c>
      <c r="D253" s="454" t="s">
        <v>898</v>
      </c>
      <c r="E253" s="460"/>
      <c r="F253" s="451">
        <f>F254</f>
        <v>274</v>
      </c>
      <c r="G253" s="451">
        <f>G254</f>
        <v>274</v>
      </c>
    </row>
    <row r="254" spans="1:9" ht="15.75" x14ac:dyDescent="0.25">
      <c r="A254" s="29" t="s">
        <v>135</v>
      </c>
      <c r="B254" s="454" t="s">
        <v>150</v>
      </c>
      <c r="C254" s="454" t="s">
        <v>234</v>
      </c>
      <c r="D254" s="454" t="s">
        <v>898</v>
      </c>
      <c r="E254" s="460" t="s">
        <v>145</v>
      </c>
      <c r="F254" s="451">
        <f>F255</f>
        <v>274</v>
      </c>
      <c r="G254" s="451">
        <f>G255</f>
        <v>274</v>
      </c>
    </row>
    <row r="255" spans="1:9" ht="63" x14ac:dyDescent="0.25">
      <c r="A255" s="29" t="s">
        <v>184</v>
      </c>
      <c r="B255" s="454" t="s">
        <v>150</v>
      </c>
      <c r="C255" s="454" t="s">
        <v>234</v>
      </c>
      <c r="D255" s="454" t="s">
        <v>898</v>
      </c>
      <c r="E255" s="460" t="s">
        <v>160</v>
      </c>
      <c r="F255" s="451">
        <f>'пр.6.1.ведом.22-23 (2)'!G197</f>
        <v>274</v>
      </c>
      <c r="G255" s="451">
        <f>'пр.6.1.ведом.22-23 (2)'!H197</f>
        <v>274</v>
      </c>
    </row>
    <row r="256" spans="1:9" ht="31.5" hidden="1" x14ac:dyDescent="0.25">
      <c r="A256" s="458" t="s">
        <v>235</v>
      </c>
      <c r="B256" s="454" t="s">
        <v>150</v>
      </c>
      <c r="C256" s="454" t="s">
        <v>234</v>
      </c>
      <c r="D256" s="454" t="s">
        <v>880</v>
      </c>
      <c r="E256" s="454"/>
      <c r="F256" s="451">
        <f>F257</f>
        <v>0</v>
      </c>
      <c r="G256" s="451">
        <f>G257</f>
        <v>0</v>
      </c>
    </row>
    <row r="257" spans="1:7" ht="15.75" hidden="1" x14ac:dyDescent="0.25">
      <c r="A257" s="458" t="s">
        <v>135</v>
      </c>
      <c r="B257" s="454" t="s">
        <v>150</v>
      </c>
      <c r="C257" s="454" t="s">
        <v>234</v>
      </c>
      <c r="D257" s="454" t="s">
        <v>880</v>
      </c>
      <c r="E257" s="454" t="s">
        <v>145</v>
      </c>
      <c r="F257" s="451">
        <f>F258</f>
        <v>0</v>
      </c>
      <c r="G257" s="451">
        <f>G258</f>
        <v>0</v>
      </c>
    </row>
    <row r="258" spans="1:7" ht="63" hidden="1" x14ac:dyDescent="0.25">
      <c r="A258" s="458" t="s">
        <v>184</v>
      </c>
      <c r="B258" s="454" t="s">
        <v>150</v>
      </c>
      <c r="C258" s="454" t="s">
        <v>234</v>
      </c>
      <c r="D258" s="454" t="s">
        <v>880</v>
      </c>
      <c r="E258" s="454" t="s">
        <v>160</v>
      </c>
      <c r="F258" s="451">
        <f>'пр.6.1.ведом.22-23 (2)'!G200</f>
        <v>0</v>
      </c>
      <c r="G258" s="451">
        <f>'пр.6.1.ведом.22-23 (2)'!H200</f>
        <v>0</v>
      </c>
    </row>
    <row r="259" spans="1:7" ht="47.25" hidden="1" x14ac:dyDescent="0.25">
      <c r="A259" s="209" t="s">
        <v>1007</v>
      </c>
      <c r="B259" s="457" t="s">
        <v>150</v>
      </c>
      <c r="C259" s="457" t="s">
        <v>234</v>
      </c>
      <c r="D259" s="193" t="s">
        <v>879</v>
      </c>
      <c r="E259" s="465"/>
      <c r="F259" s="450">
        <f t="shared" ref="F259:G261" si="17">F260</f>
        <v>0</v>
      </c>
      <c r="G259" s="450">
        <f t="shared" si="17"/>
        <v>0</v>
      </c>
    </row>
    <row r="260" spans="1:7" ht="15.75" hidden="1" x14ac:dyDescent="0.25">
      <c r="A260" s="458" t="s">
        <v>878</v>
      </c>
      <c r="B260" s="454" t="s">
        <v>150</v>
      </c>
      <c r="C260" s="454" t="s">
        <v>234</v>
      </c>
      <c r="D260" s="5" t="s">
        <v>899</v>
      </c>
      <c r="E260" s="460"/>
      <c r="F260" s="451">
        <f t="shared" si="17"/>
        <v>0</v>
      </c>
      <c r="G260" s="451">
        <f t="shared" si="17"/>
        <v>0</v>
      </c>
    </row>
    <row r="261" spans="1:7" ht="15.75" hidden="1" x14ac:dyDescent="0.25">
      <c r="A261" s="29" t="s">
        <v>135</v>
      </c>
      <c r="B261" s="454" t="s">
        <v>150</v>
      </c>
      <c r="C261" s="454" t="s">
        <v>234</v>
      </c>
      <c r="D261" s="5" t="s">
        <v>899</v>
      </c>
      <c r="E261" s="460" t="s">
        <v>145</v>
      </c>
      <c r="F261" s="451">
        <f t="shared" si="17"/>
        <v>0</v>
      </c>
      <c r="G261" s="451">
        <f t="shared" si="17"/>
        <v>0</v>
      </c>
    </row>
    <row r="262" spans="1:7" ht="63" hidden="1" x14ac:dyDescent="0.25">
      <c r="A262" s="29" t="s">
        <v>184</v>
      </c>
      <c r="B262" s="454" t="s">
        <v>150</v>
      </c>
      <c r="C262" s="454" t="s">
        <v>234</v>
      </c>
      <c r="D262" s="5" t="s">
        <v>899</v>
      </c>
      <c r="E262" s="460" t="s">
        <v>160</v>
      </c>
      <c r="F262" s="451">
        <f>'пр.6.1.ведом.22-23 (2)'!G204</f>
        <v>0</v>
      </c>
      <c r="G262" s="451">
        <f>'пр.6.1.ведом.22-23 (2)'!H204</f>
        <v>0</v>
      </c>
    </row>
    <row r="263" spans="1:7" ht="15.75" x14ac:dyDescent="0.25">
      <c r="A263" s="456" t="s">
        <v>505</v>
      </c>
      <c r="B263" s="457" t="s">
        <v>150</v>
      </c>
      <c r="C263" s="457" t="s">
        <v>299</v>
      </c>
      <c r="D263" s="457"/>
      <c r="E263" s="457"/>
      <c r="F263" s="450">
        <f t="shared" ref="F263:G265" si="18">F264</f>
        <v>3258</v>
      </c>
      <c r="G263" s="450">
        <f t="shared" si="18"/>
        <v>3258</v>
      </c>
    </row>
    <row r="264" spans="1:7" ht="15.75" x14ac:dyDescent="0.25">
      <c r="A264" s="456" t="s">
        <v>141</v>
      </c>
      <c r="B264" s="457" t="s">
        <v>150</v>
      </c>
      <c r="C264" s="457" t="s">
        <v>299</v>
      </c>
      <c r="D264" s="457" t="s">
        <v>866</v>
      </c>
      <c r="E264" s="457"/>
      <c r="F264" s="450">
        <f t="shared" si="18"/>
        <v>3258</v>
      </c>
      <c r="G264" s="450">
        <f t="shared" si="18"/>
        <v>3258</v>
      </c>
    </row>
    <row r="265" spans="1:7" ht="31.5" x14ac:dyDescent="0.25">
      <c r="A265" s="456" t="s">
        <v>870</v>
      </c>
      <c r="B265" s="457" t="s">
        <v>150</v>
      </c>
      <c r="C265" s="457" t="s">
        <v>299</v>
      </c>
      <c r="D265" s="457" t="s">
        <v>865</v>
      </c>
      <c r="E265" s="457"/>
      <c r="F265" s="450">
        <f t="shared" si="18"/>
        <v>3258</v>
      </c>
      <c r="G265" s="450">
        <f t="shared" si="18"/>
        <v>3258</v>
      </c>
    </row>
    <row r="266" spans="1:7" ht="31.5" x14ac:dyDescent="0.25">
      <c r="A266" s="458" t="s">
        <v>506</v>
      </c>
      <c r="B266" s="454" t="s">
        <v>150</v>
      </c>
      <c r="C266" s="454" t="s">
        <v>299</v>
      </c>
      <c r="D266" s="454" t="s">
        <v>957</v>
      </c>
      <c r="E266" s="454"/>
      <c r="F266" s="451">
        <f>F267</f>
        <v>3258</v>
      </c>
      <c r="G266" s="451">
        <f>G267</f>
        <v>3258</v>
      </c>
    </row>
    <row r="267" spans="1:7" ht="31.5" x14ac:dyDescent="0.25">
      <c r="A267" s="458" t="s">
        <v>131</v>
      </c>
      <c r="B267" s="454" t="s">
        <v>150</v>
      </c>
      <c r="C267" s="454" t="s">
        <v>299</v>
      </c>
      <c r="D267" s="454" t="s">
        <v>957</v>
      </c>
      <c r="E267" s="454" t="s">
        <v>132</v>
      </c>
      <c r="F267" s="451">
        <f>F268</f>
        <v>3258</v>
      </c>
      <c r="G267" s="451">
        <f>G268</f>
        <v>3258</v>
      </c>
    </row>
    <row r="268" spans="1:7" ht="47.25" x14ac:dyDescent="0.25">
      <c r="A268" s="458" t="s">
        <v>133</v>
      </c>
      <c r="B268" s="454" t="s">
        <v>150</v>
      </c>
      <c r="C268" s="454" t="s">
        <v>299</v>
      </c>
      <c r="D268" s="454" t="s">
        <v>957</v>
      </c>
      <c r="E268" s="454" t="s">
        <v>134</v>
      </c>
      <c r="F268" s="451">
        <f>'пр.6.1.ведом.22-23 (2)'!G859</f>
        <v>3258</v>
      </c>
      <c r="G268" s="451">
        <f>'пр.6.1.ведом.22-23 (2)'!H859</f>
        <v>3258</v>
      </c>
    </row>
    <row r="269" spans="1:7" ht="15.75" x14ac:dyDescent="0.25">
      <c r="A269" s="456" t="s">
        <v>508</v>
      </c>
      <c r="B269" s="457" t="s">
        <v>150</v>
      </c>
      <c r="C269" s="457" t="s">
        <v>219</v>
      </c>
      <c r="D269" s="454"/>
      <c r="E269" s="457"/>
      <c r="F269" s="450">
        <f t="shared" ref="F269:G269" si="19">F270</f>
        <v>2319</v>
      </c>
      <c r="G269" s="450">
        <f t="shared" si="19"/>
        <v>2319</v>
      </c>
    </row>
    <row r="270" spans="1:7" ht="47.25" x14ac:dyDescent="0.25">
      <c r="A270" s="34" t="s">
        <v>1373</v>
      </c>
      <c r="B270" s="457" t="s">
        <v>150</v>
      </c>
      <c r="C270" s="457" t="s">
        <v>219</v>
      </c>
      <c r="D270" s="457" t="s">
        <v>510</v>
      </c>
      <c r="E270" s="457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457" t="s">
        <v>150</v>
      </c>
      <c r="C271" s="457" t="s">
        <v>219</v>
      </c>
      <c r="D271" s="7" t="s">
        <v>958</v>
      </c>
      <c r="E271" s="457"/>
      <c r="F271" s="59">
        <f t="shared" ref="F271:G273" si="20">F272</f>
        <v>0</v>
      </c>
      <c r="G271" s="59">
        <f t="shared" si="20"/>
        <v>0</v>
      </c>
    </row>
    <row r="272" spans="1:7" ht="15.75" hidden="1" x14ac:dyDescent="0.25">
      <c r="A272" s="29" t="s">
        <v>1001</v>
      </c>
      <c r="B272" s="454" t="s">
        <v>150</v>
      </c>
      <c r="C272" s="454" t="s">
        <v>219</v>
      </c>
      <c r="D272" s="461" t="s">
        <v>1000</v>
      </c>
      <c r="E272" s="454"/>
      <c r="F272" s="451">
        <f t="shared" si="20"/>
        <v>0</v>
      </c>
      <c r="G272" s="451">
        <f t="shared" si="20"/>
        <v>0</v>
      </c>
    </row>
    <row r="273" spans="1:7" ht="31.5" hidden="1" x14ac:dyDescent="0.25">
      <c r="A273" s="458" t="s">
        <v>131</v>
      </c>
      <c r="B273" s="454" t="s">
        <v>150</v>
      </c>
      <c r="C273" s="454" t="s">
        <v>219</v>
      </c>
      <c r="D273" s="461" t="s">
        <v>1000</v>
      </c>
      <c r="E273" s="454" t="s">
        <v>132</v>
      </c>
      <c r="F273" s="451">
        <f t="shared" si="20"/>
        <v>0</v>
      </c>
      <c r="G273" s="451">
        <f t="shared" si="20"/>
        <v>0</v>
      </c>
    </row>
    <row r="274" spans="1:7" ht="47.25" hidden="1" x14ac:dyDescent="0.25">
      <c r="A274" s="458" t="s">
        <v>133</v>
      </c>
      <c r="B274" s="454" t="s">
        <v>150</v>
      </c>
      <c r="C274" s="454" t="s">
        <v>219</v>
      </c>
      <c r="D274" s="461" t="s">
        <v>1000</v>
      </c>
      <c r="E274" s="454" t="s">
        <v>134</v>
      </c>
      <c r="F274" s="451">
        <f>'пр.6.1.ведом.22-23 (2)'!G865</f>
        <v>0</v>
      </c>
      <c r="G274" s="451">
        <f>'пр.6.1.ведом.22-23 (2)'!H865</f>
        <v>0</v>
      </c>
    </row>
    <row r="275" spans="1:7" ht="47.25" x14ac:dyDescent="0.25">
      <c r="A275" s="34" t="s">
        <v>1061</v>
      </c>
      <c r="B275" s="457" t="s">
        <v>150</v>
      </c>
      <c r="C275" s="457" t="s">
        <v>219</v>
      </c>
      <c r="D275" s="457" t="s">
        <v>959</v>
      </c>
      <c r="E275" s="457"/>
      <c r="F275" s="362">
        <f t="shared" ref="F275:G279" si="21">F276</f>
        <v>2319</v>
      </c>
      <c r="G275" s="362">
        <f t="shared" si="21"/>
        <v>2319</v>
      </c>
    </row>
    <row r="276" spans="1:7" ht="15.75" x14ac:dyDescent="0.25">
      <c r="A276" s="29" t="s">
        <v>511</v>
      </c>
      <c r="B276" s="454" t="s">
        <v>150</v>
      </c>
      <c r="C276" s="454" t="s">
        <v>219</v>
      </c>
      <c r="D276" s="461" t="s">
        <v>1002</v>
      </c>
      <c r="E276" s="454"/>
      <c r="F276" s="451">
        <f>F279+F277</f>
        <v>2319</v>
      </c>
      <c r="G276" s="451">
        <f>G279+G277</f>
        <v>2319</v>
      </c>
    </row>
    <row r="277" spans="1:7" ht="94.5" x14ac:dyDescent="0.25">
      <c r="A277" s="458" t="s">
        <v>127</v>
      </c>
      <c r="B277" s="454" t="s">
        <v>150</v>
      </c>
      <c r="C277" s="454" t="s">
        <v>219</v>
      </c>
      <c r="D277" s="461" t="s">
        <v>1002</v>
      </c>
      <c r="E277" s="454" t="s">
        <v>128</v>
      </c>
      <c r="F277" s="459">
        <f>F278</f>
        <v>1807</v>
      </c>
      <c r="G277" s="459">
        <f>G278</f>
        <v>1807</v>
      </c>
    </row>
    <row r="278" spans="1:7" ht="31.5" x14ac:dyDescent="0.25">
      <c r="A278" s="458" t="s">
        <v>342</v>
      </c>
      <c r="B278" s="454" t="s">
        <v>150</v>
      </c>
      <c r="C278" s="454" t="s">
        <v>219</v>
      </c>
      <c r="D278" s="461" t="s">
        <v>1002</v>
      </c>
      <c r="E278" s="454" t="s">
        <v>209</v>
      </c>
      <c r="F278" s="459">
        <f>'пр.6.1.ведом.22-23 (2)'!G869</f>
        <v>1807</v>
      </c>
      <c r="G278" s="459">
        <f>'пр.6.1.ведом.22-23 (2)'!H869</f>
        <v>1807</v>
      </c>
    </row>
    <row r="279" spans="1:7" ht="31.5" x14ac:dyDescent="0.25">
      <c r="A279" s="458" t="s">
        <v>131</v>
      </c>
      <c r="B279" s="454" t="s">
        <v>150</v>
      </c>
      <c r="C279" s="454" t="s">
        <v>219</v>
      </c>
      <c r="D279" s="461" t="s">
        <v>1002</v>
      </c>
      <c r="E279" s="454" t="s">
        <v>132</v>
      </c>
      <c r="F279" s="451">
        <f t="shared" si="21"/>
        <v>512</v>
      </c>
      <c r="G279" s="451">
        <f t="shared" si="21"/>
        <v>512</v>
      </c>
    </row>
    <row r="280" spans="1:7" ht="47.25" x14ac:dyDescent="0.25">
      <c r="A280" s="458" t="s">
        <v>133</v>
      </c>
      <c r="B280" s="454" t="s">
        <v>150</v>
      </c>
      <c r="C280" s="454" t="s">
        <v>219</v>
      </c>
      <c r="D280" s="461" t="s">
        <v>1002</v>
      </c>
      <c r="E280" s="454" t="s">
        <v>134</v>
      </c>
      <c r="F280" s="451">
        <f>'пр.6.1.ведом.22-23 (2)'!G871</f>
        <v>512</v>
      </c>
      <c r="G280" s="451">
        <f>'пр.6.1.ведом.22-23 (2)'!H871</f>
        <v>512</v>
      </c>
    </row>
    <row r="281" spans="1:7" ht="15.75" x14ac:dyDescent="0.25">
      <c r="A281" s="458" t="s">
        <v>135</v>
      </c>
      <c r="B281" s="454" t="s">
        <v>150</v>
      </c>
      <c r="C281" s="454" t="s">
        <v>219</v>
      </c>
      <c r="D281" s="461" t="s">
        <v>1002</v>
      </c>
      <c r="E281" s="454" t="s">
        <v>145</v>
      </c>
      <c r="F281" s="451">
        <f>'[1]Пр.4 Рд,пр, ЦС,ВР 21'!F269</f>
        <v>0</v>
      </c>
      <c r="G281" s="451">
        <f t="shared" si="14"/>
        <v>0</v>
      </c>
    </row>
    <row r="282" spans="1:7" ht="15.75" x14ac:dyDescent="0.25">
      <c r="A282" s="458" t="s">
        <v>568</v>
      </c>
      <c r="B282" s="454" t="s">
        <v>150</v>
      </c>
      <c r="C282" s="454" t="s">
        <v>219</v>
      </c>
      <c r="D282" s="461" t="s">
        <v>1002</v>
      </c>
      <c r="E282" s="454" t="s">
        <v>138</v>
      </c>
      <c r="F282" s="451">
        <f>'[1]Пр.4 Рд,пр, ЦС,ВР 21'!F270</f>
        <v>0</v>
      </c>
      <c r="G282" s="451">
        <f t="shared" si="14"/>
        <v>0</v>
      </c>
    </row>
    <row r="283" spans="1:7" ht="31.5" x14ac:dyDescent="0.25">
      <c r="A283" s="456" t="s">
        <v>237</v>
      </c>
      <c r="B283" s="457" t="s">
        <v>150</v>
      </c>
      <c r="C283" s="457" t="s">
        <v>238</v>
      </c>
      <c r="D283" s="457"/>
      <c r="E283" s="457"/>
      <c r="F283" s="59">
        <f>F284+F291+F309</f>
        <v>674.2</v>
      </c>
      <c r="G283" s="59">
        <f>G284+G291+G309</f>
        <v>684.8</v>
      </c>
    </row>
    <row r="284" spans="1:7" ht="31.5" x14ac:dyDescent="0.25">
      <c r="A284" s="456" t="s">
        <v>917</v>
      </c>
      <c r="B284" s="457" t="s">
        <v>150</v>
      </c>
      <c r="C284" s="457" t="s">
        <v>238</v>
      </c>
      <c r="D284" s="457" t="s">
        <v>858</v>
      </c>
      <c r="E284" s="457"/>
      <c r="F284" s="59">
        <f>F285</f>
        <v>264.2</v>
      </c>
      <c r="G284" s="59">
        <f>G285</f>
        <v>274.8</v>
      </c>
    </row>
    <row r="285" spans="1:7" ht="47.25" x14ac:dyDescent="0.25">
      <c r="A285" s="456" t="s">
        <v>885</v>
      </c>
      <c r="B285" s="457" t="s">
        <v>150</v>
      </c>
      <c r="C285" s="457" t="s">
        <v>238</v>
      </c>
      <c r="D285" s="457" t="s">
        <v>863</v>
      </c>
      <c r="E285" s="457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454" t="s">
        <v>150</v>
      </c>
      <c r="C286" s="454" t="s">
        <v>238</v>
      </c>
      <c r="D286" s="454" t="s">
        <v>924</v>
      </c>
      <c r="E286" s="454"/>
      <c r="F286" s="451">
        <f>F287+F289</f>
        <v>264.2</v>
      </c>
      <c r="G286" s="451">
        <f>G287+G289</f>
        <v>274.8</v>
      </c>
    </row>
    <row r="287" spans="1:7" ht="94.5" x14ac:dyDescent="0.25">
      <c r="A287" s="458" t="s">
        <v>127</v>
      </c>
      <c r="B287" s="454" t="s">
        <v>150</v>
      </c>
      <c r="C287" s="454" t="s">
        <v>238</v>
      </c>
      <c r="D287" s="454" t="s">
        <v>924</v>
      </c>
      <c r="E287" s="454" t="s">
        <v>128</v>
      </c>
      <c r="F287" s="451">
        <f>F288</f>
        <v>205.8</v>
      </c>
      <c r="G287" s="451">
        <f>G288</f>
        <v>205.8</v>
      </c>
    </row>
    <row r="288" spans="1:7" ht="31.5" x14ac:dyDescent="0.25">
      <c r="A288" s="458" t="s">
        <v>129</v>
      </c>
      <c r="B288" s="454" t="s">
        <v>150</v>
      </c>
      <c r="C288" s="454" t="s">
        <v>238</v>
      </c>
      <c r="D288" s="454" t="s">
        <v>924</v>
      </c>
      <c r="E288" s="454" t="s">
        <v>130</v>
      </c>
      <c r="F288" s="451">
        <f>'пр.6.1.ведом.22-23 (2)'!G210</f>
        <v>205.8</v>
      </c>
      <c r="G288" s="451">
        <f>'пр.6.1.ведом.22-23 (2)'!H210</f>
        <v>205.8</v>
      </c>
    </row>
    <row r="289" spans="1:7" ht="31.5" x14ac:dyDescent="0.25">
      <c r="A289" s="458" t="s">
        <v>131</v>
      </c>
      <c r="B289" s="454" t="s">
        <v>150</v>
      </c>
      <c r="C289" s="454" t="s">
        <v>238</v>
      </c>
      <c r="D289" s="454" t="s">
        <v>924</v>
      </c>
      <c r="E289" s="454" t="s">
        <v>132</v>
      </c>
      <c r="F289" s="451">
        <f>F290</f>
        <v>58.4</v>
      </c>
      <c r="G289" s="451">
        <f>G290</f>
        <v>69</v>
      </c>
    </row>
    <row r="290" spans="1:7" ht="47.25" x14ac:dyDescent="0.25">
      <c r="A290" s="458" t="s">
        <v>133</v>
      </c>
      <c r="B290" s="454" t="s">
        <v>150</v>
      </c>
      <c r="C290" s="454" t="s">
        <v>238</v>
      </c>
      <c r="D290" s="454" t="s">
        <v>924</v>
      </c>
      <c r="E290" s="454" t="s">
        <v>134</v>
      </c>
      <c r="F290" s="451">
        <f>'пр.6.1.ведом.22-23 (2)'!G212</f>
        <v>58.4</v>
      </c>
      <c r="G290" s="451">
        <f>'пр.6.1.ведом.22-23 (2)'!H212</f>
        <v>69</v>
      </c>
    </row>
    <row r="291" spans="1:7" ht="47.25" x14ac:dyDescent="0.25">
      <c r="A291" s="456" t="s">
        <v>1375</v>
      </c>
      <c r="B291" s="457" t="s">
        <v>150</v>
      </c>
      <c r="C291" s="457" t="s">
        <v>238</v>
      </c>
      <c r="D291" s="457" t="s">
        <v>344</v>
      </c>
      <c r="E291" s="465"/>
      <c r="F291" s="59">
        <f>F292</f>
        <v>260</v>
      </c>
      <c r="G291" s="59">
        <f>G292</f>
        <v>260</v>
      </c>
    </row>
    <row r="292" spans="1:7" ht="63" x14ac:dyDescent="0.25">
      <c r="A292" s="456" t="s">
        <v>367</v>
      </c>
      <c r="B292" s="457" t="s">
        <v>150</v>
      </c>
      <c r="C292" s="457" t="s">
        <v>238</v>
      </c>
      <c r="D292" s="457" t="s">
        <v>356</v>
      </c>
      <c r="E292" s="457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0" t="s">
        <v>1043</v>
      </c>
      <c r="B293" s="457" t="s">
        <v>150</v>
      </c>
      <c r="C293" s="457" t="s">
        <v>238</v>
      </c>
      <c r="D293" s="457" t="s">
        <v>907</v>
      </c>
      <c r="E293" s="457"/>
      <c r="F293" s="59">
        <f>F294</f>
        <v>0</v>
      </c>
      <c r="G293" s="59">
        <f>G294</f>
        <v>0</v>
      </c>
    </row>
    <row r="294" spans="1:7" ht="63" hidden="1" x14ac:dyDescent="0.25">
      <c r="A294" s="458" t="s">
        <v>375</v>
      </c>
      <c r="B294" s="454" t="s">
        <v>150</v>
      </c>
      <c r="C294" s="454" t="s">
        <v>238</v>
      </c>
      <c r="D294" s="454" t="s">
        <v>1317</v>
      </c>
      <c r="E294" s="454"/>
      <c r="F294" s="451">
        <f>'[1]Пр.4 Рд,пр, ЦС,ВР 21'!F282</f>
        <v>0</v>
      </c>
      <c r="G294" s="451">
        <f t="shared" ref="G294:G341" si="22">F294</f>
        <v>0</v>
      </c>
    </row>
    <row r="295" spans="1:7" ht="31.5" hidden="1" x14ac:dyDescent="0.25">
      <c r="A295" s="458" t="s">
        <v>248</v>
      </c>
      <c r="B295" s="454" t="s">
        <v>150</v>
      </c>
      <c r="C295" s="454" t="s">
        <v>238</v>
      </c>
      <c r="D295" s="454" t="s">
        <v>1317</v>
      </c>
      <c r="E295" s="454" t="s">
        <v>249</v>
      </c>
      <c r="F295" s="451">
        <f>'[1]Пр.4 Рд,пр, ЦС,ВР 21'!F283</f>
        <v>0</v>
      </c>
      <c r="G295" s="451">
        <f t="shared" si="22"/>
        <v>0</v>
      </c>
    </row>
    <row r="296" spans="1:7" ht="31.5" hidden="1" x14ac:dyDescent="0.25">
      <c r="A296" s="458" t="s">
        <v>250</v>
      </c>
      <c r="B296" s="454" t="s">
        <v>150</v>
      </c>
      <c r="C296" s="454" t="s">
        <v>238</v>
      </c>
      <c r="D296" s="454" t="s">
        <v>1317</v>
      </c>
      <c r="E296" s="454" t="s">
        <v>251</v>
      </c>
      <c r="F296" s="451">
        <f>'[1]Пр.4 Рд,пр, ЦС,ВР 21'!F284</f>
        <v>0</v>
      </c>
      <c r="G296" s="451">
        <f t="shared" si="22"/>
        <v>0</v>
      </c>
    </row>
    <row r="297" spans="1:7" ht="47.25" x14ac:dyDescent="0.25">
      <c r="A297" s="456" t="s">
        <v>1041</v>
      </c>
      <c r="B297" s="457" t="s">
        <v>150</v>
      </c>
      <c r="C297" s="457" t="s">
        <v>238</v>
      </c>
      <c r="D297" s="457" t="s">
        <v>1200</v>
      </c>
      <c r="E297" s="457"/>
      <c r="F297" s="59">
        <f t="shared" ref="F297:G299" si="23">F298</f>
        <v>260</v>
      </c>
      <c r="G297" s="59">
        <f t="shared" si="23"/>
        <v>260</v>
      </c>
    </row>
    <row r="298" spans="1:7" ht="126" x14ac:dyDescent="0.25">
      <c r="A298" s="458" t="s">
        <v>1509</v>
      </c>
      <c r="B298" s="454" t="s">
        <v>150</v>
      </c>
      <c r="C298" s="454" t="s">
        <v>238</v>
      </c>
      <c r="D298" s="454" t="s">
        <v>1201</v>
      </c>
      <c r="E298" s="454"/>
      <c r="F298" s="451">
        <f t="shared" si="23"/>
        <v>260</v>
      </c>
      <c r="G298" s="451">
        <f t="shared" si="23"/>
        <v>260</v>
      </c>
    </row>
    <row r="299" spans="1:7" ht="15.75" x14ac:dyDescent="0.25">
      <c r="A299" s="458" t="s">
        <v>135</v>
      </c>
      <c r="B299" s="454" t="s">
        <v>150</v>
      </c>
      <c r="C299" s="454" t="s">
        <v>238</v>
      </c>
      <c r="D299" s="454" t="s">
        <v>1201</v>
      </c>
      <c r="E299" s="454" t="s">
        <v>145</v>
      </c>
      <c r="F299" s="451">
        <f t="shared" si="23"/>
        <v>260</v>
      </c>
      <c r="G299" s="451">
        <f t="shared" si="23"/>
        <v>260</v>
      </c>
    </row>
    <row r="300" spans="1:7" ht="63" x14ac:dyDescent="0.25">
      <c r="A300" s="458" t="s">
        <v>184</v>
      </c>
      <c r="B300" s="454" t="s">
        <v>150</v>
      </c>
      <c r="C300" s="454" t="s">
        <v>238</v>
      </c>
      <c r="D300" s="454" t="s">
        <v>1201</v>
      </c>
      <c r="E300" s="454" t="s">
        <v>160</v>
      </c>
      <c r="F300" s="451">
        <f>'пр.6.1.ведом.22-23 (2)'!G284</f>
        <v>260</v>
      </c>
      <c r="G300" s="451">
        <f>'пр.6.1.ведом.22-23 (2)'!H284</f>
        <v>260</v>
      </c>
    </row>
    <row r="301" spans="1:7" ht="31.5" hidden="1" x14ac:dyDescent="0.25">
      <c r="A301" s="456" t="s">
        <v>995</v>
      </c>
      <c r="B301" s="457" t="s">
        <v>150</v>
      </c>
      <c r="C301" s="457" t="s">
        <v>238</v>
      </c>
      <c r="D301" s="457" t="s">
        <v>1310</v>
      </c>
      <c r="E301" s="457"/>
      <c r="F301" s="59">
        <f>F302</f>
        <v>0</v>
      </c>
      <c r="G301" s="59">
        <f>G302</f>
        <v>0</v>
      </c>
    </row>
    <row r="302" spans="1:7" ht="47.25" hidden="1" x14ac:dyDescent="0.25">
      <c r="A302" s="247" t="s">
        <v>1044</v>
      </c>
      <c r="B302" s="454" t="s">
        <v>150</v>
      </c>
      <c r="C302" s="454" t="s">
        <v>238</v>
      </c>
      <c r="D302" s="454" t="s">
        <v>1311</v>
      </c>
      <c r="E302" s="454"/>
      <c r="F302" s="451">
        <f>'[1]Пр.4 Рд,пр, ЦС,ВР 21'!F290</f>
        <v>0</v>
      </c>
      <c r="G302" s="451">
        <f t="shared" si="22"/>
        <v>0</v>
      </c>
    </row>
    <row r="303" spans="1:7" ht="31.5" hidden="1" x14ac:dyDescent="0.25">
      <c r="A303" s="458" t="s">
        <v>131</v>
      </c>
      <c r="B303" s="454" t="s">
        <v>150</v>
      </c>
      <c r="C303" s="454" t="s">
        <v>238</v>
      </c>
      <c r="D303" s="454" t="s">
        <v>1311</v>
      </c>
      <c r="E303" s="454" t="s">
        <v>132</v>
      </c>
      <c r="F303" s="451">
        <f>'[1]Пр.4 Рд,пр, ЦС,ВР 21'!F291</f>
        <v>0</v>
      </c>
      <c r="G303" s="451">
        <f t="shared" si="22"/>
        <v>0</v>
      </c>
    </row>
    <row r="304" spans="1:7" ht="47.25" hidden="1" x14ac:dyDescent="0.25">
      <c r="A304" s="458" t="s">
        <v>133</v>
      </c>
      <c r="B304" s="454" t="s">
        <v>150</v>
      </c>
      <c r="C304" s="454" t="s">
        <v>238</v>
      </c>
      <c r="D304" s="454" t="s">
        <v>1311</v>
      </c>
      <c r="E304" s="454" t="s">
        <v>134</v>
      </c>
      <c r="F304" s="451">
        <f>'[1]Пр.4 Рд,пр, ЦС,ВР 21'!F292</f>
        <v>0</v>
      </c>
      <c r="G304" s="451">
        <f t="shared" si="22"/>
        <v>0</v>
      </c>
    </row>
    <row r="305" spans="1:9" ht="47.25" hidden="1" x14ac:dyDescent="0.25">
      <c r="A305" s="464" t="s">
        <v>1103</v>
      </c>
      <c r="B305" s="457" t="s">
        <v>150</v>
      </c>
      <c r="C305" s="457" t="s">
        <v>238</v>
      </c>
      <c r="D305" s="457" t="s">
        <v>1202</v>
      </c>
      <c r="E305" s="457"/>
      <c r="F305" s="455">
        <f t="shared" ref="F305:G307" si="24">F306</f>
        <v>0</v>
      </c>
      <c r="G305" s="455">
        <f t="shared" si="24"/>
        <v>0</v>
      </c>
    </row>
    <row r="306" spans="1:9" ht="31.5" hidden="1" x14ac:dyDescent="0.25">
      <c r="A306" s="226" t="s">
        <v>1104</v>
      </c>
      <c r="B306" s="454" t="s">
        <v>150</v>
      </c>
      <c r="C306" s="454" t="s">
        <v>238</v>
      </c>
      <c r="D306" s="454" t="s">
        <v>1203</v>
      </c>
      <c r="E306" s="454"/>
      <c r="F306" s="459">
        <f t="shared" si="24"/>
        <v>0</v>
      </c>
      <c r="G306" s="451">
        <f t="shared" si="24"/>
        <v>0</v>
      </c>
    </row>
    <row r="307" spans="1:9" ht="31.5" hidden="1" x14ac:dyDescent="0.25">
      <c r="A307" s="458" t="s">
        <v>131</v>
      </c>
      <c r="B307" s="454" t="s">
        <v>150</v>
      </c>
      <c r="C307" s="454" t="s">
        <v>238</v>
      </c>
      <c r="D307" s="454" t="s">
        <v>1203</v>
      </c>
      <c r="E307" s="454" t="s">
        <v>132</v>
      </c>
      <c r="F307" s="459">
        <f t="shared" si="24"/>
        <v>0</v>
      </c>
      <c r="G307" s="451">
        <f t="shared" si="24"/>
        <v>0</v>
      </c>
    </row>
    <row r="308" spans="1:9" ht="47.25" hidden="1" x14ac:dyDescent="0.25">
      <c r="A308" s="458" t="s">
        <v>133</v>
      </c>
      <c r="B308" s="454" t="s">
        <v>150</v>
      </c>
      <c r="C308" s="454" t="s">
        <v>238</v>
      </c>
      <c r="D308" s="454" t="s">
        <v>1203</v>
      </c>
      <c r="E308" s="454" t="s">
        <v>134</v>
      </c>
      <c r="F308" s="459">
        <f>'пр.6.1.ведом.22-23 (2)'!G292</f>
        <v>0</v>
      </c>
      <c r="G308" s="451">
        <f>'пр.6.1.ведом.22-23 (2)'!H292</f>
        <v>0</v>
      </c>
    </row>
    <row r="309" spans="1:9" ht="47.25" x14ac:dyDescent="0.25">
      <c r="A309" s="456" t="s">
        <v>1339</v>
      </c>
      <c r="B309" s="457" t="s">
        <v>150</v>
      </c>
      <c r="C309" s="457" t="s">
        <v>238</v>
      </c>
      <c r="D309" s="457" t="s">
        <v>156</v>
      </c>
      <c r="E309" s="457"/>
      <c r="F309" s="59">
        <f t="shared" ref="F309:G312" si="25">F310</f>
        <v>150</v>
      </c>
      <c r="G309" s="59">
        <f t="shared" si="25"/>
        <v>150</v>
      </c>
    </row>
    <row r="310" spans="1:9" ht="47.25" x14ac:dyDescent="0.25">
      <c r="A310" s="456" t="s">
        <v>1065</v>
      </c>
      <c r="B310" s="457" t="s">
        <v>150</v>
      </c>
      <c r="C310" s="457" t="s">
        <v>238</v>
      </c>
      <c r="D310" s="457" t="s">
        <v>1062</v>
      </c>
      <c r="E310" s="457"/>
      <c r="F310" s="59">
        <f t="shared" si="25"/>
        <v>150</v>
      </c>
      <c r="G310" s="59">
        <f t="shared" si="25"/>
        <v>150</v>
      </c>
    </row>
    <row r="311" spans="1:9" ht="31.5" x14ac:dyDescent="0.25">
      <c r="A311" s="458" t="s">
        <v>1066</v>
      </c>
      <c r="B311" s="454" t="s">
        <v>150</v>
      </c>
      <c r="C311" s="454" t="s">
        <v>238</v>
      </c>
      <c r="D311" s="454" t="s">
        <v>1063</v>
      </c>
      <c r="E311" s="454"/>
      <c r="F311" s="451">
        <f t="shared" si="25"/>
        <v>150</v>
      </c>
      <c r="G311" s="451">
        <f t="shared" si="25"/>
        <v>150</v>
      </c>
    </row>
    <row r="312" spans="1:9" ht="15.75" x14ac:dyDescent="0.25">
      <c r="A312" s="458" t="s">
        <v>135</v>
      </c>
      <c r="B312" s="454" t="s">
        <v>150</v>
      </c>
      <c r="C312" s="454" t="s">
        <v>238</v>
      </c>
      <c r="D312" s="454" t="s">
        <v>1063</v>
      </c>
      <c r="E312" s="454" t="s">
        <v>145</v>
      </c>
      <c r="F312" s="451">
        <f t="shared" si="25"/>
        <v>150</v>
      </c>
      <c r="G312" s="451">
        <f t="shared" si="25"/>
        <v>150</v>
      </c>
    </row>
    <row r="313" spans="1:9" ht="63" x14ac:dyDescent="0.25">
      <c r="A313" s="458" t="s">
        <v>184</v>
      </c>
      <c r="B313" s="454" t="s">
        <v>150</v>
      </c>
      <c r="C313" s="454" t="s">
        <v>238</v>
      </c>
      <c r="D313" s="454" t="s">
        <v>1063</v>
      </c>
      <c r="E313" s="454" t="s">
        <v>160</v>
      </c>
      <c r="F313" s="451">
        <f>'пр.6.1.ведом.22-23 (2)'!G217</f>
        <v>150</v>
      </c>
      <c r="G313" s="451">
        <f>'пр.6.1.ведом.22-23 (2)'!H217</f>
        <v>150</v>
      </c>
    </row>
    <row r="314" spans="1:9" ht="15.75" x14ac:dyDescent="0.25">
      <c r="A314" s="456" t="s">
        <v>390</v>
      </c>
      <c r="B314" s="457" t="s">
        <v>234</v>
      </c>
      <c r="C314" s="457"/>
      <c r="D314" s="457"/>
      <c r="E314" s="457"/>
      <c r="F314" s="450">
        <f>F315++F329+F393+F443</f>
        <v>41786.1</v>
      </c>
      <c r="G314" s="450">
        <f>G315++G329+G393+G443</f>
        <v>49898.45</v>
      </c>
    </row>
    <row r="315" spans="1:9" ht="15.75" x14ac:dyDescent="0.25">
      <c r="A315" s="456" t="s">
        <v>391</v>
      </c>
      <c r="B315" s="457" t="s">
        <v>234</v>
      </c>
      <c r="C315" s="457" t="s">
        <v>118</v>
      </c>
      <c r="D315" s="457"/>
      <c r="E315" s="457"/>
      <c r="F315" s="450">
        <f t="shared" ref="F315:G316" si="26">F316</f>
        <v>6060.4</v>
      </c>
      <c r="G315" s="450">
        <f t="shared" si="26"/>
        <v>6060.4</v>
      </c>
      <c r="I315" s="22"/>
    </row>
    <row r="316" spans="1:9" ht="15.75" x14ac:dyDescent="0.25">
      <c r="A316" s="456" t="s">
        <v>141</v>
      </c>
      <c r="B316" s="457" t="s">
        <v>234</v>
      </c>
      <c r="C316" s="457" t="s">
        <v>118</v>
      </c>
      <c r="D316" s="457" t="s">
        <v>866</v>
      </c>
      <c r="E316" s="457"/>
      <c r="F316" s="450">
        <f t="shared" si="26"/>
        <v>6060.4</v>
      </c>
      <c r="G316" s="450">
        <f t="shared" si="26"/>
        <v>6060.4</v>
      </c>
    </row>
    <row r="317" spans="1:9" ht="31.5" x14ac:dyDescent="0.25">
      <c r="A317" s="456" t="s">
        <v>870</v>
      </c>
      <c r="B317" s="457" t="s">
        <v>234</v>
      </c>
      <c r="C317" s="457" t="s">
        <v>118</v>
      </c>
      <c r="D317" s="457" t="s">
        <v>865</v>
      </c>
      <c r="E317" s="457"/>
      <c r="F317" s="450">
        <f>F318+F323+F326</f>
        <v>6060.4</v>
      </c>
      <c r="G317" s="450">
        <f>G318+G323+G326</f>
        <v>6060.4</v>
      </c>
    </row>
    <row r="318" spans="1:9" ht="15.75" hidden="1" x14ac:dyDescent="0.25">
      <c r="A318" s="458" t="s">
        <v>515</v>
      </c>
      <c r="B318" s="454" t="s">
        <v>774</v>
      </c>
      <c r="C318" s="454" t="s">
        <v>118</v>
      </c>
      <c r="D318" s="454" t="s">
        <v>960</v>
      </c>
      <c r="E318" s="457"/>
      <c r="F318" s="451">
        <f>'[1]Пр.4 Рд,пр, ЦС,ВР 21'!F306</f>
        <v>0</v>
      </c>
      <c r="G318" s="451">
        <f t="shared" si="22"/>
        <v>0</v>
      </c>
    </row>
    <row r="319" spans="1:9" ht="31.5" hidden="1" x14ac:dyDescent="0.25">
      <c r="A319" s="458" t="s">
        <v>131</v>
      </c>
      <c r="B319" s="454" t="s">
        <v>234</v>
      </c>
      <c r="C319" s="454" t="s">
        <v>118</v>
      </c>
      <c r="D319" s="454" t="s">
        <v>960</v>
      </c>
      <c r="E319" s="454" t="s">
        <v>132</v>
      </c>
      <c r="F319" s="451">
        <f>'[1]Пр.4 Рд,пр, ЦС,ВР 21'!F307</f>
        <v>0</v>
      </c>
      <c r="G319" s="451">
        <f t="shared" si="22"/>
        <v>0</v>
      </c>
    </row>
    <row r="320" spans="1:9" ht="47.25" hidden="1" x14ac:dyDescent="0.25">
      <c r="A320" s="458" t="s">
        <v>133</v>
      </c>
      <c r="B320" s="454" t="s">
        <v>234</v>
      </c>
      <c r="C320" s="454" t="s">
        <v>118</v>
      </c>
      <c r="D320" s="454" t="s">
        <v>960</v>
      </c>
      <c r="E320" s="454" t="s">
        <v>134</v>
      </c>
      <c r="F320" s="451">
        <f>'[1]Пр.4 Рд,пр, ЦС,ВР 21'!F308</f>
        <v>0</v>
      </c>
      <c r="G320" s="451">
        <f t="shared" si="22"/>
        <v>0</v>
      </c>
    </row>
    <row r="321" spans="1:7" ht="15.75" hidden="1" x14ac:dyDescent="0.25">
      <c r="A321" s="458" t="s">
        <v>135</v>
      </c>
      <c r="B321" s="454" t="s">
        <v>234</v>
      </c>
      <c r="C321" s="454" t="s">
        <v>118</v>
      </c>
      <c r="D321" s="454" t="s">
        <v>960</v>
      </c>
      <c r="E321" s="454" t="s">
        <v>145</v>
      </c>
      <c r="F321" s="451">
        <f>'[1]Пр.4 Рд,пр, ЦС,ВР 21'!F309</f>
        <v>0</v>
      </c>
      <c r="G321" s="451">
        <f t="shared" si="22"/>
        <v>0</v>
      </c>
    </row>
    <row r="322" spans="1:7" ht="63" hidden="1" x14ac:dyDescent="0.25">
      <c r="A322" s="458" t="s">
        <v>184</v>
      </c>
      <c r="B322" s="454" t="s">
        <v>234</v>
      </c>
      <c r="C322" s="454" t="s">
        <v>118</v>
      </c>
      <c r="D322" s="454" t="s">
        <v>960</v>
      </c>
      <c r="E322" s="454" t="s">
        <v>160</v>
      </c>
      <c r="F322" s="451">
        <f>'[1]Пр.4 Рд,пр, ЦС,ВР 21'!F310</f>
        <v>0</v>
      </c>
      <c r="G322" s="451">
        <f t="shared" si="22"/>
        <v>0</v>
      </c>
    </row>
    <row r="323" spans="1:7" ht="31.5" x14ac:dyDescent="0.25">
      <c r="A323" s="29" t="s">
        <v>398</v>
      </c>
      <c r="B323" s="454" t="s">
        <v>234</v>
      </c>
      <c r="C323" s="454" t="s">
        <v>118</v>
      </c>
      <c r="D323" s="454" t="s">
        <v>961</v>
      </c>
      <c r="E323" s="457"/>
      <c r="F323" s="451">
        <f>F324</f>
        <v>4920.3999999999996</v>
      </c>
      <c r="G323" s="451">
        <f>G324</f>
        <v>4920.3999999999996</v>
      </c>
    </row>
    <row r="324" spans="1:7" ht="31.5" x14ac:dyDescent="0.25">
      <c r="A324" s="458" t="s">
        <v>131</v>
      </c>
      <c r="B324" s="454" t="s">
        <v>234</v>
      </c>
      <c r="C324" s="454" t="s">
        <v>118</v>
      </c>
      <c r="D324" s="454" t="s">
        <v>961</v>
      </c>
      <c r="E324" s="454" t="s">
        <v>132</v>
      </c>
      <c r="F324" s="451">
        <f>F325</f>
        <v>4920.3999999999996</v>
      </c>
      <c r="G324" s="451">
        <f>G325</f>
        <v>4920.3999999999996</v>
      </c>
    </row>
    <row r="325" spans="1:7" ht="47.25" x14ac:dyDescent="0.25">
      <c r="A325" s="458" t="s">
        <v>133</v>
      </c>
      <c r="B325" s="454" t="s">
        <v>234</v>
      </c>
      <c r="C325" s="454" t="s">
        <v>118</v>
      </c>
      <c r="D325" s="454" t="s">
        <v>961</v>
      </c>
      <c r="E325" s="454" t="s">
        <v>134</v>
      </c>
      <c r="F325" s="451">
        <f>'пр.6.1.ведом.22-23 (2)'!G885+'пр.6.1.ведом.22-23 (2)'!G527</f>
        <v>4920.3999999999996</v>
      </c>
      <c r="G325" s="451">
        <f>'пр.6.1.ведом.22-23 (2)'!H885+'пр.6.1.ведом.22-23 (2)'!H527</f>
        <v>4920.3999999999996</v>
      </c>
    </row>
    <row r="326" spans="1:7" ht="47.25" x14ac:dyDescent="0.25">
      <c r="A326" s="29" t="s">
        <v>932</v>
      </c>
      <c r="B326" s="454" t="s">
        <v>234</v>
      </c>
      <c r="C326" s="454" t="s">
        <v>118</v>
      </c>
      <c r="D326" s="454" t="s">
        <v>962</v>
      </c>
      <c r="E326" s="457"/>
      <c r="F326" s="451">
        <f>F327</f>
        <v>1140</v>
      </c>
      <c r="G326" s="451">
        <f>G327</f>
        <v>1140</v>
      </c>
    </row>
    <row r="327" spans="1:7" ht="31.5" x14ac:dyDescent="0.25">
      <c r="A327" s="458" t="s">
        <v>131</v>
      </c>
      <c r="B327" s="454" t="s">
        <v>234</v>
      </c>
      <c r="C327" s="454" t="s">
        <v>118</v>
      </c>
      <c r="D327" s="454" t="s">
        <v>962</v>
      </c>
      <c r="E327" s="454" t="s">
        <v>132</v>
      </c>
      <c r="F327" s="451">
        <f>F328</f>
        <v>1140</v>
      </c>
      <c r="G327" s="451">
        <f>G328</f>
        <v>1140</v>
      </c>
    </row>
    <row r="328" spans="1:7" ht="47.25" x14ac:dyDescent="0.25">
      <c r="A328" s="458" t="s">
        <v>133</v>
      </c>
      <c r="B328" s="454" t="s">
        <v>234</v>
      </c>
      <c r="C328" s="454" t="s">
        <v>118</v>
      </c>
      <c r="D328" s="454" t="s">
        <v>962</v>
      </c>
      <c r="E328" s="454" t="s">
        <v>134</v>
      </c>
      <c r="F328" s="451">
        <f>'пр.6.1.ведом.22-23 (2)'!G530+'пр.6.1.ведом.22-23 (2)'!G888</f>
        <v>1140</v>
      </c>
      <c r="G328" s="451">
        <f>'пр.6.1.ведом.22-23 (2)'!H530+'пр.6.1.ведом.22-23 (2)'!H888</f>
        <v>1140</v>
      </c>
    </row>
    <row r="329" spans="1:7" ht="15.75" x14ac:dyDescent="0.25">
      <c r="A329" s="456" t="s">
        <v>517</v>
      </c>
      <c r="B329" s="457" t="s">
        <v>234</v>
      </c>
      <c r="C329" s="457" t="s">
        <v>213</v>
      </c>
      <c r="D329" s="457"/>
      <c r="E329" s="457"/>
      <c r="F329" s="450">
        <f>F359+F330+F388</f>
        <v>6611.199999999998</v>
      </c>
      <c r="G329" s="450">
        <f>G359+G330+G388</f>
        <v>14470.550000000001</v>
      </c>
    </row>
    <row r="330" spans="1:7" ht="15.75" x14ac:dyDescent="0.25">
      <c r="A330" s="456" t="s">
        <v>141</v>
      </c>
      <c r="B330" s="457" t="s">
        <v>234</v>
      </c>
      <c r="C330" s="457" t="s">
        <v>213</v>
      </c>
      <c r="D330" s="457" t="s">
        <v>866</v>
      </c>
      <c r="E330" s="457"/>
      <c r="F330" s="450">
        <f>F331+F342</f>
        <v>5707.199999999998</v>
      </c>
      <c r="G330" s="450">
        <f>G331+G342</f>
        <v>13555.550000000001</v>
      </c>
    </row>
    <row r="331" spans="1:7" ht="31.5" x14ac:dyDescent="0.25">
      <c r="A331" s="456" t="s">
        <v>870</v>
      </c>
      <c r="B331" s="457" t="s">
        <v>234</v>
      </c>
      <c r="C331" s="457" t="s">
        <v>213</v>
      </c>
      <c r="D331" s="457" t="s">
        <v>865</v>
      </c>
      <c r="E331" s="457"/>
      <c r="F331" s="450">
        <f>F332+F337</f>
        <v>5707.199999999998</v>
      </c>
      <c r="G331" s="450">
        <f>G332+G337</f>
        <v>13555.550000000001</v>
      </c>
    </row>
    <row r="332" spans="1:7" ht="31.5" hidden="1" x14ac:dyDescent="0.25">
      <c r="A332" s="35" t="s">
        <v>537</v>
      </c>
      <c r="B332" s="454" t="s">
        <v>234</v>
      </c>
      <c r="C332" s="454" t="s">
        <v>213</v>
      </c>
      <c r="D332" s="454" t="s">
        <v>979</v>
      </c>
      <c r="E332" s="454"/>
      <c r="F332" s="451">
        <f>F333+F335</f>
        <v>0</v>
      </c>
      <c r="G332" s="451">
        <f t="shared" si="22"/>
        <v>0</v>
      </c>
    </row>
    <row r="333" spans="1:7" ht="31.5" hidden="1" x14ac:dyDescent="0.25">
      <c r="A333" s="458" t="s">
        <v>131</v>
      </c>
      <c r="B333" s="454" t="s">
        <v>234</v>
      </c>
      <c r="C333" s="454" t="s">
        <v>213</v>
      </c>
      <c r="D333" s="454" t="s">
        <v>979</v>
      </c>
      <c r="E333" s="454" t="s">
        <v>132</v>
      </c>
      <c r="F333" s="451">
        <f>F334</f>
        <v>0</v>
      </c>
      <c r="G333" s="451">
        <f t="shared" si="22"/>
        <v>0</v>
      </c>
    </row>
    <row r="334" spans="1:7" ht="47.25" hidden="1" x14ac:dyDescent="0.25">
      <c r="A334" s="458" t="s">
        <v>133</v>
      </c>
      <c r="B334" s="454" t="s">
        <v>234</v>
      </c>
      <c r="C334" s="454" t="s">
        <v>213</v>
      </c>
      <c r="D334" s="454" t="s">
        <v>979</v>
      </c>
      <c r="E334" s="454" t="s">
        <v>134</v>
      </c>
      <c r="F334" s="451">
        <f>'пр.6.1.ведом.22-23 (2)'!G894</f>
        <v>0</v>
      </c>
      <c r="G334" s="451">
        <f t="shared" si="22"/>
        <v>0</v>
      </c>
    </row>
    <row r="335" spans="1:7" ht="15.75" hidden="1" x14ac:dyDescent="0.25">
      <c r="A335" s="458" t="s">
        <v>135</v>
      </c>
      <c r="B335" s="454" t="s">
        <v>234</v>
      </c>
      <c r="C335" s="454" t="s">
        <v>213</v>
      </c>
      <c r="D335" s="454" t="s">
        <v>979</v>
      </c>
      <c r="E335" s="454" t="s">
        <v>145</v>
      </c>
      <c r="F335" s="451">
        <f>F336</f>
        <v>0</v>
      </c>
      <c r="G335" s="451">
        <f t="shared" si="22"/>
        <v>0</v>
      </c>
    </row>
    <row r="336" spans="1:7" ht="63" hidden="1" x14ac:dyDescent="0.25">
      <c r="A336" s="458" t="s">
        <v>184</v>
      </c>
      <c r="B336" s="454" t="s">
        <v>234</v>
      </c>
      <c r="C336" s="454" t="s">
        <v>213</v>
      </c>
      <c r="D336" s="454" t="s">
        <v>979</v>
      </c>
      <c r="E336" s="454" t="s">
        <v>160</v>
      </c>
      <c r="F336" s="451">
        <f>'пр.6.1.ведом.22-23 (2)'!G896</f>
        <v>0</v>
      </c>
      <c r="G336" s="451">
        <f t="shared" si="22"/>
        <v>0</v>
      </c>
    </row>
    <row r="337" spans="1:7" ht="47.25" x14ac:dyDescent="0.25">
      <c r="A337" s="29" t="s">
        <v>932</v>
      </c>
      <c r="B337" s="454" t="s">
        <v>234</v>
      </c>
      <c r="C337" s="454" t="s">
        <v>213</v>
      </c>
      <c r="D337" s="454" t="s">
        <v>962</v>
      </c>
      <c r="E337" s="454"/>
      <c r="F337" s="451">
        <f>F338</f>
        <v>5707.199999999998</v>
      </c>
      <c r="G337" s="451">
        <f>G338</f>
        <v>13555.550000000001</v>
      </c>
    </row>
    <row r="338" spans="1:7" ht="31.5" x14ac:dyDescent="0.25">
      <c r="A338" s="458" t="s">
        <v>131</v>
      </c>
      <c r="B338" s="454" t="s">
        <v>234</v>
      </c>
      <c r="C338" s="454" t="s">
        <v>213</v>
      </c>
      <c r="D338" s="454" t="s">
        <v>962</v>
      </c>
      <c r="E338" s="454" t="s">
        <v>132</v>
      </c>
      <c r="F338" s="451">
        <f>F339</f>
        <v>5707.199999999998</v>
      </c>
      <c r="G338" s="451">
        <f>G339</f>
        <v>13555.550000000001</v>
      </c>
    </row>
    <row r="339" spans="1:7" ht="47.25" x14ac:dyDescent="0.25">
      <c r="A339" s="458" t="s">
        <v>133</v>
      </c>
      <c r="B339" s="454" t="s">
        <v>234</v>
      </c>
      <c r="C339" s="454" t="s">
        <v>213</v>
      </c>
      <c r="D339" s="454" t="s">
        <v>962</v>
      </c>
      <c r="E339" s="454" t="s">
        <v>134</v>
      </c>
      <c r="F339" s="451">
        <f>'пр.6.1.ведом.22-23 (2)'!G899</f>
        <v>5707.199999999998</v>
      </c>
      <c r="G339" s="451">
        <f>'пр.6.1.ведом.22-23 (2)'!H899</f>
        <v>13555.550000000001</v>
      </c>
    </row>
    <row r="340" spans="1:7" ht="15.75" hidden="1" x14ac:dyDescent="0.25">
      <c r="A340" s="458" t="s">
        <v>135</v>
      </c>
      <c r="B340" s="454" t="s">
        <v>234</v>
      </c>
      <c r="C340" s="454" t="s">
        <v>213</v>
      </c>
      <c r="D340" s="454" t="s">
        <v>962</v>
      </c>
      <c r="E340" s="454" t="s">
        <v>145</v>
      </c>
      <c r="F340" s="451">
        <f>'[1]Пр.4 Рд,пр, ЦС,ВР 21'!F329</f>
        <v>0</v>
      </c>
      <c r="G340" s="451">
        <f t="shared" si="22"/>
        <v>0</v>
      </c>
    </row>
    <row r="341" spans="1:7" ht="15.75" hidden="1" x14ac:dyDescent="0.25">
      <c r="A341" s="458" t="s">
        <v>146</v>
      </c>
      <c r="B341" s="454" t="s">
        <v>234</v>
      </c>
      <c r="C341" s="454" t="s">
        <v>213</v>
      </c>
      <c r="D341" s="454" t="s">
        <v>962</v>
      </c>
      <c r="E341" s="454" t="s">
        <v>147</v>
      </c>
      <c r="F341" s="451">
        <f>'[1]Пр.4 Рд,пр, ЦС,ВР 21'!F330</f>
        <v>0</v>
      </c>
      <c r="G341" s="451">
        <f t="shared" si="22"/>
        <v>0</v>
      </c>
    </row>
    <row r="342" spans="1:7" ht="63" hidden="1" x14ac:dyDescent="0.25">
      <c r="A342" s="456" t="s">
        <v>1013</v>
      </c>
      <c r="B342" s="457" t="s">
        <v>234</v>
      </c>
      <c r="C342" s="457" t="s">
        <v>213</v>
      </c>
      <c r="D342" s="457" t="s">
        <v>980</v>
      </c>
      <c r="E342" s="457"/>
      <c r="F342" s="450">
        <f>F343+F348+F351+F356</f>
        <v>0</v>
      </c>
      <c r="G342" s="450">
        <f>G343+G348+G351+G356</f>
        <v>0</v>
      </c>
    </row>
    <row r="343" spans="1:7" ht="47.25" hidden="1" x14ac:dyDescent="0.25">
      <c r="A343" s="458" t="s">
        <v>827</v>
      </c>
      <c r="B343" s="454" t="s">
        <v>234</v>
      </c>
      <c r="C343" s="454" t="s">
        <v>213</v>
      </c>
      <c r="D343" s="454" t="s">
        <v>981</v>
      </c>
      <c r="E343" s="454"/>
      <c r="F343" s="451">
        <f>'[1]Пр.4 Рд,пр, ЦС,ВР 21'!F332</f>
        <v>0</v>
      </c>
      <c r="G343" s="451">
        <f t="shared" ref="G343:G387" si="27">F343</f>
        <v>0</v>
      </c>
    </row>
    <row r="344" spans="1:7" ht="31.5" hidden="1" x14ac:dyDescent="0.25">
      <c r="A344" s="458" t="s">
        <v>131</v>
      </c>
      <c r="B344" s="454" t="s">
        <v>234</v>
      </c>
      <c r="C344" s="454" t="s">
        <v>213</v>
      </c>
      <c r="D344" s="454" t="s">
        <v>981</v>
      </c>
      <c r="E344" s="454" t="s">
        <v>132</v>
      </c>
      <c r="F344" s="451">
        <f>'[1]Пр.4 Рд,пр, ЦС,ВР 21'!F333</f>
        <v>0</v>
      </c>
      <c r="G344" s="451">
        <f t="shared" si="27"/>
        <v>0</v>
      </c>
    </row>
    <row r="345" spans="1:7" ht="47.25" hidden="1" x14ac:dyDescent="0.25">
      <c r="A345" s="458" t="s">
        <v>133</v>
      </c>
      <c r="B345" s="454" t="s">
        <v>234</v>
      </c>
      <c r="C345" s="454" t="s">
        <v>213</v>
      </c>
      <c r="D345" s="454" t="s">
        <v>981</v>
      </c>
      <c r="E345" s="454" t="s">
        <v>134</v>
      </c>
      <c r="F345" s="451">
        <f>'[1]Пр.4 Рд,пр, ЦС,ВР 21'!F334</f>
        <v>0</v>
      </c>
      <c r="G345" s="451">
        <f t="shared" si="27"/>
        <v>0</v>
      </c>
    </row>
    <row r="346" spans="1:7" ht="15.75" hidden="1" x14ac:dyDescent="0.25">
      <c r="A346" s="458" t="s">
        <v>135</v>
      </c>
      <c r="B346" s="454" t="s">
        <v>234</v>
      </c>
      <c r="C346" s="454" t="s">
        <v>213</v>
      </c>
      <c r="D346" s="454" t="s">
        <v>981</v>
      </c>
      <c r="E346" s="454" t="s">
        <v>837</v>
      </c>
      <c r="F346" s="451">
        <f>'[1]Пр.4 Рд,пр, ЦС,ВР 21'!F335</f>
        <v>0</v>
      </c>
      <c r="G346" s="451">
        <f t="shared" si="27"/>
        <v>0</v>
      </c>
    </row>
    <row r="347" spans="1:7" ht="15.75" hidden="1" x14ac:dyDescent="0.25">
      <c r="A347" s="458" t="s">
        <v>568</v>
      </c>
      <c r="B347" s="454" t="s">
        <v>234</v>
      </c>
      <c r="C347" s="454" t="s">
        <v>213</v>
      </c>
      <c r="D347" s="454" t="s">
        <v>981</v>
      </c>
      <c r="E347" s="454" t="s">
        <v>1068</v>
      </c>
      <c r="F347" s="451">
        <f>'[1]Пр.4 Рд,пр, ЦС,ВР 21'!F336</f>
        <v>0</v>
      </c>
      <c r="G347" s="451">
        <f t="shared" si="27"/>
        <v>0</v>
      </c>
    </row>
    <row r="348" spans="1:7" ht="63" hidden="1" x14ac:dyDescent="0.25">
      <c r="A348" s="458" t="s">
        <v>793</v>
      </c>
      <c r="B348" s="454" t="s">
        <v>234</v>
      </c>
      <c r="C348" s="454" t="s">
        <v>213</v>
      </c>
      <c r="D348" s="454" t="s">
        <v>982</v>
      </c>
      <c r="E348" s="454"/>
      <c r="F348" s="451">
        <f>'[1]Пр.4 Рд,пр, ЦС,ВР 21'!F337</f>
        <v>0</v>
      </c>
      <c r="G348" s="451">
        <f t="shared" si="27"/>
        <v>0</v>
      </c>
    </row>
    <row r="349" spans="1:7" ht="31.5" hidden="1" x14ac:dyDescent="0.25">
      <c r="A349" s="458" t="s">
        <v>131</v>
      </c>
      <c r="B349" s="454" t="s">
        <v>234</v>
      </c>
      <c r="C349" s="454" t="s">
        <v>213</v>
      </c>
      <c r="D349" s="454" t="s">
        <v>982</v>
      </c>
      <c r="E349" s="454" t="s">
        <v>132</v>
      </c>
      <c r="F349" s="451">
        <f>'[1]Пр.4 Рд,пр, ЦС,ВР 21'!F338</f>
        <v>0</v>
      </c>
      <c r="G349" s="451">
        <f t="shared" si="27"/>
        <v>0</v>
      </c>
    </row>
    <row r="350" spans="1:7" ht="47.25" hidden="1" x14ac:dyDescent="0.25">
      <c r="A350" s="458" t="s">
        <v>133</v>
      </c>
      <c r="B350" s="454" t="s">
        <v>234</v>
      </c>
      <c r="C350" s="454" t="s">
        <v>213</v>
      </c>
      <c r="D350" s="454" t="s">
        <v>982</v>
      </c>
      <c r="E350" s="454" t="s">
        <v>134</v>
      </c>
      <c r="F350" s="451">
        <f>'[1]Пр.4 Рд,пр, ЦС,ВР 21'!F339</f>
        <v>0</v>
      </c>
      <c r="G350" s="451">
        <f t="shared" si="27"/>
        <v>0</v>
      </c>
    </row>
    <row r="351" spans="1:7" ht="47.25" hidden="1" x14ac:dyDescent="0.25">
      <c r="A351" s="97" t="s">
        <v>833</v>
      </c>
      <c r="B351" s="454" t="s">
        <v>234</v>
      </c>
      <c r="C351" s="454" t="s">
        <v>213</v>
      </c>
      <c r="D351" s="454" t="s">
        <v>983</v>
      </c>
      <c r="E351" s="454"/>
      <c r="F351" s="451">
        <f>'[1]Пр.4 Рд,пр, ЦС,ВР 21'!F340</f>
        <v>0</v>
      </c>
      <c r="G351" s="451">
        <f t="shared" si="27"/>
        <v>0</v>
      </c>
    </row>
    <row r="352" spans="1:7" ht="47.25" hidden="1" x14ac:dyDescent="0.25">
      <c r="A352" s="458" t="s">
        <v>838</v>
      </c>
      <c r="B352" s="454" t="s">
        <v>234</v>
      </c>
      <c r="C352" s="454" t="s">
        <v>213</v>
      </c>
      <c r="D352" s="454" t="s">
        <v>983</v>
      </c>
      <c r="E352" s="454" t="s">
        <v>837</v>
      </c>
      <c r="F352" s="451">
        <f>'[1]Пр.4 Рд,пр, ЦС,ВР 21'!F341</f>
        <v>0</v>
      </c>
      <c r="G352" s="451">
        <f t="shared" si="27"/>
        <v>0</v>
      </c>
    </row>
    <row r="353" spans="1:7" ht="63" hidden="1" x14ac:dyDescent="0.25">
      <c r="A353" s="458" t="s">
        <v>1049</v>
      </c>
      <c r="B353" s="454" t="s">
        <v>234</v>
      </c>
      <c r="C353" s="454" t="s">
        <v>213</v>
      </c>
      <c r="D353" s="454" t="s">
        <v>983</v>
      </c>
      <c r="E353" s="454" t="s">
        <v>1068</v>
      </c>
      <c r="F353" s="451">
        <f>'[1]Пр.4 Рд,пр, ЦС,ВР 21'!F342</f>
        <v>0</v>
      </c>
      <c r="G353" s="451">
        <f t="shared" si="27"/>
        <v>0</v>
      </c>
    </row>
    <row r="354" spans="1:7" ht="15.75" hidden="1" x14ac:dyDescent="0.25">
      <c r="A354" s="458" t="s">
        <v>135</v>
      </c>
      <c r="B354" s="454" t="s">
        <v>234</v>
      </c>
      <c r="C354" s="454" t="s">
        <v>213</v>
      </c>
      <c r="D354" s="454" t="s">
        <v>983</v>
      </c>
      <c r="E354" s="454" t="s">
        <v>145</v>
      </c>
      <c r="F354" s="451">
        <f>'[1]Пр.4 Рд,пр, ЦС,ВР 21'!F343</f>
        <v>0</v>
      </c>
      <c r="G354" s="451">
        <f t="shared" si="27"/>
        <v>0</v>
      </c>
    </row>
    <row r="355" spans="1:7" ht="15.75" hidden="1" x14ac:dyDescent="0.25">
      <c r="A355" s="458" t="s">
        <v>704</v>
      </c>
      <c r="B355" s="454" t="s">
        <v>234</v>
      </c>
      <c r="C355" s="454" t="s">
        <v>213</v>
      </c>
      <c r="D355" s="454" t="s">
        <v>983</v>
      </c>
      <c r="E355" s="454" t="s">
        <v>138</v>
      </c>
      <c r="F355" s="451">
        <f>'[1]Пр.4 Рд,пр, ЦС,ВР 21'!F344</f>
        <v>0</v>
      </c>
      <c r="G355" s="451">
        <f t="shared" si="27"/>
        <v>0</v>
      </c>
    </row>
    <row r="356" spans="1:7" ht="31.5" hidden="1" x14ac:dyDescent="0.25">
      <c r="A356" s="458" t="s">
        <v>1069</v>
      </c>
      <c r="B356" s="454" t="s">
        <v>234</v>
      </c>
      <c r="C356" s="454" t="s">
        <v>213</v>
      </c>
      <c r="D356" s="454" t="s">
        <v>1070</v>
      </c>
      <c r="E356" s="454"/>
      <c r="F356" s="451">
        <f>'[1]Пр.4 Рд,пр, ЦС,ВР 21'!F345</f>
        <v>0</v>
      </c>
      <c r="G356" s="451">
        <f t="shared" si="27"/>
        <v>0</v>
      </c>
    </row>
    <row r="357" spans="1:7" ht="31.5" hidden="1" x14ac:dyDescent="0.25">
      <c r="A357" s="458" t="s">
        <v>131</v>
      </c>
      <c r="B357" s="454" t="s">
        <v>234</v>
      </c>
      <c r="C357" s="454" t="s">
        <v>213</v>
      </c>
      <c r="D357" s="454" t="s">
        <v>1070</v>
      </c>
      <c r="E357" s="454" t="s">
        <v>132</v>
      </c>
      <c r="F357" s="451">
        <f>'[1]Пр.4 Рд,пр, ЦС,ВР 21'!F346</f>
        <v>0</v>
      </c>
      <c r="G357" s="451">
        <f t="shared" si="27"/>
        <v>0</v>
      </c>
    </row>
    <row r="358" spans="1:7" ht="47.25" hidden="1" x14ac:dyDescent="0.25">
      <c r="A358" s="458" t="s">
        <v>133</v>
      </c>
      <c r="B358" s="454" t="s">
        <v>234</v>
      </c>
      <c r="C358" s="454" t="s">
        <v>213</v>
      </c>
      <c r="D358" s="454" t="s">
        <v>1070</v>
      </c>
      <c r="E358" s="454" t="s">
        <v>134</v>
      </c>
      <c r="F358" s="451">
        <f>'[1]Пр.4 Рд,пр, ЦС,ВР 21'!F347</f>
        <v>0</v>
      </c>
      <c r="G358" s="451">
        <f t="shared" si="27"/>
        <v>0</v>
      </c>
    </row>
    <row r="359" spans="1:7" ht="63" x14ac:dyDescent="0.25">
      <c r="A359" s="456" t="s">
        <v>1535</v>
      </c>
      <c r="B359" s="457" t="s">
        <v>234</v>
      </c>
      <c r="C359" s="457" t="s">
        <v>213</v>
      </c>
      <c r="D359" s="457" t="s">
        <v>518</v>
      </c>
      <c r="E359" s="457"/>
      <c r="F359" s="450">
        <f>F360+F364+F368+F372+F376+F380+F384</f>
        <v>700</v>
      </c>
      <c r="G359" s="450">
        <f>G360+G364+G368+G372+G376+G380+G384</f>
        <v>700</v>
      </c>
    </row>
    <row r="360" spans="1:7" ht="31.5" x14ac:dyDescent="0.25">
      <c r="A360" s="456" t="s">
        <v>963</v>
      </c>
      <c r="B360" s="457" t="s">
        <v>234</v>
      </c>
      <c r="C360" s="457" t="s">
        <v>213</v>
      </c>
      <c r="D360" s="457" t="s">
        <v>965</v>
      </c>
      <c r="E360" s="457"/>
      <c r="F360" s="450">
        <f t="shared" ref="F360:G362" si="28">F361</f>
        <v>700</v>
      </c>
      <c r="G360" s="450">
        <f t="shared" si="28"/>
        <v>700</v>
      </c>
    </row>
    <row r="361" spans="1:7" ht="15.75" x14ac:dyDescent="0.25">
      <c r="A361" s="45" t="s">
        <v>964</v>
      </c>
      <c r="B361" s="461" t="s">
        <v>234</v>
      </c>
      <c r="C361" s="461" t="s">
        <v>213</v>
      </c>
      <c r="D361" s="454" t="s">
        <v>966</v>
      </c>
      <c r="E361" s="461"/>
      <c r="F361" s="451">
        <f t="shared" si="28"/>
        <v>700</v>
      </c>
      <c r="G361" s="451">
        <f t="shared" si="28"/>
        <v>700</v>
      </c>
    </row>
    <row r="362" spans="1:7" ht="31.5" x14ac:dyDescent="0.25">
      <c r="A362" s="31" t="s">
        <v>131</v>
      </c>
      <c r="B362" s="461" t="s">
        <v>234</v>
      </c>
      <c r="C362" s="461" t="s">
        <v>213</v>
      </c>
      <c r="D362" s="454" t="s">
        <v>966</v>
      </c>
      <c r="E362" s="461" t="s">
        <v>132</v>
      </c>
      <c r="F362" s="451">
        <f t="shared" si="28"/>
        <v>700</v>
      </c>
      <c r="G362" s="451">
        <f t="shared" si="28"/>
        <v>700</v>
      </c>
    </row>
    <row r="363" spans="1:7" ht="47.25" x14ac:dyDescent="0.25">
      <c r="A363" s="31" t="s">
        <v>133</v>
      </c>
      <c r="B363" s="461" t="s">
        <v>234</v>
      </c>
      <c r="C363" s="461" t="s">
        <v>213</v>
      </c>
      <c r="D363" s="454" t="s">
        <v>966</v>
      </c>
      <c r="E363" s="461" t="s">
        <v>134</v>
      </c>
      <c r="F363" s="451">
        <f>'пр.6.1.ведом.22-23 (2)'!G923</f>
        <v>700</v>
      </c>
      <c r="G363" s="451">
        <f>'пр.6.1.ведом.22-23 (2)'!H923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457" t="s">
        <v>968</v>
      </c>
      <c r="E364" s="7"/>
      <c r="F364" s="450">
        <f>F365</f>
        <v>0</v>
      </c>
      <c r="G364" s="450">
        <f>G365</f>
        <v>0</v>
      </c>
    </row>
    <row r="365" spans="1:7" ht="15.75" hidden="1" x14ac:dyDescent="0.25">
      <c r="A365" s="45" t="s">
        <v>523</v>
      </c>
      <c r="B365" s="461" t="s">
        <v>234</v>
      </c>
      <c r="C365" s="461" t="s">
        <v>213</v>
      </c>
      <c r="D365" s="454" t="s">
        <v>971</v>
      </c>
      <c r="E365" s="461"/>
      <c r="F365" s="451">
        <f>'[1]Пр.4 Рд,пр, ЦС,ВР 21'!F354</f>
        <v>0</v>
      </c>
      <c r="G365" s="451">
        <f t="shared" si="27"/>
        <v>0</v>
      </c>
    </row>
    <row r="366" spans="1:7" ht="31.5" hidden="1" x14ac:dyDescent="0.25">
      <c r="A366" s="31" t="s">
        <v>131</v>
      </c>
      <c r="B366" s="461" t="s">
        <v>234</v>
      </c>
      <c r="C366" s="461" t="s">
        <v>213</v>
      </c>
      <c r="D366" s="454" t="s">
        <v>971</v>
      </c>
      <c r="E366" s="461" t="s">
        <v>132</v>
      </c>
      <c r="F366" s="451">
        <f>'[1]Пр.4 Рд,пр, ЦС,ВР 21'!F355</f>
        <v>0</v>
      </c>
      <c r="G366" s="451">
        <f t="shared" si="27"/>
        <v>0</v>
      </c>
    </row>
    <row r="367" spans="1:7" ht="47.25" hidden="1" x14ac:dyDescent="0.25">
      <c r="A367" s="31" t="s">
        <v>133</v>
      </c>
      <c r="B367" s="461" t="s">
        <v>234</v>
      </c>
      <c r="C367" s="461" t="s">
        <v>213</v>
      </c>
      <c r="D367" s="454" t="s">
        <v>971</v>
      </c>
      <c r="E367" s="461" t="s">
        <v>134</v>
      </c>
      <c r="F367" s="451">
        <f>'[1]Пр.4 Рд,пр, ЦС,ВР 21'!F356</f>
        <v>0</v>
      </c>
      <c r="G367" s="451">
        <f t="shared" si="27"/>
        <v>0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457" t="s">
        <v>970</v>
      </c>
      <c r="E368" s="7"/>
      <c r="F368" s="450">
        <f>F369</f>
        <v>0</v>
      </c>
      <c r="G368" s="450">
        <f>G369</f>
        <v>0</v>
      </c>
    </row>
    <row r="369" spans="1:7" ht="15.75" hidden="1" x14ac:dyDescent="0.25">
      <c r="A369" s="45" t="s">
        <v>525</v>
      </c>
      <c r="B369" s="461" t="s">
        <v>234</v>
      </c>
      <c r="C369" s="461" t="s">
        <v>213</v>
      </c>
      <c r="D369" s="454" t="s">
        <v>972</v>
      </c>
      <c r="E369" s="461"/>
      <c r="F369" s="451">
        <f>'[1]Пр.4 Рд,пр, ЦС,ВР 21'!F358</f>
        <v>0</v>
      </c>
      <c r="G369" s="451">
        <f t="shared" si="27"/>
        <v>0</v>
      </c>
    </row>
    <row r="370" spans="1:7" ht="31.5" hidden="1" x14ac:dyDescent="0.25">
      <c r="A370" s="31" t="s">
        <v>131</v>
      </c>
      <c r="B370" s="461" t="s">
        <v>234</v>
      </c>
      <c r="C370" s="461" t="s">
        <v>213</v>
      </c>
      <c r="D370" s="454" t="s">
        <v>972</v>
      </c>
      <c r="E370" s="461" t="s">
        <v>132</v>
      </c>
      <c r="F370" s="451">
        <f>'[1]Пр.4 Рд,пр, ЦС,ВР 21'!F359</f>
        <v>0</v>
      </c>
      <c r="G370" s="451">
        <f t="shared" si="27"/>
        <v>0</v>
      </c>
    </row>
    <row r="371" spans="1:7" ht="47.25" hidden="1" x14ac:dyDescent="0.25">
      <c r="A371" s="31" t="s">
        <v>133</v>
      </c>
      <c r="B371" s="461" t="s">
        <v>234</v>
      </c>
      <c r="C371" s="461" t="s">
        <v>213</v>
      </c>
      <c r="D371" s="454" t="s">
        <v>972</v>
      </c>
      <c r="E371" s="461" t="s">
        <v>134</v>
      </c>
      <c r="F371" s="451">
        <f>'[1]Пр.4 Рд,пр, ЦС,ВР 21'!F360</f>
        <v>0</v>
      </c>
      <c r="G371" s="451">
        <f t="shared" si="27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457" t="s">
        <v>974</v>
      </c>
      <c r="E372" s="7"/>
      <c r="F372" s="450">
        <f>F373</f>
        <v>0</v>
      </c>
      <c r="G372" s="450">
        <f>G373</f>
        <v>0</v>
      </c>
    </row>
    <row r="373" spans="1:7" ht="15.75" hidden="1" x14ac:dyDescent="0.25">
      <c r="A373" s="45" t="s">
        <v>527</v>
      </c>
      <c r="B373" s="461" t="s">
        <v>234</v>
      </c>
      <c r="C373" s="461" t="s">
        <v>213</v>
      </c>
      <c r="D373" s="454" t="s">
        <v>975</v>
      </c>
      <c r="E373" s="461"/>
      <c r="F373" s="451">
        <f>'[1]Пр.4 Рд,пр, ЦС,ВР 21'!F362</f>
        <v>0</v>
      </c>
      <c r="G373" s="451">
        <f t="shared" si="27"/>
        <v>0</v>
      </c>
    </row>
    <row r="374" spans="1:7" ht="31.5" hidden="1" x14ac:dyDescent="0.25">
      <c r="A374" s="31" t="s">
        <v>131</v>
      </c>
      <c r="B374" s="461" t="s">
        <v>234</v>
      </c>
      <c r="C374" s="461" t="s">
        <v>213</v>
      </c>
      <c r="D374" s="454" t="s">
        <v>975</v>
      </c>
      <c r="E374" s="461" t="s">
        <v>132</v>
      </c>
      <c r="F374" s="451">
        <f>'[1]Пр.4 Рд,пр, ЦС,ВР 21'!F363</f>
        <v>0</v>
      </c>
      <c r="G374" s="451">
        <f t="shared" si="27"/>
        <v>0</v>
      </c>
    </row>
    <row r="375" spans="1:7" ht="47.25" hidden="1" x14ac:dyDescent="0.25">
      <c r="A375" s="31" t="s">
        <v>133</v>
      </c>
      <c r="B375" s="461" t="s">
        <v>234</v>
      </c>
      <c r="C375" s="461" t="s">
        <v>213</v>
      </c>
      <c r="D375" s="454" t="s">
        <v>975</v>
      </c>
      <c r="E375" s="461" t="s">
        <v>134</v>
      </c>
      <c r="F375" s="451">
        <f>'[1]Пр.4 Рд,пр, ЦС,ВР 21'!F364</f>
        <v>0</v>
      </c>
      <c r="G375" s="451">
        <f t="shared" si="27"/>
        <v>0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457" t="s">
        <v>1015</v>
      </c>
      <c r="E376" s="7"/>
      <c r="F376" s="450">
        <f>F377</f>
        <v>0</v>
      </c>
      <c r="G376" s="450">
        <f>G377</f>
        <v>0</v>
      </c>
    </row>
    <row r="377" spans="1:7" ht="15.75" hidden="1" x14ac:dyDescent="0.25">
      <c r="A377" s="45" t="s">
        <v>529</v>
      </c>
      <c r="B377" s="461" t="s">
        <v>234</v>
      </c>
      <c r="C377" s="461" t="s">
        <v>213</v>
      </c>
      <c r="D377" s="454" t="s">
        <v>1018</v>
      </c>
      <c r="E377" s="461"/>
      <c r="F377" s="451">
        <f>'[1]Пр.4 Рд,пр, ЦС,ВР 21'!F366</f>
        <v>0</v>
      </c>
      <c r="G377" s="451">
        <f t="shared" si="27"/>
        <v>0</v>
      </c>
    </row>
    <row r="378" spans="1:7" ht="31.5" hidden="1" x14ac:dyDescent="0.25">
      <c r="A378" s="31" t="s">
        <v>131</v>
      </c>
      <c r="B378" s="461" t="s">
        <v>234</v>
      </c>
      <c r="C378" s="461" t="s">
        <v>213</v>
      </c>
      <c r="D378" s="454" t="s">
        <v>1018</v>
      </c>
      <c r="E378" s="461" t="s">
        <v>132</v>
      </c>
      <c r="F378" s="451">
        <f>'[1]Пр.4 Рд,пр, ЦС,ВР 21'!F367</f>
        <v>0</v>
      </c>
      <c r="G378" s="451">
        <f t="shared" si="27"/>
        <v>0</v>
      </c>
    </row>
    <row r="379" spans="1:7" ht="47.25" hidden="1" x14ac:dyDescent="0.25">
      <c r="A379" s="31" t="s">
        <v>133</v>
      </c>
      <c r="B379" s="461" t="s">
        <v>234</v>
      </c>
      <c r="C379" s="461" t="s">
        <v>213</v>
      </c>
      <c r="D379" s="454" t="s">
        <v>1018</v>
      </c>
      <c r="E379" s="461" t="s">
        <v>134</v>
      </c>
      <c r="F379" s="451">
        <f>'[1]Пр.4 Рд,пр, ЦС,ВР 21'!F368</f>
        <v>0</v>
      </c>
      <c r="G379" s="451">
        <f t="shared" si="27"/>
        <v>0</v>
      </c>
    </row>
    <row r="380" spans="1:7" ht="47.25" hidden="1" x14ac:dyDescent="0.25">
      <c r="A380" s="215" t="s">
        <v>1016</v>
      </c>
      <c r="B380" s="7" t="s">
        <v>234</v>
      </c>
      <c r="C380" s="7" t="s">
        <v>213</v>
      </c>
      <c r="D380" s="457" t="s">
        <v>1017</v>
      </c>
      <c r="E380" s="7"/>
      <c r="F380" s="450">
        <f>F381</f>
        <v>0</v>
      </c>
      <c r="G380" s="450">
        <f>G381</f>
        <v>0</v>
      </c>
    </row>
    <row r="381" spans="1:7" ht="31.5" hidden="1" x14ac:dyDescent="0.25">
      <c r="A381" s="174" t="s">
        <v>531</v>
      </c>
      <c r="B381" s="461" t="s">
        <v>234</v>
      </c>
      <c r="C381" s="461" t="s">
        <v>213</v>
      </c>
      <c r="D381" s="454" t="s">
        <v>1019</v>
      </c>
      <c r="E381" s="461"/>
      <c r="F381" s="451">
        <f>'[1]Пр.4 Рд,пр, ЦС,ВР 21'!F370</f>
        <v>0</v>
      </c>
      <c r="G381" s="451">
        <f t="shared" si="27"/>
        <v>0</v>
      </c>
    </row>
    <row r="382" spans="1:7" ht="31.5" hidden="1" x14ac:dyDescent="0.25">
      <c r="A382" s="31" t="s">
        <v>131</v>
      </c>
      <c r="B382" s="461" t="s">
        <v>234</v>
      </c>
      <c r="C382" s="461" t="s">
        <v>213</v>
      </c>
      <c r="D382" s="454" t="s">
        <v>1019</v>
      </c>
      <c r="E382" s="461" t="s">
        <v>132</v>
      </c>
      <c r="F382" s="451">
        <f>'[1]Пр.4 Рд,пр, ЦС,ВР 21'!F371</f>
        <v>0</v>
      </c>
      <c r="G382" s="451">
        <f t="shared" si="27"/>
        <v>0</v>
      </c>
    </row>
    <row r="383" spans="1:7" ht="47.25" hidden="1" x14ac:dyDescent="0.25">
      <c r="A383" s="31" t="s">
        <v>133</v>
      </c>
      <c r="B383" s="461" t="s">
        <v>234</v>
      </c>
      <c r="C383" s="461" t="s">
        <v>213</v>
      </c>
      <c r="D383" s="454" t="s">
        <v>1019</v>
      </c>
      <c r="E383" s="461" t="s">
        <v>134</v>
      </c>
      <c r="F383" s="451">
        <f>'[1]Пр.4 Рд,пр, ЦС,ВР 21'!F372</f>
        <v>0</v>
      </c>
      <c r="G383" s="451">
        <f t="shared" si="27"/>
        <v>0</v>
      </c>
    </row>
    <row r="384" spans="1:7" ht="31.5" hidden="1" x14ac:dyDescent="0.25">
      <c r="A384" s="215" t="s">
        <v>977</v>
      </c>
      <c r="B384" s="7" t="s">
        <v>234</v>
      </c>
      <c r="C384" s="7" t="s">
        <v>213</v>
      </c>
      <c r="D384" s="457" t="s">
        <v>978</v>
      </c>
      <c r="E384" s="7"/>
      <c r="F384" s="450">
        <f>F385</f>
        <v>0</v>
      </c>
      <c r="G384" s="450">
        <f>G385</f>
        <v>0</v>
      </c>
    </row>
    <row r="385" spans="1:9" ht="15.75" hidden="1" x14ac:dyDescent="0.25">
      <c r="A385" s="174" t="s">
        <v>533</v>
      </c>
      <c r="B385" s="461" t="s">
        <v>234</v>
      </c>
      <c r="C385" s="461" t="s">
        <v>213</v>
      </c>
      <c r="D385" s="454" t="s">
        <v>976</v>
      </c>
      <c r="E385" s="461"/>
      <c r="F385" s="451">
        <f>'[1]Пр.4 Рд,пр, ЦС,ВР 21'!F374</f>
        <v>0</v>
      </c>
      <c r="G385" s="451">
        <f t="shared" si="27"/>
        <v>0</v>
      </c>
    </row>
    <row r="386" spans="1:9" ht="31.5" hidden="1" x14ac:dyDescent="0.25">
      <c r="A386" s="458" t="s">
        <v>131</v>
      </c>
      <c r="B386" s="461" t="s">
        <v>234</v>
      </c>
      <c r="C386" s="461" t="s">
        <v>213</v>
      </c>
      <c r="D386" s="454" t="s">
        <v>976</v>
      </c>
      <c r="E386" s="461" t="s">
        <v>132</v>
      </c>
      <c r="F386" s="451">
        <f>'[1]Пр.4 Рд,пр, ЦС,ВР 21'!F375</f>
        <v>0</v>
      </c>
      <c r="G386" s="451">
        <f t="shared" si="27"/>
        <v>0</v>
      </c>
    </row>
    <row r="387" spans="1:9" ht="47.25" hidden="1" x14ac:dyDescent="0.25">
      <c r="A387" s="458" t="s">
        <v>133</v>
      </c>
      <c r="B387" s="461" t="s">
        <v>234</v>
      </c>
      <c r="C387" s="461" t="s">
        <v>213</v>
      </c>
      <c r="D387" s="454" t="s">
        <v>976</v>
      </c>
      <c r="E387" s="461" t="s">
        <v>134</v>
      </c>
      <c r="F387" s="451">
        <f>'[1]Пр.4 Рд,пр, ЦС,ВР 21'!F376</f>
        <v>0</v>
      </c>
      <c r="G387" s="451">
        <f t="shared" si="27"/>
        <v>0</v>
      </c>
    </row>
    <row r="388" spans="1:9" ht="47.25" x14ac:dyDescent="0.25">
      <c r="A388" s="456" t="s">
        <v>1536</v>
      </c>
      <c r="B388" s="7" t="s">
        <v>234</v>
      </c>
      <c r="C388" s="7" t="s">
        <v>213</v>
      </c>
      <c r="D388" s="457" t="s">
        <v>1142</v>
      </c>
      <c r="E388" s="7"/>
      <c r="F388" s="450">
        <f t="shared" ref="F388:G391" si="29">F389</f>
        <v>204</v>
      </c>
      <c r="G388" s="450">
        <f t="shared" si="29"/>
        <v>215</v>
      </c>
    </row>
    <row r="389" spans="1:9" ht="31.5" x14ac:dyDescent="0.25">
      <c r="A389" s="456" t="s">
        <v>1540</v>
      </c>
      <c r="B389" s="7" t="s">
        <v>234</v>
      </c>
      <c r="C389" s="7" t="s">
        <v>213</v>
      </c>
      <c r="D389" s="457" t="s">
        <v>1144</v>
      </c>
      <c r="E389" s="7"/>
      <c r="F389" s="450">
        <f t="shared" si="29"/>
        <v>204</v>
      </c>
      <c r="G389" s="450">
        <f t="shared" si="29"/>
        <v>215</v>
      </c>
    </row>
    <row r="390" spans="1:9" ht="31.5" x14ac:dyDescent="0.25">
      <c r="A390" s="458" t="s">
        <v>537</v>
      </c>
      <c r="B390" s="461" t="s">
        <v>234</v>
      </c>
      <c r="C390" s="461" t="s">
        <v>213</v>
      </c>
      <c r="D390" s="454" t="s">
        <v>1145</v>
      </c>
      <c r="E390" s="461"/>
      <c r="F390" s="451">
        <f t="shared" si="29"/>
        <v>204</v>
      </c>
      <c r="G390" s="451">
        <f t="shared" si="29"/>
        <v>215</v>
      </c>
    </row>
    <row r="391" spans="1:9" ht="31.5" x14ac:dyDescent="0.25">
      <c r="A391" s="458" t="s">
        <v>131</v>
      </c>
      <c r="B391" s="461" t="s">
        <v>234</v>
      </c>
      <c r="C391" s="461" t="s">
        <v>213</v>
      </c>
      <c r="D391" s="454" t="s">
        <v>1145</v>
      </c>
      <c r="E391" s="461" t="s">
        <v>132</v>
      </c>
      <c r="F391" s="451">
        <f t="shared" si="29"/>
        <v>204</v>
      </c>
      <c r="G391" s="451">
        <f t="shared" si="29"/>
        <v>215</v>
      </c>
    </row>
    <row r="392" spans="1:9" ht="47.25" x14ac:dyDescent="0.25">
      <c r="A392" s="458" t="s">
        <v>133</v>
      </c>
      <c r="B392" s="461" t="s">
        <v>234</v>
      </c>
      <c r="C392" s="461" t="s">
        <v>213</v>
      </c>
      <c r="D392" s="454" t="s">
        <v>1145</v>
      </c>
      <c r="E392" s="461" t="s">
        <v>134</v>
      </c>
      <c r="F392" s="451">
        <f>'пр.6.1.ведом.22-23 (2)'!G952</f>
        <v>204</v>
      </c>
      <c r="G392" s="451">
        <f>'пр.6.1.ведом.22-23 (2)'!H952</f>
        <v>215</v>
      </c>
    </row>
    <row r="393" spans="1:9" ht="15.75" x14ac:dyDescent="0.25">
      <c r="A393" s="462" t="s">
        <v>541</v>
      </c>
      <c r="B393" s="7" t="s">
        <v>234</v>
      </c>
      <c r="C393" s="7" t="s">
        <v>215</v>
      </c>
      <c r="D393" s="7"/>
      <c r="E393" s="7"/>
      <c r="F393" s="450">
        <f>F394+F399+F438</f>
        <v>3810</v>
      </c>
      <c r="G393" s="450">
        <f>G394+G399+G438</f>
        <v>4063</v>
      </c>
    </row>
    <row r="394" spans="1:9" ht="15.75" x14ac:dyDescent="0.25">
      <c r="A394" s="456" t="s">
        <v>141</v>
      </c>
      <c r="B394" s="457" t="s">
        <v>234</v>
      </c>
      <c r="C394" s="457" t="s">
        <v>215</v>
      </c>
      <c r="D394" s="457" t="s">
        <v>866</v>
      </c>
      <c r="E394" s="457"/>
      <c r="F394" s="450">
        <f t="shared" ref="F394:G397" si="30">F395</f>
        <v>1390</v>
      </c>
      <c r="G394" s="450">
        <f t="shared" si="30"/>
        <v>1390</v>
      </c>
    </row>
    <row r="395" spans="1:9" ht="31.5" x14ac:dyDescent="0.25">
      <c r="A395" s="456" t="s">
        <v>870</v>
      </c>
      <c r="B395" s="457" t="s">
        <v>234</v>
      </c>
      <c r="C395" s="457" t="s">
        <v>215</v>
      </c>
      <c r="D395" s="457" t="s">
        <v>865</v>
      </c>
      <c r="E395" s="457"/>
      <c r="F395" s="450">
        <f t="shared" si="30"/>
        <v>1390</v>
      </c>
      <c r="G395" s="450">
        <f t="shared" si="30"/>
        <v>1390</v>
      </c>
    </row>
    <row r="396" spans="1:9" ht="15.75" x14ac:dyDescent="0.25">
      <c r="A396" s="458" t="s">
        <v>564</v>
      </c>
      <c r="B396" s="454" t="s">
        <v>234</v>
      </c>
      <c r="C396" s="454" t="s">
        <v>215</v>
      </c>
      <c r="D396" s="454" t="s">
        <v>1075</v>
      </c>
      <c r="E396" s="454"/>
      <c r="F396" s="451">
        <f t="shared" si="30"/>
        <v>1390</v>
      </c>
      <c r="G396" s="451">
        <f t="shared" si="30"/>
        <v>1390</v>
      </c>
    </row>
    <row r="397" spans="1:9" ht="31.5" x14ac:dyDescent="0.25">
      <c r="A397" s="458" t="s">
        <v>131</v>
      </c>
      <c r="B397" s="454" t="s">
        <v>234</v>
      </c>
      <c r="C397" s="454" t="s">
        <v>215</v>
      </c>
      <c r="D397" s="454" t="s">
        <v>1075</v>
      </c>
      <c r="E397" s="454" t="s">
        <v>132</v>
      </c>
      <c r="F397" s="451">
        <f t="shared" si="30"/>
        <v>1390</v>
      </c>
      <c r="G397" s="451">
        <f t="shared" si="30"/>
        <v>1390</v>
      </c>
    </row>
    <row r="398" spans="1:9" ht="47.25" x14ac:dyDescent="0.25">
      <c r="A398" s="458" t="s">
        <v>133</v>
      </c>
      <c r="B398" s="454" t="s">
        <v>234</v>
      </c>
      <c r="C398" s="454" t="s">
        <v>215</v>
      </c>
      <c r="D398" s="454" t="s">
        <v>1075</v>
      </c>
      <c r="E398" s="454" t="s">
        <v>134</v>
      </c>
      <c r="F398" s="451">
        <f>'пр.6.1.ведом.22-23 (2)'!G958</f>
        <v>1390</v>
      </c>
      <c r="G398" s="451">
        <f>'пр.6.1.ведом.22-23 (2)'!H958</f>
        <v>1390</v>
      </c>
    </row>
    <row r="399" spans="1:9" ht="47.25" x14ac:dyDescent="0.25">
      <c r="A399" s="456" t="s">
        <v>1365</v>
      </c>
      <c r="B399" s="7" t="s">
        <v>234</v>
      </c>
      <c r="C399" s="7" t="s">
        <v>215</v>
      </c>
      <c r="D399" s="7" t="s">
        <v>543</v>
      </c>
      <c r="E399" s="7"/>
      <c r="F399" s="450">
        <f>F400+F404+F431</f>
        <v>1920</v>
      </c>
      <c r="G399" s="450">
        <f>G400+G404+G431</f>
        <v>2173</v>
      </c>
      <c r="I399" s="22"/>
    </row>
    <row r="400" spans="1:9" ht="47.25" hidden="1" x14ac:dyDescent="0.25">
      <c r="A400" s="456" t="s">
        <v>1435</v>
      </c>
      <c r="B400" s="457" t="s">
        <v>234</v>
      </c>
      <c r="C400" s="457" t="s">
        <v>215</v>
      </c>
      <c r="D400" s="457" t="s">
        <v>1274</v>
      </c>
      <c r="E400" s="457"/>
      <c r="F400" s="450">
        <f t="shared" ref="F400:G402" si="31">F401</f>
        <v>0</v>
      </c>
      <c r="G400" s="450">
        <f t="shared" si="31"/>
        <v>0</v>
      </c>
    </row>
    <row r="401" spans="1:7" ht="31.5" hidden="1" x14ac:dyDescent="0.25">
      <c r="A401" s="309" t="s">
        <v>1436</v>
      </c>
      <c r="B401" s="454" t="s">
        <v>234</v>
      </c>
      <c r="C401" s="454" t="s">
        <v>215</v>
      </c>
      <c r="D401" s="454" t="s">
        <v>1423</v>
      </c>
      <c r="E401" s="454"/>
      <c r="F401" s="459">
        <f t="shared" si="31"/>
        <v>0</v>
      </c>
      <c r="G401" s="451">
        <f t="shared" si="31"/>
        <v>0</v>
      </c>
    </row>
    <row r="402" spans="1:7" ht="31.5" hidden="1" x14ac:dyDescent="0.25">
      <c r="A402" s="458" t="s">
        <v>131</v>
      </c>
      <c r="B402" s="454" t="s">
        <v>234</v>
      </c>
      <c r="C402" s="454" t="s">
        <v>215</v>
      </c>
      <c r="D402" s="454" t="s">
        <v>1423</v>
      </c>
      <c r="E402" s="454" t="s">
        <v>132</v>
      </c>
      <c r="F402" s="459">
        <f t="shared" si="31"/>
        <v>0</v>
      </c>
      <c r="G402" s="451">
        <f t="shared" si="31"/>
        <v>0</v>
      </c>
    </row>
    <row r="403" spans="1:7" ht="47.25" hidden="1" x14ac:dyDescent="0.25">
      <c r="A403" s="458" t="s">
        <v>133</v>
      </c>
      <c r="B403" s="454" t="s">
        <v>234</v>
      </c>
      <c r="C403" s="454" t="s">
        <v>215</v>
      </c>
      <c r="D403" s="454" t="s">
        <v>1423</v>
      </c>
      <c r="E403" s="454" t="s">
        <v>134</v>
      </c>
      <c r="F403" s="459">
        <f>'пр.6.1.ведом.22-23 (2)'!G963</f>
        <v>0</v>
      </c>
      <c r="G403" s="451">
        <f>'пр.6.1.ведом.22-23 (2)'!H963</f>
        <v>0</v>
      </c>
    </row>
    <row r="404" spans="1:7" ht="47.25" x14ac:dyDescent="0.25">
      <c r="A404" s="456" t="s">
        <v>1438</v>
      </c>
      <c r="B404" s="457" t="s">
        <v>234</v>
      </c>
      <c r="C404" s="457" t="s">
        <v>215</v>
      </c>
      <c r="D404" s="457" t="s">
        <v>1275</v>
      </c>
      <c r="E404" s="457"/>
      <c r="F404" s="450">
        <f>F405+F408+F414+F417+F420+F425+F428</f>
        <v>1920</v>
      </c>
      <c r="G404" s="450">
        <f>G405+G408+G414+G417+G420+G425+G428</f>
        <v>2173</v>
      </c>
    </row>
    <row r="405" spans="1:7" ht="24.4" customHeight="1" x14ac:dyDescent="0.25">
      <c r="A405" s="458" t="s">
        <v>546</v>
      </c>
      <c r="B405" s="454" t="s">
        <v>234</v>
      </c>
      <c r="C405" s="454" t="s">
        <v>215</v>
      </c>
      <c r="D405" s="454" t="s">
        <v>1434</v>
      </c>
      <c r="E405" s="454"/>
      <c r="F405" s="451">
        <f>F406</f>
        <v>365</v>
      </c>
      <c r="G405" s="451">
        <f>G406</f>
        <v>365</v>
      </c>
    </row>
    <row r="406" spans="1:7" ht="31.5" x14ac:dyDescent="0.25">
      <c r="A406" s="458" t="s">
        <v>131</v>
      </c>
      <c r="B406" s="454" t="s">
        <v>234</v>
      </c>
      <c r="C406" s="454" t="s">
        <v>215</v>
      </c>
      <c r="D406" s="454" t="s">
        <v>1434</v>
      </c>
      <c r="E406" s="454" t="s">
        <v>132</v>
      </c>
      <c r="F406" s="451">
        <f>F407</f>
        <v>365</v>
      </c>
      <c r="G406" s="451">
        <f>G407</f>
        <v>365</v>
      </c>
    </row>
    <row r="407" spans="1:7" ht="47.25" x14ac:dyDescent="0.25">
      <c r="A407" s="458" t="s">
        <v>133</v>
      </c>
      <c r="B407" s="454" t="s">
        <v>234</v>
      </c>
      <c r="C407" s="454" t="s">
        <v>215</v>
      </c>
      <c r="D407" s="454" t="s">
        <v>1434</v>
      </c>
      <c r="E407" s="454" t="s">
        <v>134</v>
      </c>
      <c r="F407" s="451">
        <f>'пр.6.1.ведом.22-23 (2)'!G967</f>
        <v>365</v>
      </c>
      <c r="G407" s="451">
        <f>'пр.6.1.ведом.22-23 (2)'!H967</f>
        <v>365</v>
      </c>
    </row>
    <row r="408" spans="1:7" ht="15.75" x14ac:dyDescent="0.25">
      <c r="A408" s="458" t="s">
        <v>548</v>
      </c>
      <c r="B408" s="454" t="s">
        <v>234</v>
      </c>
      <c r="C408" s="454" t="s">
        <v>215</v>
      </c>
      <c r="D408" s="454" t="s">
        <v>1422</v>
      </c>
      <c r="E408" s="454"/>
      <c r="F408" s="451">
        <f>F409</f>
        <v>1080</v>
      </c>
      <c r="G408" s="451">
        <f>G409</f>
        <v>1188</v>
      </c>
    </row>
    <row r="409" spans="1:7" ht="31.5" x14ac:dyDescent="0.25">
      <c r="A409" s="458" t="s">
        <v>131</v>
      </c>
      <c r="B409" s="454" t="s">
        <v>234</v>
      </c>
      <c r="C409" s="454" t="s">
        <v>215</v>
      </c>
      <c r="D409" s="454" t="s">
        <v>1422</v>
      </c>
      <c r="E409" s="454" t="s">
        <v>132</v>
      </c>
      <c r="F409" s="451">
        <f>F410</f>
        <v>1080</v>
      </c>
      <c r="G409" s="451">
        <f>G410</f>
        <v>1188</v>
      </c>
    </row>
    <row r="410" spans="1:7" ht="47.25" x14ac:dyDescent="0.25">
      <c r="A410" s="458" t="s">
        <v>133</v>
      </c>
      <c r="B410" s="454" t="s">
        <v>234</v>
      </c>
      <c r="C410" s="454" t="s">
        <v>215</v>
      </c>
      <c r="D410" s="454" t="s">
        <v>1422</v>
      </c>
      <c r="E410" s="454" t="s">
        <v>134</v>
      </c>
      <c r="F410" s="451">
        <f>'пр.6.1.ведом.22-23 (2)'!G970</f>
        <v>1080</v>
      </c>
      <c r="G410" s="451">
        <f>'пр.6.1.ведом.22-23 (2)'!H970</f>
        <v>1188</v>
      </c>
    </row>
    <row r="411" spans="1:7" ht="15.75" hidden="1" x14ac:dyDescent="0.25">
      <c r="A411" s="29" t="s">
        <v>135</v>
      </c>
      <c r="B411" s="454" t="s">
        <v>234</v>
      </c>
      <c r="C411" s="454" t="s">
        <v>215</v>
      </c>
      <c r="D411" s="454" t="s">
        <v>1422</v>
      </c>
      <c r="E411" s="454" t="s">
        <v>145</v>
      </c>
      <c r="F411" s="451">
        <f>'[1]Пр.4 Рд,пр, ЦС,ВР 21'!F400</f>
        <v>0</v>
      </c>
      <c r="G411" s="451">
        <f>'[1]Пр.4 Рд,пр, ЦС,ВР 21'!G400</f>
        <v>0</v>
      </c>
    </row>
    <row r="412" spans="1:7" ht="47.25" hidden="1" x14ac:dyDescent="0.25">
      <c r="A412" s="458" t="s">
        <v>836</v>
      </c>
      <c r="B412" s="454" t="s">
        <v>234</v>
      </c>
      <c r="C412" s="454" t="s">
        <v>215</v>
      </c>
      <c r="D412" s="454" t="s">
        <v>1422</v>
      </c>
      <c r="E412" s="454" t="s">
        <v>147</v>
      </c>
      <c r="F412" s="451">
        <f>'[1]Пр.4 Рд,пр, ЦС,ВР 21'!F401</f>
        <v>0</v>
      </c>
      <c r="G412" s="451">
        <f>'[1]Пр.4 Рд,пр, ЦС,ВР 21'!G401</f>
        <v>0</v>
      </c>
    </row>
    <row r="413" spans="1:7" ht="15.75" hidden="1" x14ac:dyDescent="0.25">
      <c r="A413" s="29" t="s">
        <v>568</v>
      </c>
      <c r="B413" s="454" t="s">
        <v>234</v>
      </c>
      <c r="C413" s="454" t="s">
        <v>215</v>
      </c>
      <c r="D413" s="454" t="s">
        <v>1422</v>
      </c>
      <c r="E413" s="454" t="s">
        <v>138</v>
      </c>
      <c r="F413" s="451">
        <f>'[1]Пр.4 Рд,пр, ЦС,ВР 21'!F402</f>
        <v>0</v>
      </c>
      <c r="G413" s="451">
        <f>'[1]Пр.4 Рд,пр, ЦС,ВР 21'!G402</f>
        <v>0</v>
      </c>
    </row>
    <row r="414" spans="1:7" ht="15.75" hidden="1" x14ac:dyDescent="0.25">
      <c r="A414" s="458" t="s">
        <v>550</v>
      </c>
      <c r="B414" s="454" t="s">
        <v>234</v>
      </c>
      <c r="C414" s="454" t="s">
        <v>215</v>
      </c>
      <c r="D414" s="454" t="s">
        <v>1299</v>
      </c>
      <c r="E414" s="454"/>
      <c r="F414" s="451">
        <f>F415</f>
        <v>0</v>
      </c>
      <c r="G414" s="451">
        <f>G415</f>
        <v>0</v>
      </c>
    </row>
    <row r="415" spans="1:7" ht="31.5" hidden="1" x14ac:dyDescent="0.25">
      <c r="A415" s="458" t="s">
        <v>131</v>
      </c>
      <c r="B415" s="454" t="s">
        <v>234</v>
      </c>
      <c r="C415" s="454" t="s">
        <v>215</v>
      </c>
      <c r="D415" s="454" t="s">
        <v>1299</v>
      </c>
      <c r="E415" s="454" t="s">
        <v>132</v>
      </c>
      <c r="F415" s="451">
        <f>F416</f>
        <v>0</v>
      </c>
      <c r="G415" s="451">
        <f>G416</f>
        <v>0</v>
      </c>
    </row>
    <row r="416" spans="1:7" ht="47.25" hidden="1" x14ac:dyDescent="0.25">
      <c r="A416" s="458" t="s">
        <v>133</v>
      </c>
      <c r="B416" s="454" t="s">
        <v>234</v>
      </c>
      <c r="C416" s="454" t="s">
        <v>215</v>
      </c>
      <c r="D416" s="454" t="s">
        <v>1299</v>
      </c>
      <c r="E416" s="454" t="s">
        <v>134</v>
      </c>
      <c r="F416" s="451">
        <f>'пр.6.1.ведом.22-23 (2)'!G976</f>
        <v>0</v>
      </c>
      <c r="G416" s="451">
        <f>'пр.6.1.ведом.22-23 (2)'!H976</f>
        <v>0</v>
      </c>
    </row>
    <row r="417" spans="1:7" ht="15.75" x14ac:dyDescent="0.25">
      <c r="A417" s="458" t="s">
        <v>555</v>
      </c>
      <c r="B417" s="454" t="s">
        <v>234</v>
      </c>
      <c r="C417" s="454" t="s">
        <v>215</v>
      </c>
      <c r="D417" s="454" t="s">
        <v>1276</v>
      </c>
      <c r="E417" s="454"/>
      <c r="F417" s="451">
        <f>F418</f>
        <v>50</v>
      </c>
      <c r="G417" s="451">
        <f>G418</f>
        <v>55</v>
      </c>
    </row>
    <row r="418" spans="1:7" ht="31.5" x14ac:dyDescent="0.25">
      <c r="A418" s="458" t="s">
        <v>131</v>
      </c>
      <c r="B418" s="454" t="s">
        <v>234</v>
      </c>
      <c r="C418" s="454" t="s">
        <v>215</v>
      </c>
      <c r="D418" s="454" t="s">
        <v>1276</v>
      </c>
      <c r="E418" s="454" t="s">
        <v>132</v>
      </c>
      <c r="F418" s="451">
        <f>F419</f>
        <v>50</v>
      </c>
      <c r="G418" s="451">
        <f>G419</f>
        <v>55</v>
      </c>
    </row>
    <row r="419" spans="1:7" ht="47.25" x14ac:dyDescent="0.25">
      <c r="A419" s="458" t="s">
        <v>133</v>
      </c>
      <c r="B419" s="454" t="s">
        <v>234</v>
      </c>
      <c r="C419" s="454" t="s">
        <v>215</v>
      </c>
      <c r="D419" s="454" t="s">
        <v>1276</v>
      </c>
      <c r="E419" s="454" t="s">
        <v>134</v>
      </c>
      <c r="F419" s="451">
        <f>'пр.6.1.ведом.22-23 (2)'!G979</f>
        <v>50</v>
      </c>
      <c r="G419" s="451">
        <f>'пр.6.1.ведом.22-23 (2)'!H979</f>
        <v>55</v>
      </c>
    </row>
    <row r="420" spans="1:7" ht="31.5" x14ac:dyDescent="0.25">
      <c r="A420" s="307" t="s">
        <v>1437</v>
      </c>
      <c r="B420" s="454" t="s">
        <v>234</v>
      </c>
      <c r="C420" s="454" t="s">
        <v>215</v>
      </c>
      <c r="D420" s="454" t="s">
        <v>1277</v>
      </c>
      <c r="E420" s="454"/>
      <c r="F420" s="451">
        <f>F421+F423</f>
        <v>375</v>
      </c>
      <c r="G420" s="451">
        <f>G421+G423</f>
        <v>375</v>
      </c>
    </row>
    <row r="421" spans="1:7" ht="31.5" x14ac:dyDescent="0.25">
      <c r="A421" s="458" t="s">
        <v>131</v>
      </c>
      <c r="B421" s="454" t="s">
        <v>234</v>
      </c>
      <c r="C421" s="454" t="s">
        <v>215</v>
      </c>
      <c r="D421" s="454" t="s">
        <v>1277</v>
      </c>
      <c r="E421" s="454" t="s">
        <v>132</v>
      </c>
      <c r="F421" s="451">
        <f>F422</f>
        <v>300</v>
      </c>
      <c r="G421" s="451">
        <f>G422</f>
        <v>300</v>
      </c>
    </row>
    <row r="422" spans="1:7" ht="47.25" x14ac:dyDescent="0.25">
      <c r="A422" s="458" t="s">
        <v>133</v>
      </c>
      <c r="B422" s="454" t="s">
        <v>234</v>
      </c>
      <c r="C422" s="454" t="s">
        <v>215</v>
      </c>
      <c r="D422" s="454" t="s">
        <v>1277</v>
      </c>
      <c r="E422" s="454" t="s">
        <v>134</v>
      </c>
      <c r="F422" s="451">
        <f>'пр.6.1.ведом.22-23 (2)'!G982</f>
        <v>300</v>
      </c>
      <c r="G422" s="451">
        <f>'пр.6.1.ведом.22-23 (2)'!H982</f>
        <v>300</v>
      </c>
    </row>
    <row r="423" spans="1:7" ht="15.75" x14ac:dyDescent="0.25">
      <c r="A423" s="29" t="s">
        <v>135</v>
      </c>
      <c r="B423" s="454" t="s">
        <v>234</v>
      </c>
      <c r="C423" s="454" t="s">
        <v>215</v>
      </c>
      <c r="D423" s="454" t="s">
        <v>1277</v>
      </c>
      <c r="E423" s="454" t="s">
        <v>145</v>
      </c>
      <c r="F423" s="451">
        <f>F424</f>
        <v>75</v>
      </c>
      <c r="G423" s="451">
        <f>G424</f>
        <v>75</v>
      </c>
    </row>
    <row r="424" spans="1:7" ht="20.25" customHeight="1" x14ac:dyDescent="0.25">
      <c r="A424" s="29" t="s">
        <v>568</v>
      </c>
      <c r="B424" s="454" t="s">
        <v>234</v>
      </c>
      <c r="C424" s="454" t="s">
        <v>215</v>
      </c>
      <c r="D424" s="454" t="s">
        <v>1277</v>
      </c>
      <c r="E424" s="454" t="s">
        <v>138</v>
      </c>
      <c r="F424" s="451">
        <f>'пр.6.1.ведом.22-23 (2)'!G984</f>
        <v>75</v>
      </c>
      <c r="G424" s="451">
        <f>'пр.6.1.ведом.22-23 (2)'!H984</f>
        <v>75</v>
      </c>
    </row>
    <row r="425" spans="1:7" ht="19.149999999999999" hidden="1" customHeight="1" x14ac:dyDescent="0.25">
      <c r="A425" s="98" t="s">
        <v>559</v>
      </c>
      <c r="B425" s="454" t="s">
        <v>234</v>
      </c>
      <c r="C425" s="454" t="s">
        <v>215</v>
      </c>
      <c r="D425" s="454" t="s">
        <v>1278</v>
      </c>
      <c r="E425" s="454"/>
      <c r="F425" s="451">
        <f>F426</f>
        <v>0</v>
      </c>
      <c r="G425" s="451">
        <f>G426</f>
        <v>130</v>
      </c>
    </row>
    <row r="426" spans="1:7" ht="31.5" hidden="1" x14ac:dyDescent="0.25">
      <c r="A426" s="458" t="s">
        <v>131</v>
      </c>
      <c r="B426" s="454" t="s">
        <v>234</v>
      </c>
      <c r="C426" s="454" t="s">
        <v>215</v>
      </c>
      <c r="D426" s="454" t="s">
        <v>1278</v>
      </c>
      <c r="E426" s="454" t="s">
        <v>132</v>
      </c>
      <c r="F426" s="451">
        <f>F427</f>
        <v>0</v>
      </c>
      <c r="G426" s="451">
        <f>G427</f>
        <v>130</v>
      </c>
    </row>
    <row r="427" spans="1:7" ht="47.25" hidden="1" x14ac:dyDescent="0.25">
      <c r="A427" s="458" t="s">
        <v>133</v>
      </c>
      <c r="B427" s="454" t="s">
        <v>234</v>
      </c>
      <c r="C427" s="454" t="s">
        <v>215</v>
      </c>
      <c r="D427" s="454" t="s">
        <v>1278</v>
      </c>
      <c r="E427" s="454" t="s">
        <v>134</v>
      </c>
      <c r="F427" s="451">
        <f>'пр.6.1.ведом.22-23 (2)'!G987</f>
        <v>0</v>
      </c>
      <c r="G427" s="451">
        <f>'пр.6.1.ведом.22-23 (2)'!H987</f>
        <v>130</v>
      </c>
    </row>
    <row r="428" spans="1:7" ht="31.5" x14ac:dyDescent="0.25">
      <c r="A428" s="224" t="s">
        <v>1089</v>
      </c>
      <c r="B428" s="454" t="s">
        <v>234</v>
      </c>
      <c r="C428" s="454" t="s">
        <v>215</v>
      </c>
      <c r="D428" s="454" t="s">
        <v>1279</v>
      </c>
      <c r="E428" s="454"/>
      <c r="F428" s="459">
        <f>F429</f>
        <v>50</v>
      </c>
      <c r="G428" s="459">
        <f>G429</f>
        <v>60</v>
      </c>
    </row>
    <row r="429" spans="1:7" ht="31.5" x14ac:dyDescent="0.25">
      <c r="A429" s="458" t="s">
        <v>131</v>
      </c>
      <c r="B429" s="454" t="s">
        <v>234</v>
      </c>
      <c r="C429" s="454" t="s">
        <v>215</v>
      </c>
      <c r="D429" s="454" t="s">
        <v>1279</v>
      </c>
      <c r="E429" s="454" t="s">
        <v>132</v>
      </c>
      <c r="F429" s="459">
        <f>F430</f>
        <v>50</v>
      </c>
      <c r="G429" s="459">
        <f>G430</f>
        <v>60</v>
      </c>
    </row>
    <row r="430" spans="1:7" ht="47.25" x14ac:dyDescent="0.25">
      <c r="A430" s="458" t="s">
        <v>133</v>
      </c>
      <c r="B430" s="454" t="s">
        <v>234</v>
      </c>
      <c r="C430" s="454" t="s">
        <v>215</v>
      </c>
      <c r="D430" s="454" t="s">
        <v>1279</v>
      </c>
      <c r="E430" s="454" t="s">
        <v>134</v>
      </c>
      <c r="F430" s="459">
        <f>'пр.6.1.ведом.22-23 (2)'!G990</f>
        <v>50</v>
      </c>
      <c r="G430" s="459">
        <f>'пр.6.1.ведом.22-23 (2)'!H990</f>
        <v>60</v>
      </c>
    </row>
    <row r="431" spans="1:7" ht="41.25" hidden="1" customHeight="1" x14ac:dyDescent="0.25">
      <c r="A431" s="456" t="s">
        <v>891</v>
      </c>
      <c r="B431" s="7" t="s">
        <v>234</v>
      </c>
      <c r="C431" s="7" t="s">
        <v>215</v>
      </c>
      <c r="D431" s="457" t="s">
        <v>1297</v>
      </c>
      <c r="E431" s="457"/>
      <c r="F431" s="450">
        <f>F432+F435</f>
        <v>0</v>
      </c>
      <c r="G431" s="450">
        <f>G432+G435</f>
        <v>0</v>
      </c>
    </row>
    <row r="432" spans="1:7" ht="47.25" hidden="1" x14ac:dyDescent="0.25">
      <c r="A432" s="458" t="s">
        <v>690</v>
      </c>
      <c r="B432" s="454" t="s">
        <v>234</v>
      </c>
      <c r="C432" s="454" t="s">
        <v>215</v>
      </c>
      <c r="D432" s="454" t="s">
        <v>1328</v>
      </c>
      <c r="E432" s="454"/>
      <c r="F432" s="451">
        <f>F433</f>
        <v>0</v>
      </c>
      <c r="G432" s="451">
        <f t="shared" ref="G432:G463" si="32">F432</f>
        <v>0</v>
      </c>
    </row>
    <row r="433" spans="1:7" ht="31.5" hidden="1" x14ac:dyDescent="0.25">
      <c r="A433" s="458" t="s">
        <v>131</v>
      </c>
      <c r="B433" s="454" t="s">
        <v>234</v>
      </c>
      <c r="C433" s="454" t="s">
        <v>215</v>
      </c>
      <c r="D433" s="454" t="s">
        <v>1328</v>
      </c>
      <c r="E433" s="454" t="s">
        <v>132</v>
      </c>
      <c r="F433" s="451">
        <f>F434</f>
        <v>0</v>
      </c>
      <c r="G433" s="451">
        <f t="shared" si="32"/>
        <v>0</v>
      </c>
    </row>
    <row r="434" spans="1:7" ht="47.25" hidden="1" x14ac:dyDescent="0.25">
      <c r="A434" s="458" t="s">
        <v>133</v>
      </c>
      <c r="B434" s="454" t="s">
        <v>234</v>
      </c>
      <c r="C434" s="454" t="s">
        <v>215</v>
      </c>
      <c r="D434" s="454" t="s">
        <v>1328</v>
      </c>
      <c r="E434" s="454" t="s">
        <v>134</v>
      </c>
      <c r="F434" s="451">
        <f>'[1]Пр.4 Рд,пр, ЦС,ВР 21'!F423</f>
        <v>0</v>
      </c>
      <c r="G434" s="451">
        <f t="shared" si="32"/>
        <v>0</v>
      </c>
    </row>
    <row r="435" spans="1:7" ht="63" hidden="1" x14ac:dyDescent="0.25">
      <c r="A435" s="458" t="s">
        <v>1071</v>
      </c>
      <c r="B435" s="454" t="s">
        <v>234</v>
      </c>
      <c r="C435" s="454" t="s">
        <v>215</v>
      </c>
      <c r="D435" s="454" t="s">
        <v>1296</v>
      </c>
      <c r="E435" s="454"/>
      <c r="F435" s="451">
        <f>F436</f>
        <v>0</v>
      </c>
      <c r="G435" s="451">
        <f>G436</f>
        <v>0</v>
      </c>
    </row>
    <row r="436" spans="1:7" ht="31.5" hidden="1" x14ac:dyDescent="0.25">
      <c r="A436" s="458" t="s">
        <v>131</v>
      </c>
      <c r="B436" s="454" t="s">
        <v>234</v>
      </c>
      <c r="C436" s="454" t="s">
        <v>215</v>
      </c>
      <c r="D436" s="454" t="s">
        <v>1296</v>
      </c>
      <c r="E436" s="454" t="s">
        <v>132</v>
      </c>
      <c r="F436" s="451">
        <f>F437</f>
        <v>0</v>
      </c>
      <c r="G436" s="451">
        <f>G437</f>
        <v>0</v>
      </c>
    </row>
    <row r="437" spans="1:7" ht="47.25" hidden="1" x14ac:dyDescent="0.25">
      <c r="A437" s="458" t="s">
        <v>133</v>
      </c>
      <c r="B437" s="454" t="s">
        <v>234</v>
      </c>
      <c r="C437" s="454" t="s">
        <v>215</v>
      </c>
      <c r="D437" s="454" t="s">
        <v>1296</v>
      </c>
      <c r="E437" s="454" t="s">
        <v>134</v>
      </c>
      <c r="F437" s="451">
        <f>'пр.6.1.ведом.22-23 (2)'!G997</f>
        <v>0</v>
      </c>
      <c r="G437" s="451">
        <f>'пр.6.1.ведом.22-23 (2)'!H997</f>
        <v>0</v>
      </c>
    </row>
    <row r="438" spans="1:7" ht="78.75" x14ac:dyDescent="0.25">
      <c r="A438" s="456" t="s">
        <v>1538</v>
      </c>
      <c r="B438" s="457" t="s">
        <v>234</v>
      </c>
      <c r="C438" s="457" t="s">
        <v>215</v>
      </c>
      <c r="D438" s="457" t="s">
        <v>711</v>
      </c>
      <c r="E438" s="457"/>
      <c r="F438" s="450">
        <f t="shared" ref="F438:G438" si="33">F440</f>
        <v>500</v>
      </c>
      <c r="G438" s="450">
        <f t="shared" si="33"/>
        <v>500</v>
      </c>
    </row>
    <row r="439" spans="1:7" ht="31.5" x14ac:dyDescent="0.25">
      <c r="A439" s="456" t="s">
        <v>1067</v>
      </c>
      <c r="B439" s="457" t="s">
        <v>234</v>
      </c>
      <c r="C439" s="457" t="s">
        <v>215</v>
      </c>
      <c r="D439" s="457" t="s">
        <v>835</v>
      </c>
      <c r="E439" s="454"/>
      <c r="F439" s="450">
        <f t="shared" ref="F439:G441" si="34">F440</f>
        <v>500</v>
      </c>
      <c r="G439" s="450">
        <f t="shared" si="34"/>
        <v>500</v>
      </c>
    </row>
    <row r="440" spans="1:7" ht="31.5" x14ac:dyDescent="0.25">
      <c r="A440" s="248" t="s">
        <v>710</v>
      </c>
      <c r="B440" s="454" t="s">
        <v>234</v>
      </c>
      <c r="C440" s="454" t="s">
        <v>215</v>
      </c>
      <c r="D440" s="454" t="s">
        <v>835</v>
      </c>
      <c r="E440" s="454"/>
      <c r="F440" s="451">
        <f t="shared" si="34"/>
        <v>500</v>
      </c>
      <c r="G440" s="451">
        <f t="shared" si="34"/>
        <v>500</v>
      </c>
    </row>
    <row r="441" spans="1:7" ht="31.5" x14ac:dyDescent="0.25">
      <c r="A441" s="458" t="s">
        <v>131</v>
      </c>
      <c r="B441" s="454" t="s">
        <v>234</v>
      </c>
      <c r="C441" s="454" t="s">
        <v>215</v>
      </c>
      <c r="D441" s="454" t="s">
        <v>835</v>
      </c>
      <c r="E441" s="454" t="s">
        <v>132</v>
      </c>
      <c r="F441" s="451">
        <f t="shared" si="34"/>
        <v>500</v>
      </c>
      <c r="G441" s="451">
        <f t="shared" si="34"/>
        <v>500</v>
      </c>
    </row>
    <row r="442" spans="1:7" ht="47.25" x14ac:dyDescent="0.25">
      <c r="A442" s="458" t="s">
        <v>133</v>
      </c>
      <c r="B442" s="454" t="s">
        <v>234</v>
      </c>
      <c r="C442" s="454" t="s">
        <v>215</v>
      </c>
      <c r="D442" s="454" t="s">
        <v>835</v>
      </c>
      <c r="E442" s="454" t="s">
        <v>134</v>
      </c>
      <c r="F442" s="451">
        <f>'пр.6.1.ведом.22-23 (2)'!G1002</f>
        <v>500</v>
      </c>
      <c r="G442" s="451">
        <f>'пр.6.1.ведом.22-23 (2)'!H1002</f>
        <v>500</v>
      </c>
    </row>
    <row r="443" spans="1:7" ht="31.5" x14ac:dyDescent="0.25">
      <c r="A443" s="462" t="s">
        <v>569</v>
      </c>
      <c r="B443" s="7" t="s">
        <v>234</v>
      </c>
      <c r="C443" s="7" t="s">
        <v>234</v>
      </c>
      <c r="D443" s="7"/>
      <c r="E443" s="7"/>
      <c r="F443" s="450">
        <f>F444+F456+F473</f>
        <v>25304.5</v>
      </c>
      <c r="G443" s="450">
        <f>G444+G456+G473</f>
        <v>25304.5</v>
      </c>
    </row>
    <row r="444" spans="1:7" ht="31.5" x14ac:dyDescent="0.25">
      <c r="A444" s="456" t="s">
        <v>917</v>
      </c>
      <c r="B444" s="457" t="s">
        <v>234</v>
      </c>
      <c r="C444" s="457" t="s">
        <v>234</v>
      </c>
      <c r="D444" s="457" t="s">
        <v>858</v>
      </c>
      <c r="E444" s="457"/>
      <c r="F444" s="450">
        <f>F445</f>
        <v>12879.3</v>
      </c>
      <c r="G444" s="450">
        <f>G445</f>
        <v>12879.3</v>
      </c>
    </row>
    <row r="445" spans="1:7" ht="15.75" x14ac:dyDescent="0.25">
      <c r="A445" s="456" t="s">
        <v>918</v>
      </c>
      <c r="B445" s="457" t="s">
        <v>234</v>
      </c>
      <c r="C445" s="457" t="s">
        <v>234</v>
      </c>
      <c r="D445" s="457" t="s">
        <v>859</v>
      </c>
      <c r="E445" s="457"/>
      <c r="F445" s="450">
        <f>F446+F453</f>
        <v>12879.3</v>
      </c>
      <c r="G445" s="450">
        <f>G446+G453</f>
        <v>12879.3</v>
      </c>
    </row>
    <row r="446" spans="1:7" ht="31.5" x14ac:dyDescent="0.25">
      <c r="A446" s="458" t="s">
        <v>897</v>
      </c>
      <c r="B446" s="454" t="s">
        <v>234</v>
      </c>
      <c r="C446" s="454" t="s">
        <v>234</v>
      </c>
      <c r="D446" s="454" t="s">
        <v>860</v>
      </c>
      <c r="E446" s="454"/>
      <c r="F446" s="451">
        <f>F447+F449+F451</f>
        <v>12511.3</v>
      </c>
      <c r="G446" s="451">
        <f>G447+G449+G451</f>
        <v>12511.3</v>
      </c>
    </row>
    <row r="447" spans="1:7" ht="94.5" x14ac:dyDescent="0.25">
      <c r="A447" s="458" t="s">
        <v>127</v>
      </c>
      <c r="B447" s="454" t="s">
        <v>234</v>
      </c>
      <c r="C447" s="454" t="s">
        <v>234</v>
      </c>
      <c r="D447" s="454" t="s">
        <v>860</v>
      </c>
      <c r="E447" s="454" t="s">
        <v>128</v>
      </c>
      <c r="F447" s="451">
        <f>F448</f>
        <v>12439.3</v>
      </c>
      <c r="G447" s="451">
        <f>G448</f>
        <v>12439.3</v>
      </c>
    </row>
    <row r="448" spans="1:7" ht="36.75" customHeight="1" x14ac:dyDescent="0.25">
      <c r="A448" s="458" t="s">
        <v>129</v>
      </c>
      <c r="B448" s="454" t="s">
        <v>234</v>
      </c>
      <c r="C448" s="454" t="s">
        <v>234</v>
      </c>
      <c r="D448" s="454" t="s">
        <v>860</v>
      </c>
      <c r="E448" s="454" t="s">
        <v>130</v>
      </c>
      <c r="F448" s="451">
        <f>'пр.6.1.ведом.22-23 (2)'!G1008</f>
        <v>12439.3</v>
      </c>
      <c r="G448" s="451">
        <f>'пр.6.1.ведом.22-23 (2)'!H1008</f>
        <v>12439.3</v>
      </c>
    </row>
    <row r="449" spans="1:7" ht="31.5" x14ac:dyDescent="0.25">
      <c r="A449" s="458" t="s">
        <v>131</v>
      </c>
      <c r="B449" s="454" t="s">
        <v>234</v>
      </c>
      <c r="C449" s="454" t="s">
        <v>234</v>
      </c>
      <c r="D449" s="454" t="s">
        <v>860</v>
      </c>
      <c r="E449" s="454" t="s">
        <v>132</v>
      </c>
      <c r="F449" s="451">
        <f>F450</f>
        <v>25</v>
      </c>
      <c r="G449" s="451">
        <f>G450</f>
        <v>25</v>
      </c>
    </row>
    <row r="450" spans="1:7" ht="47.25" x14ac:dyDescent="0.25">
      <c r="A450" s="458" t="s">
        <v>133</v>
      </c>
      <c r="B450" s="454" t="s">
        <v>234</v>
      </c>
      <c r="C450" s="454" t="s">
        <v>234</v>
      </c>
      <c r="D450" s="454" t="s">
        <v>860</v>
      </c>
      <c r="E450" s="454" t="s">
        <v>134</v>
      </c>
      <c r="F450" s="451">
        <f>'пр.6.1.ведом.22-23 (2)'!G1010</f>
        <v>25</v>
      </c>
      <c r="G450" s="451">
        <f>'пр.6.1.ведом.22-23 (2)'!H1010</f>
        <v>25</v>
      </c>
    </row>
    <row r="451" spans="1:7" ht="15.75" x14ac:dyDescent="0.25">
      <c r="A451" s="458" t="s">
        <v>135</v>
      </c>
      <c r="B451" s="454" t="s">
        <v>234</v>
      </c>
      <c r="C451" s="454" t="s">
        <v>234</v>
      </c>
      <c r="D451" s="454" t="s">
        <v>860</v>
      </c>
      <c r="E451" s="454" t="s">
        <v>145</v>
      </c>
      <c r="F451" s="451">
        <f>F452</f>
        <v>47</v>
      </c>
      <c r="G451" s="451">
        <f>G452</f>
        <v>47</v>
      </c>
    </row>
    <row r="452" spans="1:7" ht="21.75" customHeight="1" x14ac:dyDescent="0.25">
      <c r="A452" s="458" t="s">
        <v>568</v>
      </c>
      <c r="B452" s="454" t="s">
        <v>234</v>
      </c>
      <c r="C452" s="454" t="s">
        <v>234</v>
      </c>
      <c r="D452" s="454" t="s">
        <v>860</v>
      </c>
      <c r="E452" s="454" t="s">
        <v>138</v>
      </c>
      <c r="F452" s="451">
        <f>'пр.6.1.ведом.22-23 (2)'!G1012</f>
        <v>47</v>
      </c>
      <c r="G452" s="451">
        <f>'пр.6.1.ведом.22-23 (2)'!H1012</f>
        <v>47</v>
      </c>
    </row>
    <row r="453" spans="1:7" ht="47.25" x14ac:dyDescent="0.25">
      <c r="A453" s="458" t="s">
        <v>839</v>
      </c>
      <c r="B453" s="454" t="s">
        <v>234</v>
      </c>
      <c r="C453" s="454" t="s">
        <v>234</v>
      </c>
      <c r="D453" s="454" t="s">
        <v>862</v>
      </c>
      <c r="E453" s="454"/>
      <c r="F453" s="451">
        <f>F454</f>
        <v>368</v>
      </c>
      <c r="G453" s="451">
        <f>G454</f>
        <v>368</v>
      </c>
    </row>
    <row r="454" spans="1:7" ht="94.5" x14ac:dyDescent="0.25">
      <c r="A454" s="458" t="s">
        <v>127</v>
      </c>
      <c r="B454" s="454" t="s">
        <v>234</v>
      </c>
      <c r="C454" s="454" t="s">
        <v>234</v>
      </c>
      <c r="D454" s="454" t="s">
        <v>862</v>
      </c>
      <c r="E454" s="454" t="s">
        <v>128</v>
      </c>
      <c r="F454" s="451">
        <f>F455</f>
        <v>368</v>
      </c>
      <c r="G454" s="451">
        <f>G455</f>
        <v>368</v>
      </c>
    </row>
    <row r="455" spans="1:7" ht="33" customHeight="1" x14ac:dyDescent="0.25">
      <c r="A455" s="458" t="s">
        <v>129</v>
      </c>
      <c r="B455" s="454" t="s">
        <v>234</v>
      </c>
      <c r="C455" s="454" t="s">
        <v>234</v>
      </c>
      <c r="D455" s="454" t="s">
        <v>862</v>
      </c>
      <c r="E455" s="454" t="s">
        <v>130</v>
      </c>
      <c r="F455" s="451">
        <f>'пр.6.1.ведом.22-23 (2)'!G1015</f>
        <v>368</v>
      </c>
      <c r="G455" s="451">
        <f>'пр.6.1.ведом.22-23 (2)'!H1015</f>
        <v>368</v>
      </c>
    </row>
    <row r="456" spans="1:7" ht="15.75" x14ac:dyDescent="0.25">
      <c r="A456" s="456" t="s">
        <v>141</v>
      </c>
      <c r="B456" s="457" t="s">
        <v>234</v>
      </c>
      <c r="C456" s="457" t="s">
        <v>234</v>
      </c>
      <c r="D456" s="457" t="s">
        <v>866</v>
      </c>
      <c r="E456" s="457"/>
      <c r="F456" s="450">
        <f>F457+F464</f>
        <v>12425.2</v>
      </c>
      <c r="G456" s="450">
        <f>G457+G464</f>
        <v>12425.2</v>
      </c>
    </row>
    <row r="457" spans="1:7" ht="31.5" x14ac:dyDescent="0.25">
      <c r="A457" s="456" t="s">
        <v>870</v>
      </c>
      <c r="B457" s="457" t="s">
        <v>234</v>
      </c>
      <c r="C457" s="457" t="s">
        <v>234</v>
      </c>
      <c r="D457" s="457" t="s">
        <v>865</v>
      </c>
      <c r="E457" s="457"/>
      <c r="F457" s="362">
        <f>F458+F461</f>
        <v>982</v>
      </c>
      <c r="G457" s="362">
        <f>G458+G461</f>
        <v>982</v>
      </c>
    </row>
    <row r="458" spans="1:7" ht="31.5" x14ac:dyDescent="0.25">
      <c r="A458" s="458" t="s">
        <v>570</v>
      </c>
      <c r="B458" s="454" t="s">
        <v>234</v>
      </c>
      <c r="C458" s="454" t="s">
        <v>234</v>
      </c>
      <c r="D458" s="454" t="s">
        <v>984</v>
      </c>
      <c r="E458" s="454"/>
      <c r="F458" s="451">
        <f>F459</f>
        <v>982</v>
      </c>
      <c r="G458" s="451">
        <f>G459</f>
        <v>982</v>
      </c>
    </row>
    <row r="459" spans="1:7" ht="15.75" x14ac:dyDescent="0.25">
      <c r="A459" s="458" t="s">
        <v>135</v>
      </c>
      <c r="B459" s="454" t="s">
        <v>234</v>
      </c>
      <c r="C459" s="454" t="s">
        <v>234</v>
      </c>
      <c r="D459" s="454" t="s">
        <v>984</v>
      </c>
      <c r="E459" s="454" t="s">
        <v>145</v>
      </c>
      <c r="F459" s="451">
        <f>F460</f>
        <v>982</v>
      </c>
      <c r="G459" s="451">
        <f>G460</f>
        <v>982</v>
      </c>
    </row>
    <row r="460" spans="1:7" ht="63" x14ac:dyDescent="0.25">
      <c r="A460" s="458" t="s">
        <v>184</v>
      </c>
      <c r="B460" s="454" t="s">
        <v>234</v>
      </c>
      <c r="C460" s="454" t="s">
        <v>234</v>
      </c>
      <c r="D460" s="454" t="s">
        <v>984</v>
      </c>
      <c r="E460" s="454" t="s">
        <v>160</v>
      </c>
      <c r="F460" s="451">
        <f>'пр.6.1.ведом.22-23 (2)'!G1020</f>
        <v>982</v>
      </c>
      <c r="G460" s="451">
        <f>'пр.6.1.ведом.22-23 (2)'!H1020</f>
        <v>982</v>
      </c>
    </row>
    <row r="461" spans="1:7" ht="31.5" hidden="1" x14ac:dyDescent="0.25">
      <c r="A461" s="458" t="s">
        <v>823</v>
      </c>
      <c r="B461" s="454" t="s">
        <v>234</v>
      </c>
      <c r="C461" s="454" t="s">
        <v>234</v>
      </c>
      <c r="D461" s="454" t="s">
        <v>1072</v>
      </c>
      <c r="E461" s="454"/>
      <c r="F461" s="451">
        <f>'[1]Пр.4 Рд,пр, ЦС,ВР 21'!F452</f>
        <v>0</v>
      </c>
      <c r="G461" s="451">
        <f t="shared" si="32"/>
        <v>0</v>
      </c>
    </row>
    <row r="462" spans="1:7" ht="15.75" hidden="1" x14ac:dyDescent="0.25">
      <c r="A462" s="458" t="s">
        <v>135</v>
      </c>
      <c r="B462" s="454" t="s">
        <v>234</v>
      </c>
      <c r="C462" s="454" t="s">
        <v>234</v>
      </c>
      <c r="D462" s="454" t="s">
        <v>1072</v>
      </c>
      <c r="E462" s="454" t="s">
        <v>145</v>
      </c>
      <c r="F462" s="451">
        <f>'[1]Пр.4 Рд,пр, ЦС,ВР 21'!F453</f>
        <v>0</v>
      </c>
      <c r="G462" s="451">
        <f t="shared" si="32"/>
        <v>0</v>
      </c>
    </row>
    <row r="463" spans="1:7" ht="63" hidden="1" x14ac:dyDescent="0.25">
      <c r="A463" s="458" t="s">
        <v>184</v>
      </c>
      <c r="B463" s="454" t="s">
        <v>234</v>
      </c>
      <c r="C463" s="454" t="s">
        <v>234</v>
      </c>
      <c r="D463" s="454" t="s">
        <v>1072</v>
      </c>
      <c r="E463" s="454" t="s">
        <v>160</v>
      </c>
      <c r="F463" s="451">
        <f>'[1]Пр.4 Рд,пр, ЦС,ВР 21'!F454</f>
        <v>0</v>
      </c>
      <c r="G463" s="451">
        <f t="shared" si="32"/>
        <v>0</v>
      </c>
    </row>
    <row r="464" spans="1:7" ht="47.25" x14ac:dyDescent="0.25">
      <c r="A464" s="456" t="s">
        <v>929</v>
      </c>
      <c r="B464" s="457" t="s">
        <v>234</v>
      </c>
      <c r="C464" s="457" t="s">
        <v>234</v>
      </c>
      <c r="D464" s="457" t="s">
        <v>914</v>
      </c>
      <c r="E464" s="457"/>
      <c r="F464" s="362">
        <f>F465+F470</f>
        <v>11443.2</v>
      </c>
      <c r="G464" s="362">
        <f>G465+G470</f>
        <v>11443.2</v>
      </c>
    </row>
    <row r="465" spans="1:10" ht="31.5" x14ac:dyDescent="0.25">
      <c r="A465" s="458" t="s">
        <v>903</v>
      </c>
      <c r="B465" s="454" t="s">
        <v>234</v>
      </c>
      <c r="C465" s="454" t="s">
        <v>234</v>
      </c>
      <c r="D465" s="454" t="s">
        <v>915</v>
      </c>
      <c r="E465" s="454"/>
      <c r="F465" s="451">
        <f>F466+F469</f>
        <v>10845.2</v>
      </c>
      <c r="G465" s="451">
        <f>G466+G469</f>
        <v>10845.2</v>
      </c>
    </row>
    <row r="466" spans="1:10" ht="94.5" x14ac:dyDescent="0.25">
      <c r="A466" s="458" t="s">
        <v>127</v>
      </c>
      <c r="B466" s="454" t="s">
        <v>234</v>
      </c>
      <c r="C466" s="454" t="s">
        <v>234</v>
      </c>
      <c r="D466" s="454" t="s">
        <v>915</v>
      </c>
      <c r="E466" s="454" t="s">
        <v>128</v>
      </c>
      <c r="F466" s="451">
        <f>F467</f>
        <v>9193</v>
      </c>
      <c r="G466" s="451">
        <f>G467</f>
        <v>9193</v>
      </c>
    </row>
    <row r="467" spans="1:10" ht="31.5" x14ac:dyDescent="0.25">
      <c r="A467" s="458" t="s">
        <v>342</v>
      </c>
      <c r="B467" s="454" t="s">
        <v>234</v>
      </c>
      <c r="C467" s="454" t="s">
        <v>234</v>
      </c>
      <c r="D467" s="454" t="s">
        <v>915</v>
      </c>
      <c r="E467" s="454" t="s">
        <v>209</v>
      </c>
      <c r="F467" s="451">
        <f>'пр.6.1.ведом.22-23 (2)'!G1027</f>
        <v>9193</v>
      </c>
      <c r="G467" s="451">
        <f>'пр.6.1.ведом.22-23 (2)'!H1027</f>
        <v>9193</v>
      </c>
    </row>
    <row r="468" spans="1:10" ht="31.5" x14ac:dyDescent="0.25">
      <c r="A468" s="458" t="s">
        <v>131</v>
      </c>
      <c r="B468" s="454" t="s">
        <v>234</v>
      </c>
      <c r="C468" s="454" t="s">
        <v>234</v>
      </c>
      <c r="D468" s="454" t="s">
        <v>915</v>
      </c>
      <c r="E468" s="454" t="s">
        <v>132</v>
      </c>
      <c r="F468" s="451">
        <f>F469</f>
        <v>1652.2</v>
      </c>
      <c r="G468" s="451">
        <f>G469</f>
        <v>1652.2</v>
      </c>
    </row>
    <row r="469" spans="1:10" ht="47.25" x14ac:dyDescent="0.25">
      <c r="A469" s="458" t="s">
        <v>133</v>
      </c>
      <c r="B469" s="454" t="s">
        <v>234</v>
      </c>
      <c r="C469" s="454" t="s">
        <v>234</v>
      </c>
      <c r="D469" s="454" t="s">
        <v>915</v>
      </c>
      <c r="E469" s="454" t="s">
        <v>134</v>
      </c>
      <c r="F469" s="451">
        <f>'пр.6.1.ведом.22-23 (2)'!G1029</f>
        <v>1652.2</v>
      </c>
      <c r="G469" s="451">
        <f>'пр.6.1.ведом.22-23 (2)'!H1029</f>
        <v>1652.2</v>
      </c>
    </row>
    <row r="470" spans="1:10" ht="47.25" x14ac:dyDescent="0.25">
      <c r="A470" s="458" t="s">
        <v>839</v>
      </c>
      <c r="B470" s="454" t="s">
        <v>234</v>
      </c>
      <c r="C470" s="454" t="s">
        <v>234</v>
      </c>
      <c r="D470" s="454" t="s">
        <v>916</v>
      </c>
      <c r="E470" s="454"/>
      <c r="F470" s="451">
        <f>F471</f>
        <v>598</v>
      </c>
      <c r="G470" s="451">
        <f>G471</f>
        <v>598</v>
      </c>
    </row>
    <row r="471" spans="1:10" ht="94.5" x14ac:dyDescent="0.25">
      <c r="A471" s="458" t="s">
        <v>127</v>
      </c>
      <c r="B471" s="454" t="s">
        <v>234</v>
      </c>
      <c r="C471" s="454" t="s">
        <v>234</v>
      </c>
      <c r="D471" s="454" t="s">
        <v>916</v>
      </c>
      <c r="E471" s="454" t="s">
        <v>128</v>
      </c>
      <c r="F471" s="451">
        <f>F472</f>
        <v>598</v>
      </c>
      <c r="G471" s="451">
        <f>G472</f>
        <v>598</v>
      </c>
    </row>
    <row r="472" spans="1:10" ht="39.75" customHeight="1" x14ac:dyDescent="0.25">
      <c r="A472" s="458" t="s">
        <v>129</v>
      </c>
      <c r="B472" s="454" t="s">
        <v>234</v>
      </c>
      <c r="C472" s="454" t="s">
        <v>234</v>
      </c>
      <c r="D472" s="454" t="s">
        <v>916</v>
      </c>
      <c r="E472" s="454" t="s">
        <v>130</v>
      </c>
      <c r="F472" s="451">
        <f>'пр.6.1.ведом.22-23 (2)'!G1032</f>
        <v>598</v>
      </c>
      <c r="G472" s="451">
        <f>'пр.6.1.ведом.22-23 (2)'!H1032</f>
        <v>598</v>
      </c>
    </row>
    <row r="473" spans="1:10" ht="63" hidden="1" x14ac:dyDescent="0.25">
      <c r="A473" s="34" t="s">
        <v>1360</v>
      </c>
      <c r="B473" s="457" t="s">
        <v>234</v>
      </c>
      <c r="C473" s="457" t="s">
        <v>234</v>
      </c>
      <c r="D473" s="457" t="s">
        <v>324</v>
      </c>
      <c r="E473" s="457"/>
      <c r="F473" s="455">
        <f t="shared" ref="F473:G476" si="35">F474</f>
        <v>0</v>
      </c>
      <c r="G473" s="455">
        <f t="shared" si="35"/>
        <v>0</v>
      </c>
    </row>
    <row r="474" spans="1:10" ht="63" hidden="1" x14ac:dyDescent="0.25">
      <c r="A474" s="34" t="s">
        <v>1009</v>
      </c>
      <c r="B474" s="457" t="s">
        <v>234</v>
      </c>
      <c r="C474" s="457" t="s">
        <v>234</v>
      </c>
      <c r="D474" s="457" t="s">
        <v>934</v>
      </c>
      <c r="E474" s="457"/>
      <c r="F474" s="455">
        <f t="shared" si="35"/>
        <v>0</v>
      </c>
      <c r="G474" s="455">
        <f t="shared" si="35"/>
        <v>0</v>
      </c>
    </row>
    <row r="475" spans="1:10" ht="47.25" hidden="1" x14ac:dyDescent="0.25">
      <c r="A475" s="31" t="s">
        <v>1081</v>
      </c>
      <c r="B475" s="454" t="s">
        <v>234</v>
      </c>
      <c r="C475" s="454" t="s">
        <v>234</v>
      </c>
      <c r="D475" s="454" t="s">
        <v>1026</v>
      </c>
      <c r="E475" s="454"/>
      <c r="F475" s="459">
        <f t="shared" si="35"/>
        <v>0</v>
      </c>
      <c r="G475" s="459">
        <f t="shared" si="35"/>
        <v>0</v>
      </c>
    </row>
    <row r="476" spans="1:10" ht="31.5" hidden="1" x14ac:dyDescent="0.25">
      <c r="A476" s="458" t="s">
        <v>131</v>
      </c>
      <c r="B476" s="454" t="s">
        <v>234</v>
      </c>
      <c r="C476" s="454" t="s">
        <v>234</v>
      </c>
      <c r="D476" s="454" t="s">
        <v>1026</v>
      </c>
      <c r="E476" s="454" t="s">
        <v>132</v>
      </c>
      <c r="F476" s="459">
        <f t="shared" si="35"/>
        <v>0</v>
      </c>
      <c r="G476" s="459">
        <f t="shared" si="35"/>
        <v>0</v>
      </c>
    </row>
    <row r="477" spans="1:10" ht="47.25" hidden="1" x14ac:dyDescent="0.25">
      <c r="A477" s="458" t="s">
        <v>133</v>
      </c>
      <c r="B477" s="454" t="s">
        <v>234</v>
      </c>
      <c r="C477" s="454" t="s">
        <v>234</v>
      </c>
      <c r="D477" s="454" t="s">
        <v>1026</v>
      </c>
      <c r="E477" s="454" t="s">
        <v>134</v>
      </c>
      <c r="F477" s="459">
        <f>'пр.6.1.ведом.22-23 (2)'!G1037</f>
        <v>0</v>
      </c>
      <c r="G477" s="451">
        <f>'пр.6.1.ведом.22-23 (2)'!H1037</f>
        <v>0</v>
      </c>
    </row>
    <row r="478" spans="1:10" ht="15.75" x14ac:dyDescent="0.25">
      <c r="A478" s="462" t="s">
        <v>263</v>
      </c>
      <c r="B478" s="7" t="s">
        <v>264</v>
      </c>
      <c r="C478" s="461"/>
      <c r="D478" s="461"/>
      <c r="E478" s="461"/>
      <c r="F478" s="450">
        <f>F479+F542+F714+F620+F689</f>
        <v>366206.80999999994</v>
      </c>
      <c r="G478" s="450">
        <f>G479+G542+G714+G620+G689</f>
        <v>389340.16000000003</v>
      </c>
      <c r="H478" s="220"/>
      <c r="I478" s="220"/>
      <c r="J478" s="220"/>
    </row>
    <row r="479" spans="1:10" ht="15.75" x14ac:dyDescent="0.25">
      <c r="A479" s="462" t="s">
        <v>404</v>
      </c>
      <c r="B479" s="7" t="s">
        <v>264</v>
      </c>
      <c r="C479" s="7" t="s">
        <v>118</v>
      </c>
      <c r="D479" s="7"/>
      <c r="E479" s="7"/>
      <c r="F479" s="450">
        <f>F480+F532+F537</f>
        <v>102250.3</v>
      </c>
      <c r="G479" s="450">
        <f>G480+G532+G537</f>
        <v>105829.20000000001</v>
      </c>
    </row>
    <row r="480" spans="1:10" ht="47.25" x14ac:dyDescent="0.25">
      <c r="A480" s="456" t="s">
        <v>1359</v>
      </c>
      <c r="B480" s="457" t="s">
        <v>264</v>
      </c>
      <c r="C480" s="457" t="s">
        <v>118</v>
      </c>
      <c r="D480" s="457" t="s">
        <v>406</v>
      </c>
      <c r="E480" s="457"/>
      <c r="F480" s="450">
        <f>F481+F485+F498+F508+F518+F525</f>
        <v>101599.40000000001</v>
      </c>
      <c r="G480" s="450">
        <f>G481+G485+G498+G508+G518+G525</f>
        <v>105210.40000000001</v>
      </c>
    </row>
    <row r="481" spans="1:7" ht="47.25" x14ac:dyDescent="0.25">
      <c r="A481" s="456" t="s">
        <v>937</v>
      </c>
      <c r="B481" s="457" t="s">
        <v>264</v>
      </c>
      <c r="C481" s="457" t="s">
        <v>118</v>
      </c>
      <c r="D481" s="457" t="s">
        <v>1231</v>
      </c>
      <c r="E481" s="457"/>
      <c r="F481" s="450">
        <f t="shared" ref="F481:G483" si="36">F482</f>
        <v>14795.6</v>
      </c>
      <c r="G481" s="450">
        <f t="shared" si="36"/>
        <v>14795.6</v>
      </c>
    </row>
    <row r="482" spans="1:7" ht="47.25" x14ac:dyDescent="0.25">
      <c r="A482" s="458" t="s">
        <v>1230</v>
      </c>
      <c r="B482" s="454" t="s">
        <v>264</v>
      </c>
      <c r="C482" s="454" t="s">
        <v>118</v>
      </c>
      <c r="D482" s="454" t="s">
        <v>1232</v>
      </c>
      <c r="E482" s="454"/>
      <c r="F482" s="451">
        <f t="shared" si="36"/>
        <v>14795.6</v>
      </c>
      <c r="G482" s="451">
        <f t="shared" si="36"/>
        <v>14795.6</v>
      </c>
    </row>
    <row r="483" spans="1:7" ht="47.25" x14ac:dyDescent="0.25">
      <c r="A483" s="458" t="s">
        <v>272</v>
      </c>
      <c r="B483" s="454" t="s">
        <v>264</v>
      </c>
      <c r="C483" s="454" t="s">
        <v>118</v>
      </c>
      <c r="D483" s="454" t="s">
        <v>1232</v>
      </c>
      <c r="E483" s="454" t="s">
        <v>273</v>
      </c>
      <c r="F483" s="451">
        <f t="shared" si="36"/>
        <v>14795.6</v>
      </c>
      <c r="G483" s="451">
        <f t="shared" si="36"/>
        <v>14795.6</v>
      </c>
    </row>
    <row r="484" spans="1:7" ht="25.5" customHeight="1" x14ac:dyDescent="0.25">
      <c r="A484" s="458" t="s">
        <v>274</v>
      </c>
      <c r="B484" s="454" t="s">
        <v>264</v>
      </c>
      <c r="C484" s="454" t="s">
        <v>118</v>
      </c>
      <c r="D484" s="454" t="s">
        <v>1232</v>
      </c>
      <c r="E484" s="454" t="s">
        <v>275</v>
      </c>
      <c r="F484" s="360">
        <f>'пр.6.1.ведом.22-23 (2)'!G554</f>
        <v>14795.6</v>
      </c>
      <c r="G484" s="360">
        <f>'пр.6.1.ведом.22-23 (2)'!H554</f>
        <v>14795.6</v>
      </c>
    </row>
    <row r="485" spans="1:7" ht="47.25" x14ac:dyDescent="0.25">
      <c r="A485" s="456" t="s">
        <v>900</v>
      </c>
      <c r="B485" s="457" t="s">
        <v>264</v>
      </c>
      <c r="C485" s="457" t="s">
        <v>118</v>
      </c>
      <c r="D485" s="457" t="s">
        <v>1233</v>
      </c>
      <c r="E485" s="457"/>
      <c r="F485" s="450">
        <f>F489+F492+F495+F486</f>
        <v>75561.5</v>
      </c>
      <c r="G485" s="450">
        <f>G489+G492+G495+G486</f>
        <v>79924.100000000006</v>
      </c>
    </row>
    <row r="486" spans="1:7" ht="110.25" x14ac:dyDescent="0.25">
      <c r="A486" s="31" t="s">
        <v>293</v>
      </c>
      <c r="B486" s="454" t="s">
        <v>264</v>
      </c>
      <c r="C486" s="454" t="s">
        <v>118</v>
      </c>
      <c r="D486" s="454" t="s">
        <v>1393</v>
      </c>
      <c r="E486" s="454"/>
      <c r="F486" s="451">
        <f t="shared" ref="F486:G487" si="37">F487</f>
        <v>3230</v>
      </c>
      <c r="G486" s="451">
        <f t="shared" si="37"/>
        <v>3230</v>
      </c>
    </row>
    <row r="487" spans="1:7" ht="47.25" x14ac:dyDescent="0.25">
      <c r="A487" s="458" t="s">
        <v>272</v>
      </c>
      <c r="B487" s="454" t="s">
        <v>264</v>
      </c>
      <c r="C487" s="454" t="s">
        <v>118</v>
      </c>
      <c r="D487" s="454" t="s">
        <v>1393</v>
      </c>
      <c r="E487" s="454" t="s">
        <v>273</v>
      </c>
      <c r="F487" s="451">
        <f t="shared" si="37"/>
        <v>3230</v>
      </c>
      <c r="G487" s="451">
        <f t="shared" si="37"/>
        <v>3230</v>
      </c>
    </row>
    <row r="488" spans="1:7" ht="15.75" x14ac:dyDescent="0.25">
      <c r="A488" s="458" t="s">
        <v>274</v>
      </c>
      <c r="B488" s="454" t="s">
        <v>264</v>
      </c>
      <c r="C488" s="454" t="s">
        <v>118</v>
      </c>
      <c r="D488" s="454" t="s">
        <v>1393</v>
      </c>
      <c r="E488" s="454" t="s">
        <v>275</v>
      </c>
      <c r="F488" s="451">
        <f>'пр.6.1.ведом.22-23 (2)'!G558</f>
        <v>3230</v>
      </c>
      <c r="G488" s="451">
        <f>'пр.6.1.ведом.22-23 (2)'!H558</f>
        <v>3230</v>
      </c>
    </row>
    <row r="489" spans="1:7" ht="63" x14ac:dyDescent="0.25">
      <c r="A489" s="31" t="s">
        <v>289</v>
      </c>
      <c r="B489" s="454" t="s">
        <v>264</v>
      </c>
      <c r="C489" s="454" t="s">
        <v>118</v>
      </c>
      <c r="D489" s="454" t="s">
        <v>1234</v>
      </c>
      <c r="E489" s="454"/>
      <c r="F489" s="451">
        <f t="shared" ref="F489:G490" si="38">F490</f>
        <v>589</v>
      </c>
      <c r="G489" s="451">
        <f t="shared" si="38"/>
        <v>589</v>
      </c>
    </row>
    <row r="490" spans="1:7" ht="47.25" x14ac:dyDescent="0.25">
      <c r="A490" s="458" t="s">
        <v>272</v>
      </c>
      <c r="B490" s="454" t="s">
        <v>264</v>
      </c>
      <c r="C490" s="454" t="s">
        <v>118</v>
      </c>
      <c r="D490" s="454" t="s">
        <v>1234</v>
      </c>
      <c r="E490" s="454" t="s">
        <v>273</v>
      </c>
      <c r="F490" s="451">
        <f t="shared" si="38"/>
        <v>589</v>
      </c>
      <c r="G490" s="451">
        <f t="shared" si="38"/>
        <v>589</v>
      </c>
    </row>
    <row r="491" spans="1:7" ht="15.75" x14ac:dyDescent="0.25">
      <c r="A491" s="458" t="s">
        <v>274</v>
      </c>
      <c r="B491" s="454" t="s">
        <v>264</v>
      </c>
      <c r="C491" s="454" t="s">
        <v>118</v>
      </c>
      <c r="D491" s="454" t="s">
        <v>1234</v>
      </c>
      <c r="E491" s="454" t="s">
        <v>275</v>
      </c>
      <c r="F491" s="451">
        <f>'пр.6.1.ведом.22-23 (2)'!G561</f>
        <v>589</v>
      </c>
      <c r="G491" s="451">
        <f>'пр.6.1.ведом.22-23 (2)'!H561</f>
        <v>589</v>
      </c>
    </row>
    <row r="492" spans="1:7" ht="78.75" x14ac:dyDescent="0.25">
      <c r="A492" s="31" t="s">
        <v>291</v>
      </c>
      <c r="B492" s="454" t="s">
        <v>264</v>
      </c>
      <c r="C492" s="454" t="s">
        <v>118</v>
      </c>
      <c r="D492" s="454" t="s">
        <v>1235</v>
      </c>
      <c r="E492" s="454"/>
      <c r="F492" s="451">
        <f t="shared" ref="F492:G493" si="39">F493</f>
        <v>1629.3</v>
      </c>
      <c r="G492" s="451">
        <f t="shared" si="39"/>
        <v>1629.3</v>
      </c>
    </row>
    <row r="493" spans="1:7" ht="47.25" x14ac:dyDescent="0.25">
      <c r="A493" s="458" t="s">
        <v>272</v>
      </c>
      <c r="B493" s="454" t="s">
        <v>264</v>
      </c>
      <c r="C493" s="454" t="s">
        <v>118</v>
      </c>
      <c r="D493" s="454" t="s">
        <v>1235</v>
      </c>
      <c r="E493" s="454" t="s">
        <v>273</v>
      </c>
      <c r="F493" s="451">
        <f t="shared" si="39"/>
        <v>1629.3</v>
      </c>
      <c r="G493" s="451">
        <f t="shared" si="39"/>
        <v>1629.3</v>
      </c>
    </row>
    <row r="494" spans="1:7" ht="15.75" x14ac:dyDescent="0.25">
      <c r="A494" s="458" t="s">
        <v>274</v>
      </c>
      <c r="B494" s="454" t="s">
        <v>264</v>
      </c>
      <c r="C494" s="454" t="s">
        <v>118</v>
      </c>
      <c r="D494" s="454" t="s">
        <v>1235</v>
      </c>
      <c r="E494" s="454" t="s">
        <v>275</v>
      </c>
      <c r="F494" s="451">
        <f>'пр.6.1.ведом.22-23 (2)'!G564</f>
        <v>1629.3</v>
      </c>
      <c r="G494" s="451">
        <f>'пр.6.1.ведом.22-23 (2)'!H564</f>
        <v>1629.3</v>
      </c>
    </row>
    <row r="495" spans="1:7" ht="94.5" x14ac:dyDescent="0.25">
      <c r="A495" s="31" t="s">
        <v>1184</v>
      </c>
      <c r="B495" s="454" t="s">
        <v>264</v>
      </c>
      <c r="C495" s="454" t="s">
        <v>118</v>
      </c>
      <c r="D495" s="454" t="s">
        <v>1236</v>
      </c>
      <c r="E495" s="454"/>
      <c r="F495" s="451">
        <f t="shared" ref="F495:G496" si="40">F496</f>
        <v>70113.2</v>
      </c>
      <c r="G495" s="451">
        <f t="shared" si="40"/>
        <v>74475.8</v>
      </c>
    </row>
    <row r="496" spans="1:7" ht="47.25" x14ac:dyDescent="0.25">
      <c r="A496" s="458" t="s">
        <v>272</v>
      </c>
      <c r="B496" s="454" t="s">
        <v>264</v>
      </c>
      <c r="C496" s="454" t="s">
        <v>118</v>
      </c>
      <c r="D496" s="454" t="s">
        <v>1236</v>
      </c>
      <c r="E496" s="454" t="s">
        <v>273</v>
      </c>
      <c r="F496" s="451">
        <f t="shared" si="40"/>
        <v>70113.2</v>
      </c>
      <c r="G496" s="451">
        <f t="shared" si="40"/>
        <v>74475.8</v>
      </c>
    </row>
    <row r="497" spans="1:7" ht="15.75" x14ac:dyDescent="0.25">
      <c r="A497" s="458" t="s">
        <v>274</v>
      </c>
      <c r="B497" s="454" t="s">
        <v>264</v>
      </c>
      <c r="C497" s="454" t="s">
        <v>118</v>
      </c>
      <c r="D497" s="454" t="s">
        <v>1236</v>
      </c>
      <c r="E497" s="454" t="s">
        <v>275</v>
      </c>
      <c r="F497" s="451">
        <f>'пр.6.1.ведом.22-23 (2)'!G567</f>
        <v>70113.2</v>
      </c>
      <c r="G497" s="451">
        <f>'пр.6.1.ведом.22-23 (2)'!H567</f>
        <v>74475.8</v>
      </c>
    </row>
    <row r="498" spans="1:7" ht="31.5" x14ac:dyDescent="0.25">
      <c r="A498" s="456" t="s">
        <v>1293</v>
      </c>
      <c r="B498" s="457" t="s">
        <v>264</v>
      </c>
      <c r="C498" s="457" t="s">
        <v>118</v>
      </c>
      <c r="D498" s="457" t="s">
        <v>1238</v>
      </c>
      <c r="E498" s="457"/>
      <c r="F498" s="450">
        <f>F505</f>
        <v>4430</v>
      </c>
      <c r="G498" s="450">
        <f>G505</f>
        <v>4430</v>
      </c>
    </row>
    <row r="499" spans="1:7" ht="47.25" hidden="1" x14ac:dyDescent="0.25">
      <c r="A499" s="458" t="s">
        <v>278</v>
      </c>
      <c r="B499" s="454" t="s">
        <v>264</v>
      </c>
      <c r="C499" s="454" t="s">
        <v>118</v>
      </c>
      <c r="D499" s="454" t="s">
        <v>1319</v>
      </c>
      <c r="E499" s="454"/>
      <c r="F499" s="451">
        <f>F500</f>
        <v>0</v>
      </c>
      <c r="G499" s="451">
        <f>G500</f>
        <v>0</v>
      </c>
    </row>
    <row r="500" spans="1:7" ht="47.25" hidden="1" x14ac:dyDescent="0.25">
      <c r="A500" s="458" t="s">
        <v>272</v>
      </c>
      <c r="B500" s="454" t="s">
        <v>264</v>
      </c>
      <c r="C500" s="454" t="s">
        <v>118</v>
      </c>
      <c r="D500" s="454" t="s">
        <v>1319</v>
      </c>
      <c r="E500" s="454" t="s">
        <v>273</v>
      </c>
      <c r="F500" s="451">
        <f t="shared" ref="F500:G500" si="41">F501</f>
        <v>0</v>
      </c>
      <c r="G500" s="451">
        <f t="shared" si="41"/>
        <v>0</v>
      </c>
    </row>
    <row r="501" spans="1:7" ht="15.75" hidden="1" x14ac:dyDescent="0.25">
      <c r="A501" s="458" t="s">
        <v>274</v>
      </c>
      <c r="B501" s="454" t="s">
        <v>264</v>
      </c>
      <c r="C501" s="454" t="s">
        <v>118</v>
      </c>
      <c r="D501" s="454" t="s">
        <v>1319</v>
      </c>
      <c r="E501" s="454" t="s">
        <v>275</v>
      </c>
      <c r="F501" s="451">
        <f>'пр.6.1.ведом.22-23 (2)'!G571</f>
        <v>0</v>
      </c>
      <c r="G501" s="451">
        <f>'пр.6.1.ведом.22-23 (2)'!H571</f>
        <v>0</v>
      </c>
    </row>
    <row r="502" spans="1:7" ht="31.5" hidden="1" x14ac:dyDescent="0.25">
      <c r="A502" s="458" t="s">
        <v>280</v>
      </c>
      <c r="B502" s="454" t="s">
        <v>264</v>
      </c>
      <c r="C502" s="454" t="s">
        <v>118</v>
      </c>
      <c r="D502" s="454" t="s">
        <v>1320</v>
      </c>
      <c r="E502" s="454"/>
      <c r="F502" s="451">
        <f>F503</f>
        <v>0</v>
      </c>
      <c r="G502" s="451">
        <f>G503</f>
        <v>0</v>
      </c>
    </row>
    <row r="503" spans="1:7" ht="47.25" hidden="1" x14ac:dyDescent="0.25">
      <c r="A503" s="458" t="s">
        <v>272</v>
      </c>
      <c r="B503" s="454" t="s">
        <v>264</v>
      </c>
      <c r="C503" s="454" t="s">
        <v>118</v>
      </c>
      <c r="D503" s="454" t="s">
        <v>1320</v>
      </c>
      <c r="E503" s="454" t="s">
        <v>273</v>
      </c>
      <c r="F503" s="451">
        <f t="shared" ref="F503:G503" si="42">F504</f>
        <v>0</v>
      </c>
      <c r="G503" s="451">
        <f t="shared" si="42"/>
        <v>0</v>
      </c>
    </row>
    <row r="504" spans="1:7" ht="15.75" hidden="1" x14ac:dyDescent="0.25">
      <c r="A504" s="458" t="s">
        <v>274</v>
      </c>
      <c r="B504" s="454" t="s">
        <v>264</v>
      </c>
      <c r="C504" s="454" t="s">
        <v>118</v>
      </c>
      <c r="D504" s="454" t="s">
        <v>1320</v>
      </c>
      <c r="E504" s="454" t="s">
        <v>275</v>
      </c>
      <c r="F504" s="451">
        <f>'пр.6.1.ведом.22-23 (2)'!G574</f>
        <v>0</v>
      </c>
      <c r="G504" s="451">
        <f>'пр.6.1.ведом.22-23 (2)'!H574</f>
        <v>0</v>
      </c>
    </row>
    <row r="505" spans="1:7" ht="47.25" x14ac:dyDescent="0.25">
      <c r="A505" s="29" t="s">
        <v>415</v>
      </c>
      <c r="B505" s="454" t="s">
        <v>264</v>
      </c>
      <c r="C505" s="454" t="s">
        <v>118</v>
      </c>
      <c r="D505" s="454" t="s">
        <v>1239</v>
      </c>
      <c r="E505" s="454"/>
      <c r="F505" s="451">
        <f>F506</f>
        <v>4430</v>
      </c>
      <c r="G505" s="451">
        <f>G506</f>
        <v>4430</v>
      </c>
    </row>
    <row r="506" spans="1:7" ht="47.25" x14ac:dyDescent="0.25">
      <c r="A506" s="458" t="s">
        <v>272</v>
      </c>
      <c r="B506" s="454" t="s">
        <v>264</v>
      </c>
      <c r="C506" s="454" t="s">
        <v>118</v>
      </c>
      <c r="D506" s="454" t="s">
        <v>1239</v>
      </c>
      <c r="E506" s="454" t="s">
        <v>273</v>
      </c>
      <c r="F506" s="451">
        <f>F507</f>
        <v>4430</v>
      </c>
      <c r="G506" s="451">
        <f>G507</f>
        <v>4430</v>
      </c>
    </row>
    <row r="507" spans="1:7" ht="15.75" x14ac:dyDescent="0.25">
      <c r="A507" s="458" t="s">
        <v>274</v>
      </c>
      <c r="B507" s="454" t="s">
        <v>264</v>
      </c>
      <c r="C507" s="454" t="s">
        <v>118</v>
      </c>
      <c r="D507" s="454" t="s">
        <v>1239</v>
      </c>
      <c r="E507" s="454" t="s">
        <v>275</v>
      </c>
      <c r="F507" s="451">
        <f>'пр.6.1.ведом.22-23 (2)'!G577</f>
        <v>4430</v>
      </c>
      <c r="G507" s="451">
        <f>'пр.6.1.ведом.22-23 (2)'!H577</f>
        <v>4430</v>
      </c>
    </row>
    <row r="508" spans="1:7" ht="47.25" x14ac:dyDescent="0.25">
      <c r="A508" s="214" t="s">
        <v>948</v>
      </c>
      <c r="B508" s="457" t="s">
        <v>264</v>
      </c>
      <c r="C508" s="457" t="s">
        <v>118</v>
      </c>
      <c r="D508" s="457" t="s">
        <v>1241</v>
      </c>
      <c r="E508" s="457"/>
      <c r="F508" s="450">
        <f>F512+F515</f>
        <v>4848</v>
      </c>
      <c r="G508" s="450">
        <f>G512+G515</f>
        <v>4848</v>
      </c>
    </row>
    <row r="509" spans="1:7" ht="31.5" hidden="1" x14ac:dyDescent="0.25">
      <c r="A509" s="458" t="s">
        <v>284</v>
      </c>
      <c r="B509" s="454" t="s">
        <v>264</v>
      </c>
      <c r="C509" s="454" t="s">
        <v>118</v>
      </c>
      <c r="D509" s="454" t="s">
        <v>1259</v>
      </c>
      <c r="E509" s="454"/>
      <c r="F509" s="451">
        <f>F510</f>
        <v>0</v>
      </c>
      <c r="G509" s="451">
        <f>G510</f>
        <v>0</v>
      </c>
    </row>
    <row r="510" spans="1:7" ht="47.25" hidden="1" x14ac:dyDescent="0.25">
      <c r="A510" s="458" t="s">
        <v>272</v>
      </c>
      <c r="B510" s="454" t="s">
        <v>264</v>
      </c>
      <c r="C510" s="454" t="s">
        <v>118</v>
      </c>
      <c r="D510" s="454" t="s">
        <v>1259</v>
      </c>
      <c r="E510" s="454" t="s">
        <v>273</v>
      </c>
      <c r="F510" s="451">
        <f>F511</f>
        <v>0</v>
      </c>
      <c r="G510" s="451">
        <f>G511</f>
        <v>0</v>
      </c>
    </row>
    <row r="511" spans="1:7" ht="15.75" hidden="1" x14ac:dyDescent="0.25">
      <c r="A511" s="458" t="s">
        <v>274</v>
      </c>
      <c r="B511" s="454" t="s">
        <v>264</v>
      </c>
      <c r="C511" s="454" t="s">
        <v>118</v>
      </c>
      <c r="D511" s="454" t="s">
        <v>1259</v>
      </c>
      <c r="E511" s="454" t="s">
        <v>275</v>
      </c>
      <c r="F511" s="451">
        <f>'пр.6.1.ведом.22-23 (2)'!G581</f>
        <v>0</v>
      </c>
      <c r="G511" s="451">
        <f>'пр.6.1.ведом.22-23 (2)'!H581</f>
        <v>0</v>
      </c>
    </row>
    <row r="512" spans="1:7" ht="47.25" x14ac:dyDescent="0.25">
      <c r="A512" s="60" t="s">
        <v>764</v>
      </c>
      <c r="B512" s="454" t="s">
        <v>264</v>
      </c>
      <c r="C512" s="454" t="s">
        <v>118</v>
      </c>
      <c r="D512" s="454" t="s">
        <v>1242</v>
      </c>
      <c r="E512" s="454"/>
      <c r="F512" s="451">
        <f>F513</f>
        <v>3088</v>
      </c>
      <c r="G512" s="451">
        <f>G513</f>
        <v>3088</v>
      </c>
    </row>
    <row r="513" spans="1:7" ht="47.25" x14ac:dyDescent="0.25">
      <c r="A513" s="29" t="s">
        <v>272</v>
      </c>
      <c r="B513" s="454" t="s">
        <v>264</v>
      </c>
      <c r="C513" s="454" t="s">
        <v>118</v>
      </c>
      <c r="D513" s="454" t="s">
        <v>1242</v>
      </c>
      <c r="E513" s="454" t="s">
        <v>273</v>
      </c>
      <c r="F513" s="451">
        <f>F514</f>
        <v>3088</v>
      </c>
      <c r="G513" s="451">
        <f>G514</f>
        <v>3088</v>
      </c>
    </row>
    <row r="514" spans="1:7" ht="15.75" x14ac:dyDescent="0.25">
      <c r="A514" s="182" t="s">
        <v>274</v>
      </c>
      <c r="B514" s="454" t="s">
        <v>264</v>
      </c>
      <c r="C514" s="454" t="s">
        <v>118</v>
      </c>
      <c r="D514" s="454" t="s">
        <v>1242</v>
      </c>
      <c r="E514" s="454" t="s">
        <v>275</v>
      </c>
      <c r="F514" s="451">
        <f>'пр.6.1.ведом.22-23 (2)'!G584</f>
        <v>3088</v>
      </c>
      <c r="G514" s="451">
        <f>'пр.6.1.ведом.22-23 (2)'!H584</f>
        <v>3088</v>
      </c>
    </row>
    <row r="515" spans="1:7" ht="63" x14ac:dyDescent="0.25">
      <c r="A515" s="60" t="s">
        <v>765</v>
      </c>
      <c r="B515" s="454" t="s">
        <v>264</v>
      </c>
      <c r="C515" s="454" t="s">
        <v>118</v>
      </c>
      <c r="D515" s="454" t="s">
        <v>1243</v>
      </c>
      <c r="E515" s="454"/>
      <c r="F515" s="451">
        <f>F516</f>
        <v>1760</v>
      </c>
      <c r="G515" s="451">
        <f>G516</f>
        <v>1760</v>
      </c>
    </row>
    <row r="516" spans="1:7" ht="47.25" x14ac:dyDescent="0.25">
      <c r="A516" s="29" t="s">
        <v>272</v>
      </c>
      <c r="B516" s="454" t="s">
        <v>264</v>
      </c>
      <c r="C516" s="454" t="s">
        <v>118</v>
      </c>
      <c r="D516" s="454" t="s">
        <v>1243</v>
      </c>
      <c r="E516" s="454" t="s">
        <v>273</v>
      </c>
      <c r="F516" s="451">
        <f>F517</f>
        <v>1760</v>
      </c>
      <c r="G516" s="451">
        <f>G517</f>
        <v>1760</v>
      </c>
    </row>
    <row r="517" spans="1:7" ht="15.75" x14ac:dyDescent="0.25">
      <c r="A517" s="182" t="s">
        <v>274</v>
      </c>
      <c r="B517" s="454" t="s">
        <v>264</v>
      </c>
      <c r="C517" s="454" t="s">
        <v>118</v>
      </c>
      <c r="D517" s="454" t="s">
        <v>1243</v>
      </c>
      <c r="E517" s="454" t="s">
        <v>275</v>
      </c>
      <c r="F517" s="451">
        <f>'пр.6.1.ведом.22-23 (2)'!G587</f>
        <v>1760</v>
      </c>
      <c r="G517" s="451">
        <f>'пр.6.1.ведом.22-23 (2)'!H587</f>
        <v>1760</v>
      </c>
    </row>
    <row r="518" spans="1:7" ht="78" customHeight="1" x14ac:dyDescent="0.25">
      <c r="A518" s="456" t="s">
        <v>933</v>
      </c>
      <c r="B518" s="457" t="s">
        <v>264</v>
      </c>
      <c r="C518" s="457" t="s">
        <v>118</v>
      </c>
      <c r="D518" s="457" t="s">
        <v>1244</v>
      </c>
      <c r="E518" s="457"/>
      <c r="F518" s="450">
        <f t="shared" ref="F518:G520" si="43">F519</f>
        <v>297.70000000000005</v>
      </c>
      <c r="G518" s="450">
        <f t="shared" si="43"/>
        <v>297.70000000000005</v>
      </c>
    </row>
    <row r="519" spans="1:7" ht="110.25" x14ac:dyDescent="0.25">
      <c r="A519" s="458" t="s">
        <v>1515</v>
      </c>
      <c r="B519" s="454" t="s">
        <v>264</v>
      </c>
      <c r="C519" s="454" t="s">
        <v>118</v>
      </c>
      <c r="D519" s="454" t="s">
        <v>1245</v>
      </c>
      <c r="E519" s="454"/>
      <c r="F519" s="451">
        <f t="shared" si="43"/>
        <v>297.70000000000005</v>
      </c>
      <c r="G519" s="451">
        <f t="shared" si="43"/>
        <v>297.70000000000005</v>
      </c>
    </row>
    <row r="520" spans="1:7" ht="47.25" x14ac:dyDescent="0.25">
      <c r="A520" s="29" t="s">
        <v>272</v>
      </c>
      <c r="B520" s="454" t="s">
        <v>264</v>
      </c>
      <c r="C520" s="454" t="s">
        <v>118</v>
      </c>
      <c r="D520" s="454" t="s">
        <v>1245</v>
      </c>
      <c r="E520" s="454" t="s">
        <v>273</v>
      </c>
      <c r="F520" s="451">
        <f t="shared" si="43"/>
        <v>297.70000000000005</v>
      </c>
      <c r="G520" s="451">
        <f t="shared" si="43"/>
        <v>297.70000000000005</v>
      </c>
    </row>
    <row r="521" spans="1:7" ht="15.75" x14ac:dyDescent="0.25">
      <c r="A521" s="182" t="s">
        <v>274</v>
      </c>
      <c r="B521" s="454" t="s">
        <v>264</v>
      </c>
      <c r="C521" s="454" t="s">
        <v>118</v>
      </c>
      <c r="D521" s="454" t="s">
        <v>1245</v>
      </c>
      <c r="E521" s="454" t="s">
        <v>275</v>
      </c>
      <c r="F521" s="451">
        <f>'пр.6.1.ведом.22-23 (2)'!G591</f>
        <v>297.70000000000005</v>
      </c>
      <c r="G521" s="451">
        <f>'пр.6.1.ведом.22-23 (2)'!H591</f>
        <v>297.70000000000005</v>
      </c>
    </row>
    <row r="522" spans="1:7" ht="157.5" hidden="1" x14ac:dyDescent="0.25">
      <c r="A522" s="458" t="s">
        <v>423</v>
      </c>
      <c r="B522" s="454" t="s">
        <v>264</v>
      </c>
      <c r="C522" s="454" t="s">
        <v>118</v>
      </c>
      <c r="D522" s="454" t="s">
        <v>1246</v>
      </c>
      <c r="E522" s="454"/>
      <c r="F522" s="451" t="e">
        <f t="shared" ref="F522:G523" si="44">F523</f>
        <v>#REF!</v>
      </c>
      <c r="G522" s="451" t="e">
        <f t="shared" si="44"/>
        <v>#REF!</v>
      </c>
    </row>
    <row r="523" spans="1:7" ht="47.25" hidden="1" x14ac:dyDescent="0.25">
      <c r="A523" s="458" t="s">
        <v>272</v>
      </c>
      <c r="B523" s="454" t="s">
        <v>264</v>
      </c>
      <c r="C523" s="454" t="s">
        <v>118</v>
      </c>
      <c r="D523" s="454" t="s">
        <v>1246</v>
      </c>
      <c r="E523" s="454" t="s">
        <v>273</v>
      </c>
      <c r="F523" s="451" t="e">
        <f t="shared" si="44"/>
        <v>#REF!</v>
      </c>
      <c r="G523" s="451" t="e">
        <f t="shared" si="44"/>
        <v>#REF!</v>
      </c>
    </row>
    <row r="524" spans="1:7" ht="15.75" hidden="1" x14ac:dyDescent="0.25">
      <c r="A524" s="458" t="s">
        <v>274</v>
      </c>
      <c r="B524" s="454" t="s">
        <v>264</v>
      </c>
      <c r="C524" s="454" t="s">
        <v>118</v>
      </c>
      <c r="D524" s="454" t="s">
        <v>1246</v>
      </c>
      <c r="E524" s="454" t="s">
        <v>275</v>
      </c>
      <c r="F524" s="451" t="e">
        <f>'пр.6.1.ведом.22-23 (2)'!#REF!</f>
        <v>#REF!</v>
      </c>
      <c r="G524" s="451" t="e">
        <f>'пр.6.1.ведом.22-23 (2)'!#REF!</f>
        <v>#REF!</v>
      </c>
    </row>
    <row r="525" spans="1:7" ht="110.25" x14ac:dyDescent="0.25">
      <c r="A525" s="456" t="s">
        <v>1167</v>
      </c>
      <c r="B525" s="457" t="s">
        <v>264</v>
      </c>
      <c r="C525" s="457" t="s">
        <v>118</v>
      </c>
      <c r="D525" s="457" t="s">
        <v>1247</v>
      </c>
      <c r="E525" s="457"/>
      <c r="F525" s="455">
        <f>F526+F529</f>
        <v>1666.6</v>
      </c>
      <c r="G525" s="455">
        <f>G526+G529</f>
        <v>915</v>
      </c>
    </row>
    <row r="526" spans="1:7" ht="101.25" hidden="1" customHeight="1" x14ac:dyDescent="0.25">
      <c r="A526" s="149" t="s">
        <v>1186</v>
      </c>
      <c r="B526" s="454" t="s">
        <v>264</v>
      </c>
      <c r="C526" s="454" t="s">
        <v>118</v>
      </c>
      <c r="D526" s="454" t="s">
        <v>1248</v>
      </c>
      <c r="E526" s="454"/>
      <c r="F526" s="459">
        <f>F527</f>
        <v>0</v>
      </c>
      <c r="G526" s="459">
        <f>G527</f>
        <v>0</v>
      </c>
    </row>
    <row r="527" spans="1:7" ht="47.25" hidden="1" x14ac:dyDescent="0.25">
      <c r="A527" s="458" t="s">
        <v>272</v>
      </c>
      <c r="B527" s="454" t="s">
        <v>264</v>
      </c>
      <c r="C527" s="454" t="s">
        <v>118</v>
      </c>
      <c r="D527" s="454" t="s">
        <v>1248</v>
      </c>
      <c r="E527" s="454" t="s">
        <v>273</v>
      </c>
      <c r="F527" s="459">
        <f>F528</f>
        <v>0</v>
      </c>
      <c r="G527" s="459">
        <f>G528</f>
        <v>0</v>
      </c>
    </row>
    <row r="528" spans="1:7" ht="15.75" hidden="1" x14ac:dyDescent="0.25">
      <c r="A528" s="458" t="s">
        <v>274</v>
      </c>
      <c r="B528" s="454" t="s">
        <v>264</v>
      </c>
      <c r="C528" s="454" t="s">
        <v>118</v>
      </c>
      <c r="D528" s="454" t="s">
        <v>1248</v>
      </c>
      <c r="E528" s="454" t="s">
        <v>275</v>
      </c>
      <c r="F528" s="459">
        <f>'пр.6.1.ведом.22-23 (2)'!G595</f>
        <v>0</v>
      </c>
      <c r="G528" s="459">
        <f>'пр.6.1.ведом.22-23 (2)'!H595</f>
        <v>0</v>
      </c>
    </row>
    <row r="529" spans="1:7" ht="94.5" x14ac:dyDescent="0.25">
      <c r="A529" s="149" t="s">
        <v>1498</v>
      </c>
      <c r="B529" s="454" t="s">
        <v>264</v>
      </c>
      <c r="C529" s="454" t="s">
        <v>118</v>
      </c>
      <c r="D529" s="454" t="s">
        <v>1248</v>
      </c>
      <c r="E529" s="454"/>
      <c r="F529" s="459">
        <f>F530</f>
        <v>1666.6</v>
      </c>
      <c r="G529" s="459">
        <f>G530</f>
        <v>915</v>
      </c>
    </row>
    <row r="530" spans="1:7" ht="47.25" x14ac:dyDescent="0.25">
      <c r="A530" s="458" t="s">
        <v>272</v>
      </c>
      <c r="B530" s="454" t="s">
        <v>264</v>
      </c>
      <c r="C530" s="454" t="s">
        <v>118</v>
      </c>
      <c r="D530" s="454" t="s">
        <v>1248</v>
      </c>
      <c r="E530" s="454" t="s">
        <v>273</v>
      </c>
      <c r="F530" s="459">
        <f>F531</f>
        <v>1666.6</v>
      </c>
      <c r="G530" s="459">
        <f>G531</f>
        <v>915</v>
      </c>
    </row>
    <row r="531" spans="1:7" ht="15.75" x14ac:dyDescent="0.25">
      <c r="A531" s="458" t="s">
        <v>274</v>
      </c>
      <c r="B531" s="454" t="s">
        <v>264</v>
      </c>
      <c r="C531" s="454" t="s">
        <v>118</v>
      </c>
      <c r="D531" s="454" t="s">
        <v>1248</v>
      </c>
      <c r="E531" s="454" t="s">
        <v>275</v>
      </c>
      <c r="F531" s="459">
        <f>'пр.6.1.ведом.22-23 (2)'!G598</f>
        <v>1666.6</v>
      </c>
      <c r="G531" s="459">
        <f>'пр.6.1.ведом.22-23 (2)'!H598</f>
        <v>915</v>
      </c>
    </row>
    <row r="532" spans="1:7" ht="63" x14ac:dyDescent="0.25">
      <c r="A532" s="34" t="s">
        <v>1360</v>
      </c>
      <c r="B532" s="457" t="s">
        <v>264</v>
      </c>
      <c r="C532" s="457" t="s">
        <v>118</v>
      </c>
      <c r="D532" s="457" t="s">
        <v>324</v>
      </c>
      <c r="E532" s="457"/>
      <c r="F532" s="455">
        <f t="shared" ref="F532:G535" si="45">F533</f>
        <v>80</v>
      </c>
      <c r="G532" s="455">
        <f t="shared" si="45"/>
        <v>25</v>
      </c>
    </row>
    <row r="533" spans="1:7" ht="63" x14ac:dyDescent="0.25">
      <c r="A533" s="34" t="s">
        <v>1009</v>
      </c>
      <c r="B533" s="457" t="s">
        <v>264</v>
      </c>
      <c r="C533" s="457" t="s">
        <v>118</v>
      </c>
      <c r="D533" s="457" t="s">
        <v>934</v>
      </c>
      <c r="E533" s="457"/>
      <c r="F533" s="455">
        <f t="shared" si="45"/>
        <v>80</v>
      </c>
      <c r="G533" s="455">
        <f t="shared" si="45"/>
        <v>25</v>
      </c>
    </row>
    <row r="534" spans="1:7" ht="47.25" x14ac:dyDescent="0.25">
      <c r="A534" s="31" t="s">
        <v>1082</v>
      </c>
      <c r="B534" s="454" t="s">
        <v>264</v>
      </c>
      <c r="C534" s="454" t="s">
        <v>118</v>
      </c>
      <c r="D534" s="454" t="s">
        <v>935</v>
      </c>
      <c r="E534" s="454"/>
      <c r="F534" s="459">
        <f t="shared" si="45"/>
        <v>80</v>
      </c>
      <c r="G534" s="459">
        <f t="shared" si="45"/>
        <v>25</v>
      </c>
    </row>
    <row r="535" spans="1:7" ht="47.25" x14ac:dyDescent="0.25">
      <c r="A535" s="31" t="s">
        <v>272</v>
      </c>
      <c r="B535" s="454" t="s">
        <v>264</v>
      </c>
      <c r="C535" s="454" t="s">
        <v>118</v>
      </c>
      <c r="D535" s="454" t="s">
        <v>935</v>
      </c>
      <c r="E535" s="454" t="s">
        <v>273</v>
      </c>
      <c r="F535" s="459">
        <f t="shared" si="45"/>
        <v>80</v>
      </c>
      <c r="G535" s="459">
        <f t="shared" si="45"/>
        <v>25</v>
      </c>
    </row>
    <row r="536" spans="1:7" ht="15.75" x14ac:dyDescent="0.25">
      <c r="A536" s="31" t="s">
        <v>274</v>
      </c>
      <c r="B536" s="454" t="s">
        <v>264</v>
      </c>
      <c r="C536" s="454" t="s">
        <v>118</v>
      </c>
      <c r="D536" s="454" t="s">
        <v>935</v>
      </c>
      <c r="E536" s="454" t="s">
        <v>275</v>
      </c>
      <c r="F536" s="459">
        <f>'пр.6.1.ведом.22-23 (2)'!G603</f>
        <v>80</v>
      </c>
      <c r="G536" s="459">
        <f>'пр.6.1.ведом.22-23 (2)'!H603</f>
        <v>25</v>
      </c>
    </row>
    <row r="537" spans="1:7" ht="63" x14ac:dyDescent="0.25">
      <c r="A537" s="462" t="s">
        <v>1355</v>
      </c>
      <c r="B537" s="457" t="s">
        <v>264</v>
      </c>
      <c r="C537" s="457" t="s">
        <v>118</v>
      </c>
      <c r="D537" s="457" t="s">
        <v>705</v>
      </c>
      <c r="E537" s="465"/>
      <c r="F537" s="450">
        <f>F538</f>
        <v>570.9</v>
      </c>
      <c r="G537" s="450">
        <f>G538</f>
        <v>593.79999999999995</v>
      </c>
    </row>
    <row r="538" spans="1:7" ht="63" x14ac:dyDescent="0.25">
      <c r="A538" s="462" t="s">
        <v>890</v>
      </c>
      <c r="B538" s="457" t="s">
        <v>264</v>
      </c>
      <c r="C538" s="457" t="s">
        <v>118</v>
      </c>
      <c r="D538" s="457" t="s">
        <v>888</v>
      </c>
      <c r="E538" s="465"/>
      <c r="F538" s="450">
        <f t="shared" ref="F538:G539" si="46">F539</f>
        <v>570.9</v>
      </c>
      <c r="G538" s="450">
        <f t="shared" si="46"/>
        <v>593.79999999999995</v>
      </c>
    </row>
    <row r="539" spans="1:7" ht="47.25" x14ac:dyDescent="0.25">
      <c r="A539" s="98" t="s">
        <v>780</v>
      </c>
      <c r="B539" s="454" t="s">
        <v>264</v>
      </c>
      <c r="C539" s="454" t="s">
        <v>118</v>
      </c>
      <c r="D539" s="454" t="s">
        <v>936</v>
      </c>
      <c r="E539" s="460"/>
      <c r="F539" s="451">
        <f t="shared" si="46"/>
        <v>570.9</v>
      </c>
      <c r="G539" s="451">
        <f t="shared" si="46"/>
        <v>593.79999999999995</v>
      </c>
    </row>
    <row r="540" spans="1:7" ht="47.25" x14ac:dyDescent="0.25">
      <c r="A540" s="29" t="s">
        <v>272</v>
      </c>
      <c r="B540" s="454" t="s">
        <v>264</v>
      </c>
      <c r="C540" s="454" t="s">
        <v>118</v>
      </c>
      <c r="D540" s="454" t="s">
        <v>936</v>
      </c>
      <c r="E540" s="460" t="s">
        <v>273</v>
      </c>
      <c r="F540" s="451">
        <f>F541</f>
        <v>570.9</v>
      </c>
      <c r="G540" s="451">
        <f>G541</f>
        <v>593.79999999999995</v>
      </c>
    </row>
    <row r="541" spans="1:7" ht="15.75" x14ac:dyDescent="0.25">
      <c r="A541" s="182" t="s">
        <v>274</v>
      </c>
      <c r="B541" s="454" t="s">
        <v>264</v>
      </c>
      <c r="C541" s="454" t="s">
        <v>118</v>
      </c>
      <c r="D541" s="454" t="s">
        <v>936</v>
      </c>
      <c r="E541" s="460" t="s">
        <v>275</v>
      </c>
      <c r="F541" s="451">
        <f>'пр.6.1.ведом.22-23 (2)'!G608</f>
        <v>570.9</v>
      </c>
      <c r="G541" s="451">
        <f>'пр.6.1.ведом.22-23 (2)'!H608</f>
        <v>593.79999999999995</v>
      </c>
    </row>
    <row r="542" spans="1:7" ht="15.75" x14ac:dyDescent="0.25">
      <c r="A542" s="462" t="s">
        <v>425</v>
      </c>
      <c r="B542" s="7" t="s">
        <v>264</v>
      </c>
      <c r="C542" s="7" t="s">
        <v>213</v>
      </c>
      <c r="D542" s="7"/>
      <c r="E542" s="7"/>
      <c r="F542" s="450">
        <f>F543+F615+F610</f>
        <v>177341.49999999997</v>
      </c>
      <c r="G542" s="450">
        <f>G543+G615+G610</f>
        <v>196805.15000000002</v>
      </c>
    </row>
    <row r="543" spans="1:7" ht="47.25" x14ac:dyDescent="0.25">
      <c r="A543" s="456" t="s">
        <v>1361</v>
      </c>
      <c r="B543" s="457" t="s">
        <v>264</v>
      </c>
      <c r="C543" s="457" t="s">
        <v>213</v>
      </c>
      <c r="D543" s="457" t="s">
        <v>406</v>
      </c>
      <c r="E543" s="457"/>
      <c r="F543" s="450">
        <f>F544+F548+F567+F580+F587+F591+F595+F602+F606</f>
        <v>176410.99999999997</v>
      </c>
      <c r="G543" s="450">
        <f>G544+G548+G567+G580+G587+G591+G595+G602+G606</f>
        <v>195829.85000000003</v>
      </c>
    </row>
    <row r="544" spans="1:7" ht="47.25" x14ac:dyDescent="0.25">
      <c r="A544" s="456" t="s">
        <v>937</v>
      </c>
      <c r="B544" s="457" t="s">
        <v>264</v>
      </c>
      <c r="C544" s="457" t="s">
        <v>213</v>
      </c>
      <c r="D544" s="457" t="s">
        <v>1231</v>
      </c>
      <c r="E544" s="457"/>
      <c r="F544" s="450">
        <f>F545</f>
        <v>28690.799999999999</v>
      </c>
      <c r="G544" s="450">
        <f>G545</f>
        <v>28690.799999999999</v>
      </c>
    </row>
    <row r="545" spans="1:7" ht="47.25" x14ac:dyDescent="0.25">
      <c r="A545" s="458" t="s">
        <v>1237</v>
      </c>
      <c r="B545" s="454" t="s">
        <v>264</v>
      </c>
      <c r="C545" s="454" t="s">
        <v>213</v>
      </c>
      <c r="D545" s="454" t="s">
        <v>1250</v>
      </c>
      <c r="E545" s="454"/>
      <c r="F545" s="360">
        <f t="shared" ref="F545:G545" si="47">F546</f>
        <v>28690.799999999999</v>
      </c>
      <c r="G545" s="360">
        <f t="shared" si="47"/>
        <v>28690.799999999999</v>
      </c>
    </row>
    <row r="546" spans="1:7" ht="47.25" x14ac:dyDescent="0.25">
      <c r="A546" s="458" t="s">
        <v>272</v>
      </c>
      <c r="B546" s="454" t="s">
        <v>264</v>
      </c>
      <c r="C546" s="454" t="s">
        <v>213</v>
      </c>
      <c r="D546" s="454" t="s">
        <v>1250</v>
      </c>
      <c r="E546" s="454" t="s">
        <v>273</v>
      </c>
      <c r="F546" s="360">
        <f>F547</f>
        <v>28690.799999999999</v>
      </c>
      <c r="G546" s="360">
        <f>G547</f>
        <v>28690.799999999999</v>
      </c>
    </row>
    <row r="547" spans="1:7" ht="15.75" x14ac:dyDescent="0.25">
      <c r="A547" s="458" t="s">
        <v>274</v>
      </c>
      <c r="B547" s="454" t="s">
        <v>264</v>
      </c>
      <c r="C547" s="454" t="s">
        <v>213</v>
      </c>
      <c r="D547" s="454" t="s">
        <v>1250</v>
      </c>
      <c r="E547" s="454" t="s">
        <v>275</v>
      </c>
      <c r="F547" s="451">
        <f>'пр.6.1.ведом.22-23 (2)'!G614</f>
        <v>28690.799999999999</v>
      </c>
      <c r="G547" s="451">
        <f>'пр.6.1.ведом.22-23 (2)'!H614</f>
        <v>28690.799999999999</v>
      </c>
    </row>
    <row r="548" spans="1:7" ht="47.25" x14ac:dyDescent="0.25">
      <c r="A548" s="456" t="s">
        <v>900</v>
      </c>
      <c r="B548" s="457" t="s">
        <v>264</v>
      </c>
      <c r="C548" s="457" t="s">
        <v>213</v>
      </c>
      <c r="D548" s="457" t="s">
        <v>1233</v>
      </c>
      <c r="E548" s="457"/>
      <c r="F548" s="450">
        <f>F555+F558+F561+F564+F552+F549</f>
        <v>131370.9</v>
      </c>
      <c r="G548" s="450">
        <f>G555+G558+G561+G564+G552+G549</f>
        <v>150534.80000000002</v>
      </c>
    </row>
    <row r="549" spans="1:7" ht="78.75" x14ac:dyDescent="0.25">
      <c r="A549" s="458" t="s">
        <v>1395</v>
      </c>
      <c r="B549" s="454" t="s">
        <v>264</v>
      </c>
      <c r="C549" s="454" t="s">
        <v>213</v>
      </c>
      <c r="D549" s="454" t="s">
        <v>1396</v>
      </c>
      <c r="E549" s="454"/>
      <c r="F549" s="27">
        <f>F550</f>
        <v>7226.1</v>
      </c>
      <c r="G549" s="27">
        <f>G550</f>
        <v>7226.1</v>
      </c>
    </row>
    <row r="550" spans="1:7" ht="47.25" x14ac:dyDescent="0.25">
      <c r="A550" s="458" t="s">
        <v>272</v>
      </c>
      <c r="B550" s="454" t="s">
        <v>264</v>
      </c>
      <c r="C550" s="454" t="s">
        <v>213</v>
      </c>
      <c r="D550" s="454" t="s">
        <v>1396</v>
      </c>
      <c r="E550" s="454" t="s">
        <v>273</v>
      </c>
      <c r="F550" s="27">
        <f>F551</f>
        <v>7226.1</v>
      </c>
      <c r="G550" s="27">
        <f>G551</f>
        <v>7226.1</v>
      </c>
    </row>
    <row r="551" spans="1:7" ht="15.75" x14ac:dyDescent="0.25">
      <c r="A551" s="458" t="s">
        <v>274</v>
      </c>
      <c r="B551" s="454" t="s">
        <v>264</v>
      </c>
      <c r="C551" s="454" t="s">
        <v>213</v>
      </c>
      <c r="D551" s="454" t="s">
        <v>1396</v>
      </c>
      <c r="E551" s="454" t="s">
        <v>275</v>
      </c>
      <c r="F551" s="27">
        <f>'пр.6.1.ведом.22-23 (2)'!G618</f>
        <v>7226.1</v>
      </c>
      <c r="G551" s="27">
        <f>'пр.6.1.ведом.22-23 (2)'!H618</f>
        <v>7226.1</v>
      </c>
    </row>
    <row r="552" spans="1:7" ht="110.25" x14ac:dyDescent="0.25">
      <c r="A552" s="31" t="s">
        <v>464</v>
      </c>
      <c r="B552" s="454" t="s">
        <v>264</v>
      </c>
      <c r="C552" s="454" t="s">
        <v>213</v>
      </c>
      <c r="D552" s="454" t="s">
        <v>1393</v>
      </c>
      <c r="E552" s="454"/>
      <c r="F552" s="451">
        <f>F553</f>
        <v>4610</v>
      </c>
      <c r="G552" s="451">
        <f>G553</f>
        <v>4610</v>
      </c>
    </row>
    <row r="553" spans="1:7" ht="47.25" x14ac:dyDescent="0.25">
      <c r="A553" s="458" t="s">
        <v>272</v>
      </c>
      <c r="B553" s="454" t="s">
        <v>264</v>
      </c>
      <c r="C553" s="454" t="s">
        <v>213</v>
      </c>
      <c r="D553" s="454" t="s">
        <v>1393</v>
      </c>
      <c r="E553" s="454" t="s">
        <v>273</v>
      </c>
      <c r="F553" s="451">
        <f>F554</f>
        <v>4610</v>
      </c>
      <c r="G553" s="451">
        <f>G554</f>
        <v>4610</v>
      </c>
    </row>
    <row r="554" spans="1:7" ht="15.75" x14ac:dyDescent="0.25">
      <c r="A554" s="458" t="s">
        <v>274</v>
      </c>
      <c r="B554" s="454" t="s">
        <v>264</v>
      </c>
      <c r="C554" s="454" t="s">
        <v>213</v>
      </c>
      <c r="D554" s="454" t="s">
        <v>1393</v>
      </c>
      <c r="E554" s="454" t="s">
        <v>275</v>
      </c>
      <c r="F554" s="451">
        <f>'пр.6.1.ведом.22-23 (2)'!G621</f>
        <v>4610</v>
      </c>
      <c r="G554" s="451">
        <f>'пр.6.1.ведом.22-23 (2)'!H621</f>
        <v>4610</v>
      </c>
    </row>
    <row r="555" spans="1:7" ht="102.75" customHeight="1" x14ac:dyDescent="0.25">
      <c r="A555" s="31" t="s">
        <v>1185</v>
      </c>
      <c r="B555" s="454" t="s">
        <v>264</v>
      </c>
      <c r="C555" s="454" t="s">
        <v>213</v>
      </c>
      <c r="D555" s="454" t="s">
        <v>1251</v>
      </c>
      <c r="E555" s="454"/>
      <c r="F555" s="451">
        <f>F556</f>
        <v>115047.8</v>
      </c>
      <c r="G555" s="451">
        <f>G556</f>
        <v>134211.70000000001</v>
      </c>
    </row>
    <row r="556" spans="1:7" ht="51" customHeight="1" x14ac:dyDescent="0.25">
      <c r="A556" s="458" t="s">
        <v>272</v>
      </c>
      <c r="B556" s="454" t="s">
        <v>264</v>
      </c>
      <c r="C556" s="454" t="s">
        <v>213</v>
      </c>
      <c r="D556" s="454" t="s">
        <v>1251</v>
      </c>
      <c r="E556" s="454" t="s">
        <v>273</v>
      </c>
      <c r="F556" s="451">
        <f t="shared" ref="F556:G556" si="48">F557</f>
        <v>115047.8</v>
      </c>
      <c r="G556" s="451">
        <f t="shared" si="48"/>
        <v>134211.70000000001</v>
      </c>
    </row>
    <row r="557" spans="1:7" ht="15.75" x14ac:dyDescent="0.25">
      <c r="A557" s="458" t="s">
        <v>274</v>
      </c>
      <c r="B557" s="454" t="s">
        <v>264</v>
      </c>
      <c r="C557" s="454" t="s">
        <v>213</v>
      </c>
      <c r="D557" s="454" t="s">
        <v>1251</v>
      </c>
      <c r="E557" s="454" t="s">
        <v>275</v>
      </c>
      <c r="F557" s="451">
        <f>'пр.6.1.ведом.22-23 (2)'!G624</f>
        <v>115047.8</v>
      </c>
      <c r="G557" s="451">
        <f>'пр.6.1.ведом.22-23 (2)'!H624</f>
        <v>134211.70000000001</v>
      </c>
    </row>
    <row r="558" spans="1:7" ht="63" x14ac:dyDescent="0.25">
      <c r="A558" s="31" t="s">
        <v>289</v>
      </c>
      <c r="B558" s="454" t="s">
        <v>264</v>
      </c>
      <c r="C558" s="454" t="s">
        <v>213</v>
      </c>
      <c r="D558" s="454" t="s">
        <v>1234</v>
      </c>
      <c r="E558" s="454"/>
      <c r="F558" s="451">
        <f>F559</f>
        <v>1311</v>
      </c>
      <c r="G558" s="451">
        <f>G559</f>
        <v>1311</v>
      </c>
    </row>
    <row r="559" spans="1:7" ht="47.25" x14ac:dyDescent="0.25">
      <c r="A559" s="458" t="s">
        <v>272</v>
      </c>
      <c r="B559" s="454" t="s">
        <v>264</v>
      </c>
      <c r="C559" s="454" t="s">
        <v>213</v>
      </c>
      <c r="D559" s="454" t="s">
        <v>1234</v>
      </c>
      <c r="E559" s="454" t="s">
        <v>273</v>
      </c>
      <c r="F559" s="451">
        <f t="shared" ref="F559:G559" si="49">F560</f>
        <v>1311</v>
      </c>
      <c r="G559" s="451">
        <f t="shared" si="49"/>
        <v>1311</v>
      </c>
    </row>
    <row r="560" spans="1:7" ht="15.75" x14ac:dyDescent="0.25">
      <c r="A560" s="458" t="s">
        <v>274</v>
      </c>
      <c r="B560" s="454" t="s">
        <v>264</v>
      </c>
      <c r="C560" s="454" t="s">
        <v>213</v>
      </c>
      <c r="D560" s="454" t="s">
        <v>1234</v>
      </c>
      <c r="E560" s="454" t="s">
        <v>275</v>
      </c>
      <c r="F560" s="451">
        <f>'пр.6.1.ведом.22-23 (2)'!G627</f>
        <v>1311</v>
      </c>
      <c r="G560" s="451">
        <f>'пр.6.1.ведом.22-23 (2)'!H627</f>
        <v>1311</v>
      </c>
    </row>
    <row r="561" spans="1:7" ht="78.75" x14ac:dyDescent="0.25">
      <c r="A561" s="31" t="s">
        <v>291</v>
      </c>
      <c r="B561" s="454" t="s">
        <v>264</v>
      </c>
      <c r="C561" s="454" t="s">
        <v>213</v>
      </c>
      <c r="D561" s="454" t="s">
        <v>1235</v>
      </c>
      <c r="E561" s="454"/>
      <c r="F561" s="451">
        <f>F562</f>
        <v>2266.6999999999998</v>
      </c>
      <c r="G561" s="451">
        <f>G562</f>
        <v>2266.6999999999998</v>
      </c>
    </row>
    <row r="562" spans="1:7" ht="47.25" x14ac:dyDescent="0.25">
      <c r="A562" s="458" t="s">
        <v>272</v>
      </c>
      <c r="B562" s="454" t="s">
        <v>264</v>
      </c>
      <c r="C562" s="454" t="s">
        <v>213</v>
      </c>
      <c r="D562" s="454" t="s">
        <v>1235</v>
      </c>
      <c r="E562" s="454" t="s">
        <v>273</v>
      </c>
      <c r="F562" s="451">
        <f t="shared" ref="F562:G562" si="50">F563</f>
        <v>2266.6999999999998</v>
      </c>
      <c r="G562" s="451">
        <f t="shared" si="50"/>
        <v>2266.6999999999998</v>
      </c>
    </row>
    <row r="563" spans="1:7" ht="15.75" x14ac:dyDescent="0.25">
      <c r="A563" s="458" t="s">
        <v>274</v>
      </c>
      <c r="B563" s="454" t="s">
        <v>264</v>
      </c>
      <c r="C563" s="454" t="s">
        <v>213</v>
      </c>
      <c r="D563" s="454" t="s">
        <v>1235</v>
      </c>
      <c r="E563" s="454" t="s">
        <v>275</v>
      </c>
      <c r="F563" s="451">
        <f>'пр.6.1.ведом.22-23 (2)'!G630</f>
        <v>2266.6999999999998</v>
      </c>
      <c r="G563" s="451">
        <f>'пр.6.1.ведом.22-23 (2)'!H630</f>
        <v>2266.6999999999998</v>
      </c>
    </row>
    <row r="564" spans="1:7" ht="47.25" x14ac:dyDescent="0.25">
      <c r="A564" s="31" t="s">
        <v>462</v>
      </c>
      <c r="B564" s="454" t="s">
        <v>264</v>
      </c>
      <c r="C564" s="454" t="s">
        <v>213</v>
      </c>
      <c r="D564" s="454" t="s">
        <v>1252</v>
      </c>
      <c r="E564" s="454"/>
      <c r="F564" s="451">
        <f>F565</f>
        <v>909.3</v>
      </c>
      <c r="G564" s="451">
        <f>G565</f>
        <v>909.3</v>
      </c>
    </row>
    <row r="565" spans="1:7" ht="47.25" x14ac:dyDescent="0.25">
      <c r="A565" s="458" t="s">
        <v>272</v>
      </c>
      <c r="B565" s="454" t="s">
        <v>264</v>
      </c>
      <c r="C565" s="454" t="s">
        <v>213</v>
      </c>
      <c r="D565" s="454" t="s">
        <v>1252</v>
      </c>
      <c r="E565" s="454" t="s">
        <v>273</v>
      </c>
      <c r="F565" s="451">
        <f t="shared" ref="F565:G565" si="51">F566</f>
        <v>909.3</v>
      </c>
      <c r="G565" s="451">
        <f t="shared" si="51"/>
        <v>909.3</v>
      </c>
    </row>
    <row r="566" spans="1:7" ht="15.75" x14ac:dyDescent="0.25">
      <c r="A566" s="458" t="s">
        <v>274</v>
      </c>
      <c r="B566" s="454" t="s">
        <v>264</v>
      </c>
      <c r="C566" s="454" t="s">
        <v>213</v>
      </c>
      <c r="D566" s="454" t="s">
        <v>1252</v>
      </c>
      <c r="E566" s="454" t="s">
        <v>275</v>
      </c>
      <c r="F566" s="451">
        <f>'пр.6.1.ведом.22-23 (2)'!G633</f>
        <v>909.3</v>
      </c>
      <c r="G566" s="451">
        <f>'пр.6.1.ведом.22-23 (2)'!H633</f>
        <v>909.3</v>
      </c>
    </row>
    <row r="567" spans="1:7" ht="31.5" x14ac:dyDescent="0.25">
      <c r="A567" s="456" t="s">
        <v>1305</v>
      </c>
      <c r="B567" s="457" t="s">
        <v>264</v>
      </c>
      <c r="C567" s="457" t="s">
        <v>213</v>
      </c>
      <c r="D567" s="457" t="s">
        <v>1238</v>
      </c>
      <c r="E567" s="457"/>
      <c r="F567" s="450">
        <f>F568+F571+F574+F577</f>
        <v>224</v>
      </c>
      <c r="G567" s="450">
        <f>G568+G571+G574+G577</f>
        <v>224</v>
      </c>
    </row>
    <row r="568" spans="1:7" ht="47.25" hidden="1" x14ac:dyDescent="0.25">
      <c r="A568" s="458" t="s">
        <v>440</v>
      </c>
      <c r="B568" s="454" t="s">
        <v>264</v>
      </c>
      <c r="C568" s="454" t="s">
        <v>213</v>
      </c>
      <c r="D568" s="454" t="s">
        <v>1318</v>
      </c>
      <c r="E568" s="454"/>
      <c r="F568" s="451">
        <f t="shared" ref="F568:G568" si="52">F569</f>
        <v>0</v>
      </c>
      <c r="G568" s="451">
        <f t="shared" si="52"/>
        <v>0</v>
      </c>
    </row>
    <row r="569" spans="1:7" ht="47.25" hidden="1" x14ac:dyDescent="0.25">
      <c r="A569" s="458" t="s">
        <v>272</v>
      </c>
      <c r="B569" s="454" t="s">
        <v>264</v>
      </c>
      <c r="C569" s="454" t="s">
        <v>213</v>
      </c>
      <c r="D569" s="454" t="s">
        <v>1318</v>
      </c>
      <c r="E569" s="454" t="s">
        <v>273</v>
      </c>
      <c r="F569" s="451">
        <f>F570</f>
        <v>0</v>
      </c>
      <c r="G569" s="451">
        <f>G570</f>
        <v>0</v>
      </c>
    </row>
    <row r="570" spans="1:7" ht="15.75" hidden="1" x14ac:dyDescent="0.25">
      <c r="A570" s="458" t="s">
        <v>274</v>
      </c>
      <c r="B570" s="454" t="s">
        <v>264</v>
      </c>
      <c r="C570" s="454" t="s">
        <v>213</v>
      </c>
      <c r="D570" s="454" t="s">
        <v>1318</v>
      </c>
      <c r="E570" s="454" t="s">
        <v>275</v>
      </c>
      <c r="F570" s="451">
        <f>'пр.6.1.ведом.22-23 (2)'!G637</f>
        <v>0</v>
      </c>
      <c r="G570" s="451">
        <f>'пр.6.1.ведом.22-23 (2)'!H637</f>
        <v>0</v>
      </c>
    </row>
    <row r="571" spans="1:7" ht="47.25" hidden="1" x14ac:dyDescent="0.25">
      <c r="A571" s="458" t="s">
        <v>278</v>
      </c>
      <c r="B571" s="454" t="s">
        <v>264</v>
      </c>
      <c r="C571" s="454" t="s">
        <v>213</v>
      </c>
      <c r="D571" s="454" t="s">
        <v>1319</v>
      </c>
      <c r="E571" s="454"/>
      <c r="F571" s="451">
        <f t="shared" ref="F571:G571" si="53">F572</f>
        <v>0</v>
      </c>
      <c r="G571" s="451">
        <f t="shared" si="53"/>
        <v>0</v>
      </c>
    </row>
    <row r="572" spans="1:7" ht="47.25" hidden="1" x14ac:dyDescent="0.25">
      <c r="A572" s="458" t="s">
        <v>272</v>
      </c>
      <c r="B572" s="454" t="s">
        <v>264</v>
      </c>
      <c r="C572" s="454" t="s">
        <v>213</v>
      </c>
      <c r="D572" s="454" t="s">
        <v>1319</v>
      </c>
      <c r="E572" s="454" t="s">
        <v>273</v>
      </c>
      <c r="F572" s="451">
        <f>F573</f>
        <v>0</v>
      </c>
      <c r="G572" s="451">
        <f>G573</f>
        <v>0</v>
      </c>
    </row>
    <row r="573" spans="1:7" ht="15.75" hidden="1" x14ac:dyDescent="0.25">
      <c r="A573" s="458" t="s">
        <v>274</v>
      </c>
      <c r="B573" s="454" t="s">
        <v>264</v>
      </c>
      <c r="C573" s="454" t="s">
        <v>213</v>
      </c>
      <c r="D573" s="454" t="s">
        <v>1319</v>
      </c>
      <c r="E573" s="454" t="s">
        <v>275</v>
      </c>
      <c r="F573" s="451">
        <f>'пр.6.1.ведом.22-23 (2)'!G640</f>
        <v>0</v>
      </c>
      <c r="G573" s="451">
        <f>'пр.6.1.ведом.22-23 (2)'!H640</f>
        <v>0</v>
      </c>
    </row>
    <row r="574" spans="1:7" ht="31.5" hidden="1" x14ac:dyDescent="0.25">
      <c r="A574" s="458" t="s">
        <v>280</v>
      </c>
      <c r="B574" s="454" t="s">
        <v>264</v>
      </c>
      <c r="C574" s="454" t="s">
        <v>213</v>
      </c>
      <c r="D574" s="454" t="s">
        <v>1320</v>
      </c>
      <c r="E574" s="454"/>
      <c r="F574" s="451">
        <f t="shared" ref="F574:G574" si="54">F575</f>
        <v>0</v>
      </c>
      <c r="G574" s="451">
        <f t="shared" si="54"/>
        <v>0</v>
      </c>
    </row>
    <row r="575" spans="1:7" ht="47.25" hidden="1" x14ac:dyDescent="0.25">
      <c r="A575" s="458" t="s">
        <v>272</v>
      </c>
      <c r="B575" s="454" t="s">
        <v>264</v>
      </c>
      <c r="C575" s="454" t="s">
        <v>213</v>
      </c>
      <c r="D575" s="454" t="s">
        <v>1320</v>
      </c>
      <c r="E575" s="454" t="s">
        <v>273</v>
      </c>
      <c r="F575" s="451">
        <f>F576</f>
        <v>0</v>
      </c>
      <c r="G575" s="451">
        <f>G576</f>
        <v>0</v>
      </c>
    </row>
    <row r="576" spans="1:7" ht="15.75" hidden="1" x14ac:dyDescent="0.25">
      <c r="A576" s="458" t="s">
        <v>274</v>
      </c>
      <c r="B576" s="454" t="s">
        <v>264</v>
      </c>
      <c r="C576" s="454" t="s">
        <v>213</v>
      </c>
      <c r="D576" s="454" t="s">
        <v>1320</v>
      </c>
      <c r="E576" s="454" t="s">
        <v>275</v>
      </c>
      <c r="F576" s="451">
        <f>'пр.6.1.ведом.22-23 (2)'!G643</f>
        <v>0</v>
      </c>
      <c r="G576" s="451">
        <f>'пр.6.1.ведом.22-23 (2)'!H643</f>
        <v>0</v>
      </c>
    </row>
    <row r="577" spans="1:7" ht="47.25" x14ac:dyDescent="0.25">
      <c r="A577" s="458" t="s">
        <v>282</v>
      </c>
      <c r="B577" s="454" t="s">
        <v>264</v>
      </c>
      <c r="C577" s="454" t="s">
        <v>213</v>
      </c>
      <c r="D577" s="454" t="s">
        <v>1254</v>
      </c>
      <c r="E577" s="454"/>
      <c r="F577" s="451">
        <f t="shared" ref="F577:G577" si="55">F578</f>
        <v>224</v>
      </c>
      <c r="G577" s="451">
        <f t="shared" si="55"/>
        <v>224</v>
      </c>
    </row>
    <row r="578" spans="1:7" ht="47.25" x14ac:dyDescent="0.25">
      <c r="A578" s="458" t="s">
        <v>272</v>
      </c>
      <c r="B578" s="454" t="s">
        <v>264</v>
      </c>
      <c r="C578" s="454" t="s">
        <v>213</v>
      </c>
      <c r="D578" s="454" t="s">
        <v>1254</v>
      </c>
      <c r="E578" s="454" t="s">
        <v>273</v>
      </c>
      <c r="F578" s="451">
        <f>F579</f>
        <v>224</v>
      </c>
      <c r="G578" s="451">
        <f>G579</f>
        <v>224</v>
      </c>
    </row>
    <row r="579" spans="1:7" ht="15.75" x14ac:dyDescent="0.25">
      <c r="A579" s="458" t="s">
        <v>274</v>
      </c>
      <c r="B579" s="454" t="s">
        <v>264</v>
      </c>
      <c r="C579" s="454" t="s">
        <v>213</v>
      </c>
      <c r="D579" s="454" t="s">
        <v>1254</v>
      </c>
      <c r="E579" s="454" t="s">
        <v>275</v>
      </c>
      <c r="F579" s="451">
        <f>'пр.6.1.ведом.22-23 (2)'!G646</f>
        <v>224</v>
      </c>
      <c r="G579" s="451">
        <f>'пр.6.1.ведом.22-23 (2)'!H646</f>
        <v>224</v>
      </c>
    </row>
    <row r="580" spans="1:7" ht="47.25" x14ac:dyDescent="0.25">
      <c r="A580" s="214" t="s">
        <v>948</v>
      </c>
      <c r="B580" s="457" t="s">
        <v>264</v>
      </c>
      <c r="C580" s="457" t="s">
        <v>213</v>
      </c>
      <c r="D580" s="457" t="s">
        <v>1241</v>
      </c>
      <c r="E580" s="457"/>
      <c r="F580" s="450">
        <f>F581+F584</f>
        <v>2888</v>
      </c>
      <c r="G580" s="450">
        <f>G581+G584</f>
        <v>2888</v>
      </c>
    </row>
    <row r="581" spans="1:7" ht="31.5" hidden="1" x14ac:dyDescent="0.25">
      <c r="A581" s="458" t="s">
        <v>284</v>
      </c>
      <c r="B581" s="454" t="s">
        <v>264</v>
      </c>
      <c r="C581" s="454" t="s">
        <v>213</v>
      </c>
      <c r="D581" s="454" t="s">
        <v>1259</v>
      </c>
      <c r="E581" s="454"/>
      <c r="F581" s="451">
        <f>F582</f>
        <v>0</v>
      </c>
      <c r="G581" s="451">
        <f>G582</f>
        <v>0</v>
      </c>
    </row>
    <row r="582" spans="1:7" ht="47.25" hidden="1" x14ac:dyDescent="0.25">
      <c r="A582" s="458" t="s">
        <v>272</v>
      </c>
      <c r="B582" s="454" t="s">
        <v>264</v>
      </c>
      <c r="C582" s="454" t="s">
        <v>213</v>
      </c>
      <c r="D582" s="454" t="s">
        <v>1259</v>
      </c>
      <c r="E582" s="454" t="s">
        <v>273</v>
      </c>
      <c r="F582" s="451">
        <f>F583</f>
        <v>0</v>
      </c>
      <c r="G582" s="451">
        <f>G583</f>
        <v>0</v>
      </c>
    </row>
    <row r="583" spans="1:7" ht="18.75" hidden="1" customHeight="1" x14ac:dyDescent="0.25">
      <c r="A583" s="458" t="s">
        <v>274</v>
      </c>
      <c r="B583" s="454" t="s">
        <v>264</v>
      </c>
      <c r="C583" s="454" t="s">
        <v>213</v>
      </c>
      <c r="D583" s="454" t="s">
        <v>1259</v>
      </c>
      <c r="E583" s="454" t="s">
        <v>275</v>
      </c>
      <c r="F583" s="451">
        <f>'пр.6.1.ведом.22-23 (2)'!G650</f>
        <v>0</v>
      </c>
      <c r="G583" s="451">
        <f>'пр.6.1.ведом.22-23 (2)'!H650</f>
        <v>0</v>
      </c>
    </row>
    <row r="584" spans="1:7" ht="47.25" x14ac:dyDescent="0.25">
      <c r="A584" s="60" t="s">
        <v>764</v>
      </c>
      <c r="B584" s="454" t="s">
        <v>264</v>
      </c>
      <c r="C584" s="454" t="s">
        <v>213</v>
      </c>
      <c r="D584" s="454" t="s">
        <v>1242</v>
      </c>
      <c r="E584" s="454"/>
      <c r="F584" s="451">
        <f>F585</f>
        <v>2888</v>
      </c>
      <c r="G584" s="451">
        <f>G585</f>
        <v>2888</v>
      </c>
    </row>
    <row r="585" spans="1:7" ht="47.25" x14ac:dyDescent="0.25">
      <c r="A585" s="29" t="s">
        <v>272</v>
      </c>
      <c r="B585" s="454" t="s">
        <v>264</v>
      </c>
      <c r="C585" s="454" t="s">
        <v>213</v>
      </c>
      <c r="D585" s="454" t="s">
        <v>1242</v>
      </c>
      <c r="E585" s="454" t="s">
        <v>273</v>
      </c>
      <c r="F585" s="451">
        <f>F586</f>
        <v>2888</v>
      </c>
      <c r="G585" s="451">
        <f>G586</f>
        <v>2888</v>
      </c>
    </row>
    <row r="586" spans="1:7" ht="15.75" x14ac:dyDescent="0.25">
      <c r="A586" s="182" t="s">
        <v>274</v>
      </c>
      <c r="B586" s="454" t="s">
        <v>264</v>
      </c>
      <c r="C586" s="454" t="s">
        <v>213</v>
      </c>
      <c r="D586" s="454" t="s">
        <v>1242</v>
      </c>
      <c r="E586" s="454" t="s">
        <v>275</v>
      </c>
      <c r="F586" s="451">
        <f>'пр.6.1.ведом.22-23 (2)'!G653</f>
        <v>2888</v>
      </c>
      <c r="G586" s="451">
        <f>'пр.6.1.ведом.22-23 (2)'!H653</f>
        <v>2888</v>
      </c>
    </row>
    <row r="587" spans="1:7" ht="31.5" x14ac:dyDescent="0.25">
      <c r="A587" s="456" t="s">
        <v>938</v>
      </c>
      <c r="B587" s="457" t="s">
        <v>264</v>
      </c>
      <c r="C587" s="457" t="s">
        <v>213</v>
      </c>
      <c r="D587" s="457" t="s">
        <v>1255</v>
      </c>
      <c r="E587" s="457"/>
      <c r="F587" s="450">
        <f t="shared" ref="F587:G589" si="56">F588</f>
        <v>3931.8</v>
      </c>
      <c r="G587" s="450">
        <f t="shared" si="56"/>
        <v>3865.2</v>
      </c>
    </row>
    <row r="588" spans="1:7" ht="47.25" x14ac:dyDescent="0.25">
      <c r="A588" s="29" t="s">
        <v>602</v>
      </c>
      <c r="B588" s="454" t="s">
        <v>264</v>
      </c>
      <c r="C588" s="454" t="s">
        <v>213</v>
      </c>
      <c r="D588" s="454" t="s">
        <v>1256</v>
      </c>
      <c r="E588" s="454"/>
      <c r="F588" s="451">
        <f t="shared" si="56"/>
        <v>3931.8</v>
      </c>
      <c r="G588" s="451">
        <f t="shared" si="56"/>
        <v>3865.2</v>
      </c>
    </row>
    <row r="589" spans="1:7" ht="47.25" x14ac:dyDescent="0.25">
      <c r="A589" s="458" t="s">
        <v>272</v>
      </c>
      <c r="B589" s="454" t="s">
        <v>264</v>
      </c>
      <c r="C589" s="454" t="s">
        <v>213</v>
      </c>
      <c r="D589" s="454" t="s">
        <v>1256</v>
      </c>
      <c r="E589" s="454" t="s">
        <v>273</v>
      </c>
      <c r="F589" s="451">
        <f t="shared" si="56"/>
        <v>3931.8</v>
      </c>
      <c r="G589" s="451">
        <f t="shared" si="56"/>
        <v>3865.2</v>
      </c>
    </row>
    <row r="590" spans="1:7" ht="15.75" x14ac:dyDescent="0.25">
      <c r="A590" s="458" t="s">
        <v>274</v>
      </c>
      <c r="B590" s="454" t="s">
        <v>264</v>
      </c>
      <c r="C590" s="454" t="s">
        <v>213</v>
      </c>
      <c r="D590" s="454" t="s">
        <v>1256</v>
      </c>
      <c r="E590" s="454" t="s">
        <v>275</v>
      </c>
      <c r="F590" s="451">
        <f>'пр.6.1.ведом.22-23 (2)'!G657</f>
        <v>3931.8</v>
      </c>
      <c r="G590" s="451">
        <f>'пр.6.1.ведом.22-23 (2)'!H657</f>
        <v>3865.2</v>
      </c>
    </row>
    <row r="591" spans="1:7" ht="31.5" x14ac:dyDescent="0.25">
      <c r="A591" s="456" t="s">
        <v>939</v>
      </c>
      <c r="B591" s="457" t="s">
        <v>264</v>
      </c>
      <c r="C591" s="457" t="s">
        <v>213</v>
      </c>
      <c r="D591" s="457" t="s">
        <v>1257</v>
      </c>
      <c r="E591" s="457"/>
      <c r="F591" s="450">
        <f t="shared" ref="F591:G593" si="57">F592</f>
        <v>1384.6</v>
      </c>
      <c r="G591" s="450">
        <f t="shared" si="57"/>
        <v>1384.6</v>
      </c>
    </row>
    <row r="592" spans="1:7" ht="63" x14ac:dyDescent="0.25">
      <c r="A592" s="458" t="s">
        <v>438</v>
      </c>
      <c r="B592" s="454" t="s">
        <v>264</v>
      </c>
      <c r="C592" s="454" t="s">
        <v>213</v>
      </c>
      <c r="D592" s="454" t="s">
        <v>1258</v>
      </c>
      <c r="E592" s="454"/>
      <c r="F592" s="451">
        <f t="shared" si="57"/>
        <v>1384.6</v>
      </c>
      <c r="G592" s="451">
        <f t="shared" si="57"/>
        <v>1384.6</v>
      </c>
    </row>
    <row r="593" spans="1:7" ht="47.25" x14ac:dyDescent="0.25">
      <c r="A593" s="458" t="s">
        <v>272</v>
      </c>
      <c r="B593" s="454" t="s">
        <v>264</v>
      </c>
      <c r="C593" s="454" t="s">
        <v>213</v>
      </c>
      <c r="D593" s="454" t="s">
        <v>1258</v>
      </c>
      <c r="E593" s="454" t="s">
        <v>273</v>
      </c>
      <c r="F593" s="451">
        <f t="shared" si="57"/>
        <v>1384.6</v>
      </c>
      <c r="G593" s="451">
        <f t="shared" si="57"/>
        <v>1384.6</v>
      </c>
    </row>
    <row r="594" spans="1:7" ht="15.75" x14ac:dyDescent="0.25">
      <c r="A594" s="458" t="s">
        <v>274</v>
      </c>
      <c r="B594" s="454" t="s">
        <v>264</v>
      </c>
      <c r="C594" s="454" t="s">
        <v>213</v>
      </c>
      <c r="D594" s="454" t="s">
        <v>1258</v>
      </c>
      <c r="E594" s="454" t="s">
        <v>275</v>
      </c>
      <c r="F594" s="451">
        <f>'пр.6.1.ведом.22-23 (2)'!G661</f>
        <v>1384.6</v>
      </c>
      <c r="G594" s="451">
        <f>'пр.6.1.ведом.22-23 (2)'!H661</f>
        <v>1384.6</v>
      </c>
    </row>
    <row r="595" spans="1:7" ht="31.5" x14ac:dyDescent="0.25">
      <c r="A595" s="212" t="s">
        <v>940</v>
      </c>
      <c r="B595" s="457" t="s">
        <v>264</v>
      </c>
      <c r="C595" s="457" t="s">
        <v>213</v>
      </c>
      <c r="D595" s="457" t="s">
        <v>1260</v>
      </c>
      <c r="E595" s="457"/>
      <c r="F595" s="450">
        <f>F596+F599</f>
        <v>755.8</v>
      </c>
      <c r="G595" s="450">
        <f>G596+G599</f>
        <v>759</v>
      </c>
    </row>
    <row r="596" spans="1:7" ht="63" x14ac:dyDescent="0.25">
      <c r="A596" s="182" t="s">
        <v>828</v>
      </c>
      <c r="B596" s="454" t="s">
        <v>264</v>
      </c>
      <c r="C596" s="454" t="s">
        <v>213</v>
      </c>
      <c r="D596" s="454" t="s">
        <v>1429</v>
      </c>
      <c r="E596" s="454"/>
      <c r="F596" s="451">
        <f t="shared" ref="F596:G596" si="58">F597</f>
        <v>755.8</v>
      </c>
      <c r="G596" s="451">
        <f t="shared" si="58"/>
        <v>759</v>
      </c>
    </row>
    <row r="597" spans="1:7" ht="47.25" x14ac:dyDescent="0.25">
      <c r="A597" s="31" t="s">
        <v>272</v>
      </c>
      <c r="B597" s="454" t="s">
        <v>264</v>
      </c>
      <c r="C597" s="454" t="s">
        <v>213</v>
      </c>
      <c r="D597" s="454" t="s">
        <v>1429</v>
      </c>
      <c r="E597" s="454" t="s">
        <v>273</v>
      </c>
      <c r="F597" s="451">
        <f>F598</f>
        <v>755.8</v>
      </c>
      <c r="G597" s="451">
        <f>G598</f>
        <v>759</v>
      </c>
    </row>
    <row r="598" spans="1:7" ht="15.75" x14ac:dyDescent="0.25">
      <c r="A598" s="31" t="s">
        <v>274</v>
      </c>
      <c r="B598" s="454" t="s">
        <v>264</v>
      </c>
      <c r="C598" s="454" t="s">
        <v>213</v>
      </c>
      <c r="D598" s="454" t="s">
        <v>1429</v>
      </c>
      <c r="E598" s="454" t="s">
        <v>275</v>
      </c>
      <c r="F598" s="451">
        <f>'пр.6.1.ведом.22-23 (2)'!G665</f>
        <v>755.8</v>
      </c>
      <c r="G598" s="451">
        <f>'пр.6.1.ведом.22-23 (2)'!H665</f>
        <v>759</v>
      </c>
    </row>
    <row r="599" spans="1:7" ht="31.5" hidden="1" x14ac:dyDescent="0.25">
      <c r="A599" s="327" t="s">
        <v>1428</v>
      </c>
      <c r="B599" s="454" t="s">
        <v>264</v>
      </c>
      <c r="C599" s="454" t="s">
        <v>213</v>
      </c>
      <c r="D599" s="454" t="s">
        <v>1430</v>
      </c>
      <c r="E599" s="454"/>
      <c r="F599" s="459">
        <f>F600</f>
        <v>0</v>
      </c>
      <c r="G599" s="451">
        <f>G600</f>
        <v>0</v>
      </c>
    </row>
    <row r="600" spans="1:7" ht="47.25" hidden="1" x14ac:dyDescent="0.25">
      <c r="A600" s="31" t="s">
        <v>272</v>
      </c>
      <c r="B600" s="454" t="s">
        <v>264</v>
      </c>
      <c r="C600" s="454" t="s">
        <v>213</v>
      </c>
      <c r="D600" s="454" t="s">
        <v>1430</v>
      </c>
      <c r="E600" s="454" t="s">
        <v>273</v>
      </c>
      <c r="F600" s="459">
        <f>F601</f>
        <v>0</v>
      </c>
      <c r="G600" s="451">
        <f>G601</f>
        <v>0</v>
      </c>
    </row>
    <row r="601" spans="1:7" ht="15.75" hidden="1" x14ac:dyDescent="0.25">
      <c r="A601" s="31" t="s">
        <v>274</v>
      </c>
      <c r="B601" s="454" t="s">
        <v>264</v>
      </c>
      <c r="C601" s="454" t="s">
        <v>213</v>
      </c>
      <c r="D601" s="454" t="s">
        <v>1430</v>
      </c>
      <c r="E601" s="454" t="s">
        <v>275</v>
      </c>
      <c r="F601" s="459">
        <v>0</v>
      </c>
      <c r="G601" s="451">
        <v>0</v>
      </c>
    </row>
    <row r="602" spans="1:7" ht="47.25" x14ac:dyDescent="0.25">
      <c r="A602" s="288" t="s">
        <v>1408</v>
      </c>
      <c r="B602" s="457" t="s">
        <v>264</v>
      </c>
      <c r="C602" s="457" t="s">
        <v>213</v>
      </c>
      <c r="D602" s="457" t="s">
        <v>1407</v>
      </c>
      <c r="E602" s="457"/>
      <c r="F602" s="455">
        <f t="shared" ref="F602:G604" si="59">F603</f>
        <v>5415.6500000000005</v>
      </c>
      <c r="G602" s="455">
        <f t="shared" si="59"/>
        <v>5142.4500000000007</v>
      </c>
    </row>
    <row r="603" spans="1:7" ht="78.75" x14ac:dyDescent="0.25">
      <c r="A603" s="287" t="s">
        <v>1394</v>
      </c>
      <c r="B603" s="454" t="s">
        <v>264</v>
      </c>
      <c r="C603" s="454" t="s">
        <v>213</v>
      </c>
      <c r="D603" s="454" t="s">
        <v>1454</v>
      </c>
      <c r="E603" s="454"/>
      <c r="F603" s="459">
        <f t="shared" si="59"/>
        <v>5415.6500000000005</v>
      </c>
      <c r="G603" s="459">
        <f t="shared" si="59"/>
        <v>5142.4500000000007</v>
      </c>
    </row>
    <row r="604" spans="1:7" ht="47.25" x14ac:dyDescent="0.25">
      <c r="A604" s="31" t="s">
        <v>272</v>
      </c>
      <c r="B604" s="454" t="s">
        <v>264</v>
      </c>
      <c r="C604" s="454" t="s">
        <v>213</v>
      </c>
      <c r="D604" s="454" t="s">
        <v>1454</v>
      </c>
      <c r="E604" s="454" t="s">
        <v>273</v>
      </c>
      <c r="F604" s="459">
        <f t="shared" si="59"/>
        <v>5415.6500000000005</v>
      </c>
      <c r="G604" s="459">
        <f t="shared" si="59"/>
        <v>5142.4500000000007</v>
      </c>
    </row>
    <row r="605" spans="1:7" ht="15.75" x14ac:dyDescent="0.25">
      <c r="A605" s="31" t="s">
        <v>274</v>
      </c>
      <c r="B605" s="454" t="s">
        <v>264</v>
      </c>
      <c r="C605" s="454" t="s">
        <v>213</v>
      </c>
      <c r="D605" s="454" t="s">
        <v>1454</v>
      </c>
      <c r="E605" s="454" t="s">
        <v>275</v>
      </c>
      <c r="F605" s="459">
        <f>'пр.6.1.ведом.22-23 (2)'!G672</f>
        <v>5415.6500000000005</v>
      </c>
      <c r="G605" s="451">
        <f>'пр.6.1.ведом.22-23 (2)'!H672</f>
        <v>5142.4500000000007</v>
      </c>
    </row>
    <row r="606" spans="1:7" ht="31.5" x14ac:dyDescent="0.25">
      <c r="A606" s="34" t="s">
        <v>1477</v>
      </c>
      <c r="B606" s="457" t="s">
        <v>264</v>
      </c>
      <c r="C606" s="457" t="s">
        <v>213</v>
      </c>
      <c r="D606" s="457" t="s">
        <v>1475</v>
      </c>
      <c r="E606" s="457"/>
      <c r="F606" s="455">
        <f t="shared" ref="F606:G608" si="60">F607</f>
        <v>1749.4499999999998</v>
      </c>
      <c r="G606" s="455">
        <f t="shared" si="60"/>
        <v>2341</v>
      </c>
    </row>
    <row r="607" spans="1:7" ht="47.25" x14ac:dyDescent="0.25">
      <c r="A607" s="31" t="s">
        <v>1529</v>
      </c>
      <c r="B607" s="454" t="s">
        <v>264</v>
      </c>
      <c r="C607" s="454" t="s">
        <v>213</v>
      </c>
      <c r="D607" s="454" t="s">
        <v>1476</v>
      </c>
      <c r="E607" s="454"/>
      <c r="F607" s="459">
        <f t="shared" si="60"/>
        <v>1749.4499999999998</v>
      </c>
      <c r="G607" s="459">
        <f t="shared" si="60"/>
        <v>2341</v>
      </c>
    </row>
    <row r="608" spans="1:7" ht="47.25" x14ac:dyDescent="0.25">
      <c r="A608" s="31" t="s">
        <v>272</v>
      </c>
      <c r="B608" s="454" t="s">
        <v>264</v>
      </c>
      <c r="C608" s="454" t="s">
        <v>213</v>
      </c>
      <c r="D608" s="454" t="s">
        <v>1476</v>
      </c>
      <c r="E608" s="454" t="s">
        <v>273</v>
      </c>
      <c r="F608" s="459">
        <f t="shared" si="60"/>
        <v>1749.4499999999998</v>
      </c>
      <c r="G608" s="459">
        <f t="shared" si="60"/>
        <v>2341</v>
      </c>
    </row>
    <row r="609" spans="1:7" ht="15.75" x14ac:dyDescent="0.25">
      <c r="A609" s="31" t="s">
        <v>274</v>
      </c>
      <c r="B609" s="454" t="s">
        <v>264</v>
      </c>
      <c r="C609" s="454" t="s">
        <v>213</v>
      </c>
      <c r="D609" s="454" t="s">
        <v>1476</v>
      </c>
      <c r="E609" s="454" t="s">
        <v>275</v>
      </c>
      <c r="F609" s="459">
        <f>'пр.6.1.ведом.22-23 (2)'!G680</f>
        <v>1749.4499999999998</v>
      </c>
      <c r="G609" s="459">
        <f>'пр.6.1.ведом.22-23 (2)'!H680</f>
        <v>2341</v>
      </c>
    </row>
    <row r="610" spans="1:7" ht="63" x14ac:dyDescent="0.25">
      <c r="A610" s="34" t="s">
        <v>1360</v>
      </c>
      <c r="B610" s="457" t="s">
        <v>264</v>
      </c>
      <c r="C610" s="457" t="s">
        <v>213</v>
      </c>
      <c r="D610" s="457" t="s">
        <v>324</v>
      </c>
      <c r="E610" s="457"/>
      <c r="F610" s="450">
        <f t="shared" ref="F610:G613" si="61">F611</f>
        <v>60</v>
      </c>
      <c r="G610" s="450">
        <f t="shared" si="61"/>
        <v>70</v>
      </c>
    </row>
    <row r="611" spans="1:7" ht="63" x14ac:dyDescent="0.25">
      <c r="A611" s="34" t="s">
        <v>1024</v>
      </c>
      <c r="B611" s="457" t="s">
        <v>264</v>
      </c>
      <c r="C611" s="457" t="s">
        <v>213</v>
      </c>
      <c r="D611" s="457" t="s">
        <v>934</v>
      </c>
      <c r="E611" s="457"/>
      <c r="F611" s="450">
        <f t="shared" si="61"/>
        <v>60</v>
      </c>
      <c r="G611" s="450">
        <f t="shared" si="61"/>
        <v>70</v>
      </c>
    </row>
    <row r="612" spans="1:7" ht="47.25" x14ac:dyDescent="0.25">
      <c r="A612" s="31" t="s">
        <v>1008</v>
      </c>
      <c r="B612" s="454" t="s">
        <v>264</v>
      </c>
      <c r="C612" s="454" t="s">
        <v>213</v>
      </c>
      <c r="D612" s="454" t="s">
        <v>935</v>
      </c>
      <c r="E612" s="454"/>
      <c r="F612" s="451">
        <f t="shared" si="61"/>
        <v>60</v>
      </c>
      <c r="G612" s="451">
        <f t="shared" si="61"/>
        <v>70</v>
      </c>
    </row>
    <row r="613" spans="1:7" ht="47.25" x14ac:dyDescent="0.25">
      <c r="A613" s="31" t="s">
        <v>272</v>
      </c>
      <c r="B613" s="454" t="s">
        <v>264</v>
      </c>
      <c r="C613" s="454" t="s">
        <v>213</v>
      </c>
      <c r="D613" s="454" t="s">
        <v>935</v>
      </c>
      <c r="E613" s="454" t="s">
        <v>273</v>
      </c>
      <c r="F613" s="451">
        <f t="shared" si="61"/>
        <v>60</v>
      </c>
      <c r="G613" s="451">
        <f t="shared" si="61"/>
        <v>70</v>
      </c>
    </row>
    <row r="614" spans="1:7" ht="15.75" x14ac:dyDescent="0.25">
      <c r="A614" s="31" t="s">
        <v>274</v>
      </c>
      <c r="B614" s="454" t="s">
        <v>264</v>
      </c>
      <c r="C614" s="454" t="s">
        <v>213</v>
      </c>
      <c r="D614" s="454" t="s">
        <v>935</v>
      </c>
      <c r="E614" s="454" t="s">
        <v>275</v>
      </c>
      <c r="F614" s="451">
        <f>'пр.7.1.МП 22-23 (2)'!G621</f>
        <v>60</v>
      </c>
      <c r="G614" s="451">
        <f>'пр.7.1.МП 22-23 (2)'!H621</f>
        <v>70</v>
      </c>
    </row>
    <row r="615" spans="1:7" ht="63" x14ac:dyDescent="0.25">
      <c r="A615" s="462" t="s">
        <v>1355</v>
      </c>
      <c r="B615" s="457" t="s">
        <v>264</v>
      </c>
      <c r="C615" s="457" t="s">
        <v>213</v>
      </c>
      <c r="D615" s="457" t="s">
        <v>705</v>
      </c>
      <c r="E615" s="465"/>
      <c r="F615" s="450">
        <f t="shared" ref="F615:G616" si="62">F616</f>
        <v>870.5</v>
      </c>
      <c r="G615" s="450">
        <f t="shared" si="62"/>
        <v>905.3</v>
      </c>
    </row>
    <row r="616" spans="1:7" ht="63" x14ac:dyDescent="0.25">
      <c r="A616" s="462" t="s">
        <v>890</v>
      </c>
      <c r="B616" s="457" t="s">
        <v>264</v>
      </c>
      <c r="C616" s="457" t="s">
        <v>213</v>
      </c>
      <c r="D616" s="457" t="s">
        <v>888</v>
      </c>
      <c r="E616" s="465"/>
      <c r="F616" s="450">
        <f t="shared" si="62"/>
        <v>870.5</v>
      </c>
      <c r="G616" s="450">
        <f t="shared" si="62"/>
        <v>905.3</v>
      </c>
    </row>
    <row r="617" spans="1:7" ht="47.25" x14ac:dyDescent="0.25">
      <c r="A617" s="98" t="s">
        <v>780</v>
      </c>
      <c r="B617" s="454" t="s">
        <v>264</v>
      </c>
      <c r="C617" s="454" t="s">
        <v>213</v>
      </c>
      <c r="D617" s="454" t="s">
        <v>936</v>
      </c>
      <c r="E617" s="460"/>
      <c r="F617" s="451">
        <f>F618</f>
        <v>870.5</v>
      </c>
      <c r="G617" s="451">
        <f>G618</f>
        <v>905.3</v>
      </c>
    </row>
    <row r="618" spans="1:7" ht="47.25" x14ac:dyDescent="0.25">
      <c r="A618" s="29" t="s">
        <v>272</v>
      </c>
      <c r="B618" s="454" t="s">
        <v>264</v>
      </c>
      <c r="C618" s="454" t="s">
        <v>213</v>
      </c>
      <c r="D618" s="454" t="s">
        <v>936</v>
      </c>
      <c r="E618" s="460" t="s">
        <v>273</v>
      </c>
      <c r="F618" s="451">
        <f>F619</f>
        <v>870.5</v>
      </c>
      <c r="G618" s="451">
        <f>G619</f>
        <v>905.3</v>
      </c>
    </row>
    <row r="619" spans="1:7" ht="15.75" x14ac:dyDescent="0.25">
      <c r="A619" s="182" t="s">
        <v>274</v>
      </c>
      <c r="B619" s="454" t="s">
        <v>264</v>
      </c>
      <c r="C619" s="454" t="s">
        <v>213</v>
      </c>
      <c r="D619" s="454" t="s">
        <v>936</v>
      </c>
      <c r="E619" s="460" t="s">
        <v>275</v>
      </c>
      <c r="F619" s="451">
        <f>'пр.6.1.ведом.22-23 (2)'!G690</f>
        <v>870.5</v>
      </c>
      <c r="G619" s="451">
        <f>'пр.6.1.ведом.22-23 (2)'!H690</f>
        <v>905.3</v>
      </c>
    </row>
    <row r="620" spans="1:7" ht="15.75" x14ac:dyDescent="0.25">
      <c r="A620" s="462" t="s">
        <v>265</v>
      </c>
      <c r="B620" s="7" t="s">
        <v>264</v>
      </c>
      <c r="C620" s="7" t="s">
        <v>215</v>
      </c>
      <c r="D620" s="457"/>
      <c r="E620" s="7"/>
      <c r="F620" s="450">
        <f>F621+F644+F681+F676</f>
        <v>60278.110000000008</v>
      </c>
      <c r="G620" s="450">
        <f>G621+G644+G681+G676</f>
        <v>60303.91</v>
      </c>
    </row>
    <row r="621" spans="1:7" ht="47.25" x14ac:dyDescent="0.25">
      <c r="A621" s="456" t="s">
        <v>1361</v>
      </c>
      <c r="B621" s="457" t="s">
        <v>264</v>
      </c>
      <c r="C621" s="457" t="s">
        <v>215</v>
      </c>
      <c r="D621" s="457" t="s">
        <v>406</v>
      </c>
      <c r="E621" s="457"/>
      <c r="F621" s="450">
        <f>F622+F626+F640</f>
        <v>40748.800000000003</v>
      </c>
      <c r="G621" s="450">
        <f>G622+G626+G640</f>
        <v>40748.800000000003</v>
      </c>
    </row>
    <row r="622" spans="1:7" ht="47.25" x14ac:dyDescent="0.25">
      <c r="A622" s="456" t="s">
        <v>937</v>
      </c>
      <c r="B622" s="457" t="s">
        <v>264</v>
      </c>
      <c r="C622" s="457" t="s">
        <v>215</v>
      </c>
      <c r="D622" s="457" t="s">
        <v>1231</v>
      </c>
      <c r="E622" s="457"/>
      <c r="F622" s="450">
        <f t="shared" ref="F622:G622" si="63">F623</f>
        <v>37056.300000000003</v>
      </c>
      <c r="G622" s="450">
        <f t="shared" si="63"/>
        <v>37056.300000000003</v>
      </c>
    </row>
    <row r="623" spans="1:7" ht="47.25" x14ac:dyDescent="0.25">
      <c r="A623" s="458" t="s">
        <v>270</v>
      </c>
      <c r="B623" s="454" t="s">
        <v>264</v>
      </c>
      <c r="C623" s="454" t="s">
        <v>215</v>
      </c>
      <c r="D623" s="454" t="s">
        <v>1261</v>
      </c>
      <c r="E623" s="454"/>
      <c r="F623" s="451">
        <f>F624</f>
        <v>37056.300000000003</v>
      </c>
      <c r="G623" s="451">
        <f>G624</f>
        <v>37056.300000000003</v>
      </c>
    </row>
    <row r="624" spans="1:7" ht="47.25" x14ac:dyDescent="0.25">
      <c r="A624" s="458" t="s">
        <v>272</v>
      </c>
      <c r="B624" s="454" t="s">
        <v>264</v>
      </c>
      <c r="C624" s="454" t="s">
        <v>215</v>
      </c>
      <c r="D624" s="454" t="s">
        <v>1261</v>
      </c>
      <c r="E624" s="454" t="s">
        <v>273</v>
      </c>
      <c r="F624" s="451">
        <f>F625</f>
        <v>37056.300000000003</v>
      </c>
      <c r="G624" s="451">
        <f>G625</f>
        <v>37056.300000000003</v>
      </c>
    </row>
    <row r="625" spans="1:7" ht="15.75" x14ac:dyDescent="0.25">
      <c r="A625" s="458" t="s">
        <v>274</v>
      </c>
      <c r="B625" s="454" t="s">
        <v>264</v>
      </c>
      <c r="C625" s="454" t="s">
        <v>215</v>
      </c>
      <c r="D625" s="454" t="s">
        <v>1261</v>
      </c>
      <c r="E625" s="454" t="s">
        <v>275</v>
      </c>
      <c r="F625" s="451">
        <f>'пр.6.1.ведом.22-23 (2)'!G696</f>
        <v>37056.300000000003</v>
      </c>
      <c r="G625" s="451">
        <f>'пр.6.1.ведом.22-23 (2)'!H696</f>
        <v>37056.300000000003</v>
      </c>
    </row>
    <row r="626" spans="1:7" ht="47.25" x14ac:dyDescent="0.25">
      <c r="A626" s="456" t="s">
        <v>900</v>
      </c>
      <c r="B626" s="457" t="s">
        <v>264</v>
      </c>
      <c r="C626" s="457" t="s">
        <v>215</v>
      </c>
      <c r="D626" s="457" t="s">
        <v>1233</v>
      </c>
      <c r="E626" s="457"/>
      <c r="F626" s="450">
        <f>F630+F633+F627</f>
        <v>2128.5</v>
      </c>
      <c r="G626" s="450">
        <f>G630+G633+G627</f>
        <v>2128.5</v>
      </c>
    </row>
    <row r="627" spans="1:7" ht="110.25" x14ac:dyDescent="0.25">
      <c r="A627" s="31" t="s">
        <v>293</v>
      </c>
      <c r="B627" s="454" t="s">
        <v>264</v>
      </c>
      <c r="C627" s="454" t="s">
        <v>215</v>
      </c>
      <c r="D627" s="454" t="s">
        <v>1393</v>
      </c>
      <c r="E627" s="454"/>
      <c r="F627" s="451">
        <f>F628</f>
        <v>1400</v>
      </c>
      <c r="G627" s="451">
        <f>G628</f>
        <v>1400</v>
      </c>
    </row>
    <row r="628" spans="1:7" ht="47.25" x14ac:dyDescent="0.25">
      <c r="A628" s="458" t="s">
        <v>272</v>
      </c>
      <c r="B628" s="454" t="s">
        <v>264</v>
      </c>
      <c r="C628" s="454" t="s">
        <v>215</v>
      </c>
      <c r="D628" s="454" t="s">
        <v>1393</v>
      </c>
      <c r="E628" s="454" t="s">
        <v>273</v>
      </c>
      <c r="F628" s="451">
        <f>F629</f>
        <v>1400</v>
      </c>
      <c r="G628" s="451">
        <f>G629</f>
        <v>1400</v>
      </c>
    </row>
    <row r="629" spans="1:7" ht="15.75" x14ac:dyDescent="0.25">
      <c r="A629" s="458" t="s">
        <v>274</v>
      </c>
      <c r="B629" s="454" t="s">
        <v>264</v>
      </c>
      <c r="C629" s="454" t="s">
        <v>215</v>
      </c>
      <c r="D629" s="454" t="s">
        <v>1393</v>
      </c>
      <c r="E629" s="454" t="s">
        <v>275</v>
      </c>
      <c r="F629" s="451">
        <f>'пр.6.1.ведом.22-23 (2)'!G700</f>
        <v>1400</v>
      </c>
      <c r="G629" s="451">
        <f>'пр.6.1.ведом.22-23 (2)'!H700</f>
        <v>1400</v>
      </c>
    </row>
    <row r="630" spans="1:7" ht="63" x14ac:dyDescent="0.25">
      <c r="A630" s="31" t="s">
        <v>289</v>
      </c>
      <c r="B630" s="454" t="s">
        <v>264</v>
      </c>
      <c r="C630" s="454" t="s">
        <v>215</v>
      </c>
      <c r="D630" s="454" t="s">
        <v>1234</v>
      </c>
      <c r="E630" s="454"/>
      <c r="F630" s="451">
        <f>F631</f>
        <v>179</v>
      </c>
      <c r="G630" s="451">
        <f>G631</f>
        <v>179</v>
      </c>
    </row>
    <row r="631" spans="1:7" ht="47.25" x14ac:dyDescent="0.25">
      <c r="A631" s="458" t="s">
        <v>272</v>
      </c>
      <c r="B631" s="454" t="s">
        <v>264</v>
      </c>
      <c r="C631" s="454" t="s">
        <v>215</v>
      </c>
      <c r="D631" s="454" t="s">
        <v>1234</v>
      </c>
      <c r="E631" s="454" t="s">
        <v>273</v>
      </c>
      <c r="F631" s="451">
        <f>F632</f>
        <v>179</v>
      </c>
      <c r="G631" s="451">
        <f>G632</f>
        <v>179</v>
      </c>
    </row>
    <row r="632" spans="1:7" ht="15.75" x14ac:dyDescent="0.25">
      <c r="A632" s="458" t="s">
        <v>274</v>
      </c>
      <c r="B632" s="454" t="s">
        <v>264</v>
      </c>
      <c r="C632" s="454" t="s">
        <v>215</v>
      </c>
      <c r="D632" s="454" t="s">
        <v>1234</v>
      </c>
      <c r="E632" s="454" t="s">
        <v>275</v>
      </c>
      <c r="F632" s="451">
        <f>'пр.6.1.ведом.22-23 (2)'!G703</f>
        <v>179</v>
      </c>
      <c r="G632" s="451">
        <f>'пр.6.1.ведом.22-23 (2)'!H703</f>
        <v>179</v>
      </c>
    </row>
    <row r="633" spans="1:7" ht="78.75" x14ac:dyDescent="0.25">
      <c r="A633" s="31" t="s">
        <v>291</v>
      </c>
      <c r="B633" s="454" t="s">
        <v>264</v>
      </c>
      <c r="C633" s="454" t="s">
        <v>215</v>
      </c>
      <c r="D633" s="454" t="s">
        <v>1235</v>
      </c>
      <c r="E633" s="454"/>
      <c r="F633" s="451">
        <f>F634</f>
        <v>549.5</v>
      </c>
      <c r="G633" s="451">
        <f>G634</f>
        <v>549.5</v>
      </c>
    </row>
    <row r="634" spans="1:7" ht="47.25" x14ac:dyDescent="0.25">
      <c r="A634" s="458" t="s">
        <v>272</v>
      </c>
      <c r="B634" s="454" t="s">
        <v>264</v>
      </c>
      <c r="C634" s="454" t="s">
        <v>215</v>
      </c>
      <c r="D634" s="454" t="s">
        <v>1235</v>
      </c>
      <c r="E634" s="454" t="s">
        <v>273</v>
      </c>
      <c r="F634" s="451">
        <f>F635</f>
        <v>549.5</v>
      </c>
      <c r="G634" s="451">
        <f>G635</f>
        <v>549.5</v>
      </c>
    </row>
    <row r="635" spans="1:7" ht="15.75" x14ac:dyDescent="0.25">
      <c r="A635" s="458" t="s">
        <v>274</v>
      </c>
      <c r="B635" s="454" t="s">
        <v>264</v>
      </c>
      <c r="C635" s="454" t="s">
        <v>215</v>
      </c>
      <c r="D635" s="454" t="s">
        <v>1235</v>
      </c>
      <c r="E635" s="454" t="s">
        <v>275</v>
      </c>
      <c r="F635" s="451">
        <f>'пр.6.1.ведом.22-23 (2)'!G706</f>
        <v>549.5</v>
      </c>
      <c r="G635" s="451">
        <f>'пр.6.1.ведом.22-23 (2)'!H706</f>
        <v>549.5</v>
      </c>
    </row>
    <row r="636" spans="1:7" ht="31.5" hidden="1" x14ac:dyDescent="0.25">
      <c r="A636" s="456" t="s">
        <v>1293</v>
      </c>
      <c r="B636" s="457" t="s">
        <v>264</v>
      </c>
      <c r="C636" s="457" t="s">
        <v>215</v>
      </c>
      <c r="D636" s="457" t="s">
        <v>1238</v>
      </c>
      <c r="E636" s="457"/>
      <c r="F636" s="450">
        <f>F637</f>
        <v>0</v>
      </c>
      <c r="G636" s="450">
        <f>G637</f>
        <v>0</v>
      </c>
    </row>
    <row r="637" spans="1:7" ht="31.5" hidden="1" x14ac:dyDescent="0.25">
      <c r="A637" s="45" t="s">
        <v>766</v>
      </c>
      <c r="B637" s="454" t="s">
        <v>264</v>
      </c>
      <c r="C637" s="454" t="s">
        <v>215</v>
      </c>
      <c r="D637" s="454" t="s">
        <v>1330</v>
      </c>
      <c r="E637" s="454"/>
      <c r="F637" s="451">
        <f>'[1]Пр.4 Рд,пр, ЦС,ВР 21'!F630</f>
        <v>0</v>
      </c>
      <c r="G637" s="451">
        <f t="shared" ref="G637:G661" si="64">F637</f>
        <v>0</v>
      </c>
    </row>
    <row r="638" spans="1:7" ht="47.25" hidden="1" x14ac:dyDescent="0.25">
      <c r="A638" s="31" t="s">
        <v>272</v>
      </c>
      <c r="B638" s="454" t="s">
        <v>264</v>
      </c>
      <c r="C638" s="454" t="s">
        <v>215</v>
      </c>
      <c r="D638" s="454" t="s">
        <v>1330</v>
      </c>
      <c r="E638" s="454" t="s">
        <v>273</v>
      </c>
      <c r="F638" s="451">
        <f>'[1]Пр.4 Рд,пр, ЦС,ВР 21'!F631</f>
        <v>0</v>
      </c>
      <c r="G638" s="451">
        <f t="shared" si="64"/>
        <v>0</v>
      </c>
    </row>
    <row r="639" spans="1:7" ht="15.75" hidden="1" x14ac:dyDescent="0.25">
      <c r="A639" s="31" t="s">
        <v>274</v>
      </c>
      <c r="B639" s="454" t="s">
        <v>264</v>
      </c>
      <c r="C639" s="454" t="s">
        <v>215</v>
      </c>
      <c r="D639" s="454" t="s">
        <v>1330</v>
      </c>
      <c r="E639" s="454" t="s">
        <v>275</v>
      </c>
      <c r="F639" s="451">
        <f>'[1]Пр.4 Рд,пр, ЦС,ВР 21'!F632</f>
        <v>0</v>
      </c>
      <c r="G639" s="451">
        <f t="shared" si="64"/>
        <v>0</v>
      </c>
    </row>
    <row r="640" spans="1:7" ht="47.25" x14ac:dyDescent="0.25">
      <c r="A640" s="214" t="s">
        <v>948</v>
      </c>
      <c r="B640" s="457" t="s">
        <v>264</v>
      </c>
      <c r="C640" s="457" t="s">
        <v>215</v>
      </c>
      <c r="D640" s="457" t="s">
        <v>1241</v>
      </c>
      <c r="E640" s="457"/>
      <c r="F640" s="450">
        <f t="shared" ref="F640:G642" si="65">F641</f>
        <v>1564</v>
      </c>
      <c r="G640" s="450">
        <f t="shared" si="65"/>
        <v>1564</v>
      </c>
    </row>
    <row r="641" spans="1:7" ht="47.25" x14ac:dyDescent="0.25">
      <c r="A641" s="45" t="s">
        <v>764</v>
      </c>
      <c r="B641" s="454" t="s">
        <v>264</v>
      </c>
      <c r="C641" s="454" t="s">
        <v>215</v>
      </c>
      <c r="D641" s="454" t="s">
        <v>1242</v>
      </c>
      <c r="E641" s="454"/>
      <c r="F641" s="451">
        <f t="shared" si="65"/>
        <v>1564</v>
      </c>
      <c r="G641" s="451">
        <f t="shared" si="65"/>
        <v>1564</v>
      </c>
    </row>
    <row r="642" spans="1:7" ht="47.25" x14ac:dyDescent="0.25">
      <c r="A642" s="458" t="s">
        <v>272</v>
      </c>
      <c r="B642" s="454" t="s">
        <v>264</v>
      </c>
      <c r="C642" s="454" t="s">
        <v>215</v>
      </c>
      <c r="D642" s="454" t="s">
        <v>1242</v>
      </c>
      <c r="E642" s="454" t="s">
        <v>273</v>
      </c>
      <c r="F642" s="451">
        <f t="shared" si="65"/>
        <v>1564</v>
      </c>
      <c r="G642" s="451">
        <f t="shared" si="65"/>
        <v>1564</v>
      </c>
    </row>
    <row r="643" spans="1:7" ht="15.75" x14ac:dyDescent="0.25">
      <c r="A643" s="31" t="s">
        <v>274</v>
      </c>
      <c r="B643" s="454" t="s">
        <v>264</v>
      </c>
      <c r="C643" s="454" t="s">
        <v>215</v>
      </c>
      <c r="D643" s="454" t="s">
        <v>1242</v>
      </c>
      <c r="E643" s="454" t="s">
        <v>275</v>
      </c>
      <c r="F643" s="451">
        <f>'пр.6.1.ведом.22-23 (2)'!G714</f>
        <v>1564</v>
      </c>
      <c r="G643" s="451">
        <f>'пр.6.1.ведом.22-23 (2)'!H714</f>
        <v>1564</v>
      </c>
    </row>
    <row r="644" spans="1:7" ht="47.25" x14ac:dyDescent="0.25">
      <c r="A644" s="456" t="s">
        <v>1354</v>
      </c>
      <c r="B644" s="457" t="s">
        <v>264</v>
      </c>
      <c r="C644" s="457" t="s">
        <v>215</v>
      </c>
      <c r="D644" s="457" t="s">
        <v>267</v>
      </c>
      <c r="E644" s="457"/>
      <c r="F644" s="450">
        <f>F645+F653+F662+F666</f>
        <v>18730.410000000003</v>
      </c>
      <c r="G644" s="450">
        <f>G645+G653+G662+G666</f>
        <v>18730.410000000003</v>
      </c>
    </row>
    <row r="645" spans="1:7" ht="47.25" x14ac:dyDescent="0.25">
      <c r="A645" s="456" t="s">
        <v>1300</v>
      </c>
      <c r="B645" s="457" t="s">
        <v>264</v>
      </c>
      <c r="C645" s="457" t="s">
        <v>215</v>
      </c>
      <c r="D645" s="457" t="s">
        <v>1204</v>
      </c>
      <c r="E645" s="457"/>
      <c r="F645" s="450">
        <f>F646</f>
        <v>15854.01</v>
      </c>
      <c r="G645" s="450">
        <f>G646</f>
        <v>15854.01</v>
      </c>
    </row>
    <row r="646" spans="1:7" ht="31.5" x14ac:dyDescent="0.25">
      <c r="A646" s="458" t="s">
        <v>800</v>
      </c>
      <c r="B646" s="454" t="s">
        <v>264</v>
      </c>
      <c r="C646" s="454" t="s">
        <v>215</v>
      </c>
      <c r="D646" s="454" t="s">
        <v>1205</v>
      </c>
      <c r="E646" s="454"/>
      <c r="F646" s="451">
        <f>F647+F649+F651</f>
        <v>15854.01</v>
      </c>
      <c r="G646" s="451">
        <f>G647+G649+G651</f>
        <v>15854.01</v>
      </c>
    </row>
    <row r="647" spans="1:7" ht="94.5" x14ac:dyDescent="0.25">
      <c r="A647" s="458" t="s">
        <v>127</v>
      </c>
      <c r="B647" s="454" t="s">
        <v>264</v>
      </c>
      <c r="C647" s="454" t="s">
        <v>215</v>
      </c>
      <c r="D647" s="454" t="s">
        <v>1205</v>
      </c>
      <c r="E647" s="454" t="s">
        <v>128</v>
      </c>
      <c r="F647" s="451">
        <f>F648</f>
        <v>14172.31</v>
      </c>
      <c r="G647" s="451">
        <f>G648</f>
        <v>14172.31</v>
      </c>
    </row>
    <row r="648" spans="1:7" ht="31.5" x14ac:dyDescent="0.25">
      <c r="A648" s="46" t="s">
        <v>342</v>
      </c>
      <c r="B648" s="454" t="s">
        <v>264</v>
      </c>
      <c r="C648" s="454" t="s">
        <v>215</v>
      </c>
      <c r="D648" s="454" t="s">
        <v>1205</v>
      </c>
      <c r="E648" s="454" t="s">
        <v>209</v>
      </c>
      <c r="F648" s="451">
        <f>'пр.6.1.ведом.22-23 (2)'!G299</f>
        <v>14172.31</v>
      </c>
      <c r="G648" s="451">
        <f>'пр.6.1.ведом.22-23 (2)'!H299</f>
        <v>14172.31</v>
      </c>
    </row>
    <row r="649" spans="1:7" ht="31.5" x14ac:dyDescent="0.25">
      <c r="A649" s="458" t="s">
        <v>131</v>
      </c>
      <c r="B649" s="454" t="s">
        <v>264</v>
      </c>
      <c r="C649" s="454" t="s">
        <v>215</v>
      </c>
      <c r="D649" s="454" t="s">
        <v>1205</v>
      </c>
      <c r="E649" s="454" t="s">
        <v>132</v>
      </c>
      <c r="F649" s="451">
        <f>F650</f>
        <v>1603.7</v>
      </c>
      <c r="G649" s="451">
        <f>G650</f>
        <v>1603.7</v>
      </c>
    </row>
    <row r="650" spans="1:7" ht="47.25" x14ac:dyDescent="0.25">
      <c r="A650" s="458" t="s">
        <v>133</v>
      </c>
      <c r="B650" s="454" t="s">
        <v>264</v>
      </c>
      <c r="C650" s="454" t="s">
        <v>215</v>
      </c>
      <c r="D650" s="454" t="s">
        <v>1205</v>
      </c>
      <c r="E650" s="454" t="s">
        <v>134</v>
      </c>
      <c r="F650" s="451">
        <f>'пр.6.1.ведом.22-23 (2)'!G301</f>
        <v>1603.7</v>
      </c>
      <c r="G650" s="451">
        <f>'пр.6.1.ведом.22-23 (2)'!H301</f>
        <v>1603.7</v>
      </c>
    </row>
    <row r="651" spans="1:7" ht="15.75" x14ac:dyDescent="0.25">
      <c r="A651" s="458" t="s">
        <v>135</v>
      </c>
      <c r="B651" s="454" t="s">
        <v>264</v>
      </c>
      <c r="C651" s="454" t="s">
        <v>215</v>
      </c>
      <c r="D651" s="454" t="s">
        <v>1205</v>
      </c>
      <c r="E651" s="454" t="s">
        <v>145</v>
      </c>
      <c r="F651" s="451">
        <f>F652</f>
        <v>78</v>
      </c>
      <c r="G651" s="451">
        <f>G652</f>
        <v>78</v>
      </c>
    </row>
    <row r="652" spans="1:7" ht="15.75" x14ac:dyDescent="0.25">
      <c r="A652" s="458" t="s">
        <v>704</v>
      </c>
      <c r="B652" s="454" t="s">
        <v>264</v>
      </c>
      <c r="C652" s="454" t="s">
        <v>215</v>
      </c>
      <c r="D652" s="454" t="s">
        <v>1205</v>
      </c>
      <c r="E652" s="454" t="s">
        <v>138</v>
      </c>
      <c r="F652" s="451">
        <f>'пр.6.1.ведом.22-23 (2)'!G303</f>
        <v>78</v>
      </c>
      <c r="G652" s="451">
        <f>'пр.6.1.ведом.22-23 (2)'!H303</f>
        <v>78</v>
      </c>
    </row>
    <row r="653" spans="1:7" ht="31.5" x14ac:dyDescent="0.25">
      <c r="A653" s="211" t="s">
        <v>1302</v>
      </c>
      <c r="B653" s="457" t="s">
        <v>264</v>
      </c>
      <c r="C653" s="457" t="s">
        <v>215</v>
      </c>
      <c r="D653" s="457" t="s">
        <v>1206</v>
      </c>
      <c r="E653" s="457"/>
      <c r="F653" s="450">
        <f>F654+F657</f>
        <v>1295</v>
      </c>
      <c r="G653" s="450">
        <f>G654+G657</f>
        <v>1295</v>
      </c>
    </row>
    <row r="654" spans="1:7" ht="31.5" x14ac:dyDescent="0.25">
      <c r="A654" s="194" t="s">
        <v>799</v>
      </c>
      <c r="B654" s="454" t="s">
        <v>264</v>
      </c>
      <c r="C654" s="454" t="s">
        <v>215</v>
      </c>
      <c r="D654" s="454" t="s">
        <v>1207</v>
      </c>
      <c r="E654" s="454"/>
      <c r="F654" s="451">
        <f t="shared" ref="F654:G655" si="66">F655</f>
        <v>45</v>
      </c>
      <c r="G654" s="451">
        <f t="shared" si="66"/>
        <v>45</v>
      </c>
    </row>
    <row r="655" spans="1:7" ht="31.5" x14ac:dyDescent="0.25">
      <c r="A655" s="458" t="s">
        <v>248</v>
      </c>
      <c r="B655" s="454" t="s">
        <v>264</v>
      </c>
      <c r="C655" s="454" t="s">
        <v>215</v>
      </c>
      <c r="D655" s="454" t="s">
        <v>1207</v>
      </c>
      <c r="E655" s="454" t="s">
        <v>249</v>
      </c>
      <c r="F655" s="451">
        <f t="shared" si="66"/>
        <v>45</v>
      </c>
      <c r="G655" s="451">
        <f t="shared" si="66"/>
        <v>45</v>
      </c>
    </row>
    <row r="656" spans="1:7" ht="15.75" x14ac:dyDescent="0.25">
      <c r="A656" s="458" t="s">
        <v>820</v>
      </c>
      <c r="B656" s="454" t="s">
        <v>264</v>
      </c>
      <c r="C656" s="454" t="s">
        <v>215</v>
      </c>
      <c r="D656" s="454" t="s">
        <v>1207</v>
      </c>
      <c r="E656" s="454" t="s">
        <v>819</v>
      </c>
      <c r="F656" s="451">
        <f>'пр.6.1.ведом.22-23 (2)'!G307</f>
        <v>45</v>
      </c>
      <c r="G656" s="451">
        <f>'пр.6.1.ведом.22-23 (2)'!H307</f>
        <v>45</v>
      </c>
    </row>
    <row r="657" spans="1:7" ht="31.5" x14ac:dyDescent="0.25">
      <c r="A657" s="31" t="s">
        <v>816</v>
      </c>
      <c r="B657" s="454" t="s">
        <v>264</v>
      </c>
      <c r="C657" s="454" t="s">
        <v>215</v>
      </c>
      <c r="D657" s="454" t="s">
        <v>1208</v>
      </c>
      <c r="E657" s="454"/>
      <c r="F657" s="451">
        <f t="shared" ref="F657:G658" si="67">F658</f>
        <v>1250</v>
      </c>
      <c r="G657" s="451">
        <f t="shared" si="67"/>
        <v>1250</v>
      </c>
    </row>
    <row r="658" spans="1:7" ht="94.5" x14ac:dyDescent="0.25">
      <c r="A658" s="458" t="s">
        <v>127</v>
      </c>
      <c r="B658" s="454" t="s">
        <v>264</v>
      </c>
      <c r="C658" s="454" t="s">
        <v>215</v>
      </c>
      <c r="D658" s="454" t="s">
        <v>1208</v>
      </c>
      <c r="E658" s="454" t="s">
        <v>128</v>
      </c>
      <c r="F658" s="451">
        <f t="shared" si="67"/>
        <v>1250</v>
      </c>
      <c r="G658" s="451">
        <f t="shared" si="67"/>
        <v>1250</v>
      </c>
    </row>
    <row r="659" spans="1:7" ht="31.5" x14ac:dyDescent="0.25">
      <c r="A659" s="46" t="s">
        <v>342</v>
      </c>
      <c r="B659" s="454" t="s">
        <v>264</v>
      </c>
      <c r="C659" s="454" t="s">
        <v>215</v>
      </c>
      <c r="D659" s="454" t="s">
        <v>1208</v>
      </c>
      <c r="E659" s="454" t="s">
        <v>209</v>
      </c>
      <c r="F659" s="451">
        <f>'пр.6.1.ведом.22-23 (2)'!G310</f>
        <v>1250</v>
      </c>
      <c r="G659" s="451">
        <f>'пр.6.1.ведом.22-23 (2)'!H310</f>
        <v>1250</v>
      </c>
    </row>
    <row r="660" spans="1:7" ht="31.5" hidden="1" x14ac:dyDescent="0.25">
      <c r="A660" s="458" t="s">
        <v>131</v>
      </c>
      <c r="B660" s="454" t="s">
        <v>264</v>
      </c>
      <c r="C660" s="454" t="s">
        <v>215</v>
      </c>
      <c r="D660" s="454" t="s">
        <v>1208</v>
      </c>
      <c r="E660" s="454" t="s">
        <v>132</v>
      </c>
      <c r="F660" s="451">
        <f>'[1]Пр.4 Рд,пр, ЦС,ВР 21'!F656</f>
        <v>0</v>
      </c>
      <c r="G660" s="451">
        <f t="shared" si="64"/>
        <v>0</v>
      </c>
    </row>
    <row r="661" spans="1:7" ht="47.25" hidden="1" x14ac:dyDescent="0.25">
      <c r="A661" s="458" t="s">
        <v>133</v>
      </c>
      <c r="B661" s="454" t="s">
        <v>264</v>
      </c>
      <c r="C661" s="454" t="s">
        <v>215</v>
      </c>
      <c r="D661" s="454" t="s">
        <v>1208</v>
      </c>
      <c r="E661" s="454" t="s">
        <v>134</v>
      </c>
      <c r="F661" s="451">
        <f>'[1]Пр.4 Рд,пр, ЦС,ВР 21'!F657</f>
        <v>0</v>
      </c>
      <c r="G661" s="451">
        <f t="shared" si="64"/>
        <v>0</v>
      </c>
    </row>
    <row r="662" spans="1:7" ht="47.25" x14ac:dyDescent="0.25">
      <c r="A662" s="456" t="s">
        <v>947</v>
      </c>
      <c r="B662" s="457" t="s">
        <v>264</v>
      </c>
      <c r="C662" s="457" t="s">
        <v>215</v>
      </c>
      <c r="D662" s="457" t="s">
        <v>1209</v>
      </c>
      <c r="E662" s="457"/>
      <c r="F662" s="450">
        <f t="shared" ref="F662:G664" si="68">F663</f>
        <v>506</v>
      </c>
      <c r="G662" s="450">
        <f t="shared" si="68"/>
        <v>506</v>
      </c>
    </row>
    <row r="663" spans="1:7" ht="47.25" x14ac:dyDescent="0.25">
      <c r="A663" s="458" t="s">
        <v>839</v>
      </c>
      <c r="B663" s="454" t="s">
        <v>264</v>
      </c>
      <c r="C663" s="454" t="s">
        <v>215</v>
      </c>
      <c r="D663" s="454" t="s">
        <v>1210</v>
      </c>
      <c r="E663" s="454"/>
      <c r="F663" s="451">
        <f t="shared" si="68"/>
        <v>506</v>
      </c>
      <c r="G663" s="451">
        <f t="shared" si="68"/>
        <v>506</v>
      </c>
    </row>
    <row r="664" spans="1:7" ht="94.5" x14ac:dyDescent="0.25">
      <c r="A664" s="458" t="s">
        <v>127</v>
      </c>
      <c r="B664" s="454" t="s">
        <v>264</v>
      </c>
      <c r="C664" s="454" t="s">
        <v>215</v>
      </c>
      <c r="D664" s="454" t="s">
        <v>1210</v>
      </c>
      <c r="E664" s="454" t="s">
        <v>128</v>
      </c>
      <c r="F664" s="451">
        <f t="shared" si="68"/>
        <v>506</v>
      </c>
      <c r="G664" s="451">
        <f t="shared" si="68"/>
        <v>506</v>
      </c>
    </row>
    <row r="665" spans="1:7" ht="31.5" x14ac:dyDescent="0.25">
      <c r="A665" s="458" t="s">
        <v>129</v>
      </c>
      <c r="B665" s="454" t="s">
        <v>264</v>
      </c>
      <c r="C665" s="454" t="s">
        <v>215</v>
      </c>
      <c r="D665" s="454" t="s">
        <v>1210</v>
      </c>
      <c r="E665" s="454" t="s">
        <v>209</v>
      </c>
      <c r="F665" s="451">
        <f>'пр.6.1.ведом.22-23 (2)'!G316</f>
        <v>506</v>
      </c>
      <c r="G665" s="451">
        <f>'пр.6.1.ведом.22-23 (2)'!H316</f>
        <v>506</v>
      </c>
    </row>
    <row r="666" spans="1:7" ht="56.25" customHeight="1" x14ac:dyDescent="0.25">
      <c r="A666" s="456" t="s">
        <v>900</v>
      </c>
      <c r="B666" s="457" t="s">
        <v>264</v>
      </c>
      <c r="C666" s="457" t="s">
        <v>215</v>
      </c>
      <c r="D666" s="457" t="s">
        <v>1211</v>
      </c>
      <c r="E666" s="457"/>
      <c r="F666" s="450">
        <f>F670+F673+F667</f>
        <v>1075.4000000000001</v>
      </c>
      <c r="G666" s="450">
        <f>G670+G673+G667</f>
        <v>1075.4000000000001</v>
      </c>
    </row>
    <row r="667" spans="1:7" ht="120.95" customHeight="1" x14ac:dyDescent="0.25">
      <c r="A667" s="31" t="s">
        <v>293</v>
      </c>
      <c r="B667" s="454" t="s">
        <v>264</v>
      </c>
      <c r="C667" s="454" t="s">
        <v>215</v>
      </c>
      <c r="D667" s="454" t="s">
        <v>1406</v>
      </c>
      <c r="E667" s="454"/>
      <c r="F667" s="451">
        <f>F668</f>
        <v>671</v>
      </c>
      <c r="G667" s="451">
        <f>G668</f>
        <v>671</v>
      </c>
    </row>
    <row r="668" spans="1:7" ht="93.75" customHeight="1" x14ac:dyDescent="0.25">
      <c r="A668" s="458" t="s">
        <v>127</v>
      </c>
      <c r="B668" s="454" t="s">
        <v>264</v>
      </c>
      <c r="C668" s="454" t="s">
        <v>215</v>
      </c>
      <c r="D668" s="454" t="s">
        <v>1406</v>
      </c>
      <c r="E668" s="454" t="s">
        <v>128</v>
      </c>
      <c r="F668" s="451">
        <f>F669</f>
        <v>671</v>
      </c>
      <c r="G668" s="451">
        <f>G669</f>
        <v>671</v>
      </c>
    </row>
    <row r="669" spans="1:7" ht="39.4" customHeight="1" x14ac:dyDescent="0.25">
      <c r="A669" s="46" t="s">
        <v>342</v>
      </c>
      <c r="B669" s="454" t="s">
        <v>264</v>
      </c>
      <c r="C669" s="454" t="s">
        <v>215</v>
      </c>
      <c r="D669" s="454" t="s">
        <v>1406</v>
      </c>
      <c r="E669" s="454" t="s">
        <v>209</v>
      </c>
      <c r="F669" s="451">
        <f>'пр.6.1.ведом.22-23 (2)'!G320</f>
        <v>671</v>
      </c>
      <c r="G669" s="451">
        <f>'пр.6.1.ведом.22-23 (2)'!H320</f>
        <v>671</v>
      </c>
    </row>
    <row r="670" spans="1:7" ht="63" x14ac:dyDescent="0.25">
      <c r="A670" s="31" t="s">
        <v>289</v>
      </c>
      <c r="B670" s="454" t="s">
        <v>264</v>
      </c>
      <c r="C670" s="454" t="s">
        <v>215</v>
      </c>
      <c r="D670" s="454" t="s">
        <v>1212</v>
      </c>
      <c r="E670" s="454"/>
      <c r="F670" s="451">
        <f>F671</f>
        <v>106</v>
      </c>
      <c r="G670" s="451">
        <f>G671</f>
        <v>106</v>
      </c>
    </row>
    <row r="671" spans="1:7" ht="94.5" x14ac:dyDescent="0.25">
      <c r="A671" s="458" t="s">
        <v>127</v>
      </c>
      <c r="B671" s="454" t="s">
        <v>264</v>
      </c>
      <c r="C671" s="454" t="s">
        <v>215</v>
      </c>
      <c r="D671" s="454" t="s">
        <v>1212</v>
      </c>
      <c r="E671" s="454" t="s">
        <v>128</v>
      </c>
      <c r="F671" s="451">
        <f>F672</f>
        <v>106</v>
      </c>
      <c r="G671" s="451">
        <f>G672</f>
        <v>106</v>
      </c>
    </row>
    <row r="672" spans="1:7" ht="31.5" x14ac:dyDescent="0.25">
      <c r="A672" s="46" t="s">
        <v>342</v>
      </c>
      <c r="B672" s="454" t="s">
        <v>264</v>
      </c>
      <c r="C672" s="454" t="s">
        <v>215</v>
      </c>
      <c r="D672" s="454" t="s">
        <v>1212</v>
      </c>
      <c r="E672" s="454" t="s">
        <v>209</v>
      </c>
      <c r="F672" s="451">
        <f>'пр.6.1.ведом.22-23 (2)'!G323</f>
        <v>106</v>
      </c>
      <c r="G672" s="451">
        <f>'пр.6.1.ведом.22-23 (2)'!H323</f>
        <v>106</v>
      </c>
    </row>
    <row r="673" spans="1:7" ht="78.75" x14ac:dyDescent="0.25">
      <c r="A673" s="31" t="s">
        <v>291</v>
      </c>
      <c r="B673" s="454" t="s">
        <v>264</v>
      </c>
      <c r="C673" s="454" t="s">
        <v>215</v>
      </c>
      <c r="D673" s="454" t="s">
        <v>1213</v>
      </c>
      <c r="E673" s="454"/>
      <c r="F673" s="451">
        <f>F674</f>
        <v>298.39999999999998</v>
      </c>
      <c r="G673" s="451">
        <f>G674</f>
        <v>298.39999999999998</v>
      </c>
    </row>
    <row r="674" spans="1:7" ht="94.5" x14ac:dyDescent="0.25">
      <c r="A674" s="458" t="s">
        <v>127</v>
      </c>
      <c r="B674" s="454" t="s">
        <v>264</v>
      </c>
      <c r="C674" s="454" t="s">
        <v>215</v>
      </c>
      <c r="D674" s="454" t="s">
        <v>1213</v>
      </c>
      <c r="E674" s="454" t="s">
        <v>128</v>
      </c>
      <c r="F674" s="451">
        <f>F675</f>
        <v>298.39999999999998</v>
      </c>
      <c r="G674" s="451">
        <f>G675</f>
        <v>298.39999999999998</v>
      </c>
    </row>
    <row r="675" spans="1:7" ht="31.5" x14ac:dyDescent="0.25">
      <c r="A675" s="46" t="s">
        <v>342</v>
      </c>
      <c r="B675" s="454" t="s">
        <v>264</v>
      </c>
      <c r="C675" s="454" t="s">
        <v>215</v>
      </c>
      <c r="D675" s="454" t="s">
        <v>1213</v>
      </c>
      <c r="E675" s="454" t="s">
        <v>209</v>
      </c>
      <c r="F675" s="451">
        <f>'пр.6.1.ведом.22-23 (2)'!G326</f>
        <v>298.39999999999998</v>
      </c>
      <c r="G675" s="451">
        <f>'пр.6.1.ведом.22-23 (2)'!H326</f>
        <v>298.39999999999998</v>
      </c>
    </row>
    <row r="676" spans="1:7" ht="63" x14ac:dyDescent="0.25">
      <c r="A676" s="34" t="s">
        <v>1221</v>
      </c>
      <c r="B676" s="457" t="s">
        <v>264</v>
      </c>
      <c r="C676" s="457" t="s">
        <v>215</v>
      </c>
      <c r="D676" s="457" t="s">
        <v>324</v>
      </c>
      <c r="E676" s="457"/>
      <c r="F676" s="455">
        <f>F678</f>
        <v>6</v>
      </c>
      <c r="G676" s="455">
        <f>G678</f>
        <v>0</v>
      </c>
    </row>
    <row r="677" spans="1:7" ht="63" x14ac:dyDescent="0.25">
      <c r="A677" s="34" t="s">
        <v>1025</v>
      </c>
      <c r="B677" s="457" t="s">
        <v>264</v>
      </c>
      <c r="C677" s="457" t="s">
        <v>215</v>
      </c>
      <c r="D677" s="457" t="s">
        <v>934</v>
      </c>
      <c r="E677" s="457"/>
      <c r="F677" s="455">
        <f>F680</f>
        <v>6</v>
      </c>
      <c r="G677" s="455">
        <f>G680</f>
        <v>0</v>
      </c>
    </row>
    <row r="678" spans="1:7" ht="47.25" x14ac:dyDescent="0.25">
      <c r="A678" s="31" t="s">
        <v>1081</v>
      </c>
      <c r="B678" s="454" t="s">
        <v>264</v>
      </c>
      <c r="C678" s="454" t="s">
        <v>215</v>
      </c>
      <c r="D678" s="454" t="s">
        <v>1026</v>
      </c>
      <c r="E678" s="454"/>
      <c r="F678" s="459">
        <f>F679</f>
        <v>6</v>
      </c>
      <c r="G678" s="459">
        <f>G679</f>
        <v>0</v>
      </c>
    </row>
    <row r="679" spans="1:7" ht="31.5" x14ac:dyDescent="0.25">
      <c r="A679" s="458" t="s">
        <v>131</v>
      </c>
      <c r="B679" s="454" t="s">
        <v>264</v>
      </c>
      <c r="C679" s="454" t="s">
        <v>215</v>
      </c>
      <c r="D679" s="454" t="s">
        <v>1026</v>
      </c>
      <c r="E679" s="454" t="s">
        <v>132</v>
      </c>
      <c r="F679" s="459">
        <f>F680</f>
        <v>6</v>
      </c>
      <c r="G679" s="459">
        <f>G680</f>
        <v>0</v>
      </c>
    </row>
    <row r="680" spans="1:7" ht="47.25" x14ac:dyDescent="0.25">
      <c r="A680" s="458" t="s">
        <v>133</v>
      </c>
      <c r="B680" s="454" t="s">
        <v>264</v>
      </c>
      <c r="C680" s="454" t="s">
        <v>215</v>
      </c>
      <c r="D680" s="454" t="s">
        <v>1026</v>
      </c>
      <c r="E680" s="454" t="s">
        <v>134</v>
      </c>
      <c r="F680" s="459">
        <f>'пр.6.1.ведом.22-23 (2)'!G331</f>
        <v>6</v>
      </c>
      <c r="G680" s="459">
        <f>'пр.6.1.ведом.22-23 (2)'!H331</f>
        <v>0</v>
      </c>
    </row>
    <row r="681" spans="1:7" ht="63" x14ac:dyDescent="0.25">
      <c r="A681" s="462" t="s">
        <v>1355</v>
      </c>
      <c r="B681" s="457" t="s">
        <v>264</v>
      </c>
      <c r="C681" s="457" t="s">
        <v>215</v>
      </c>
      <c r="D681" s="457" t="s">
        <v>705</v>
      </c>
      <c r="E681" s="457"/>
      <c r="F681" s="450">
        <f>F682</f>
        <v>792.9</v>
      </c>
      <c r="G681" s="450">
        <f>G682</f>
        <v>824.7</v>
      </c>
    </row>
    <row r="682" spans="1:7" ht="63" x14ac:dyDescent="0.25">
      <c r="A682" s="462" t="s">
        <v>890</v>
      </c>
      <c r="B682" s="457" t="s">
        <v>264</v>
      </c>
      <c r="C682" s="457" t="s">
        <v>215</v>
      </c>
      <c r="D682" s="457" t="s">
        <v>888</v>
      </c>
      <c r="E682" s="457"/>
      <c r="F682" s="450">
        <f>F683+F686</f>
        <v>792.9</v>
      </c>
      <c r="G682" s="450">
        <f>G683+G686</f>
        <v>824.7</v>
      </c>
    </row>
    <row r="683" spans="1:7" ht="47.25" x14ac:dyDescent="0.25">
      <c r="A683" s="98" t="s">
        <v>1004</v>
      </c>
      <c r="B683" s="454" t="s">
        <v>264</v>
      </c>
      <c r="C683" s="454" t="s">
        <v>215</v>
      </c>
      <c r="D683" s="454" t="s">
        <v>889</v>
      </c>
      <c r="E683" s="460"/>
      <c r="F683" s="451">
        <f>F684</f>
        <v>490.2</v>
      </c>
      <c r="G683" s="451">
        <f>G684</f>
        <v>509.8</v>
      </c>
    </row>
    <row r="684" spans="1:7" ht="31.5" x14ac:dyDescent="0.25">
      <c r="A684" s="458" t="s">
        <v>131</v>
      </c>
      <c r="B684" s="454" t="s">
        <v>264</v>
      </c>
      <c r="C684" s="454" t="s">
        <v>215</v>
      </c>
      <c r="D684" s="454" t="s">
        <v>889</v>
      </c>
      <c r="E684" s="460" t="s">
        <v>132</v>
      </c>
      <c r="F684" s="451">
        <f>F685</f>
        <v>490.2</v>
      </c>
      <c r="G684" s="451">
        <f>G685</f>
        <v>509.8</v>
      </c>
    </row>
    <row r="685" spans="1:7" ht="47.25" x14ac:dyDescent="0.25">
      <c r="A685" s="458" t="s">
        <v>133</v>
      </c>
      <c r="B685" s="454" t="s">
        <v>264</v>
      </c>
      <c r="C685" s="454" t="s">
        <v>215</v>
      </c>
      <c r="D685" s="454" t="s">
        <v>889</v>
      </c>
      <c r="E685" s="460" t="s">
        <v>134</v>
      </c>
      <c r="F685" s="451">
        <f>'пр.6.1.ведом.22-23 (2)'!G336</f>
        <v>490.2</v>
      </c>
      <c r="G685" s="451">
        <f>'пр.6.1.ведом.22-23 (2)'!H336</f>
        <v>509.8</v>
      </c>
    </row>
    <row r="686" spans="1:7" ht="47.25" x14ac:dyDescent="0.25">
      <c r="A686" s="98" t="s">
        <v>780</v>
      </c>
      <c r="B686" s="454" t="s">
        <v>264</v>
      </c>
      <c r="C686" s="454" t="s">
        <v>215</v>
      </c>
      <c r="D686" s="454" t="s">
        <v>936</v>
      </c>
      <c r="E686" s="460"/>
      <c r="F686" s="451">
        <f>F687</f>
        <v>302.7</v>
      </c>
      <c r="G686" s="451">
        <f>G687</f>
        <v>314.89999999999998</v>
      </c>
    </row>
    <row r="687" spans="1:7" ht="47.25" x14ac:dyDescent="0.25">
      <c r="A687" s="29" t="s">
        <v>272</v>
      </c>
      <c r="B687" s="454" t="s">
        <v>264</v>
      </c>
      <c r="C687" s="454" t="s">
        <v>215</v>
      </c>
      <c r="D687" s="454" t="s">
        <v>936</v>
      </c>
      <c r="E687" s="460" t="s">
        <v>273</v>
      </c>
      <c r="F687" s="451">
        <f>F688</f>
        <v>302.7</v>
      </c>
      <c r="G687" s="451">
        <f>G688</f>
        <v>314.89999999999998</v>
      </c>
    </row>
    <row r="688" spans="1:7" ht="15.75" x14ac:dyDescent="0.25">
      <c r="A688" s="182" t="s">
        <v>274</v>
      </c>
      <c r="B688" s="454" t="s">
        <v>264</v>
      </c>
      <c r="C688" s="454" t="s">
        <v>215</v>
      </c>
      <c r="D688" s="454" t="s">
        <v>936</v>
      </c>
      <c r="E688" s="460" t="s">
        <v>275</v>
      </c>
      <c r="F688" s="451">
        <f>'пр.6.1.ведом.22-23 (2)'!G719</f>
        <v>302.7</v>
      </c>
      <c r="G688" s="451">
        <f>'пр.6.1.ведом.22-23 (2)'!H719</f>
        <v>314.89999999999998</v>
      </c>
    </row>
    <row r="689" spans="1:7" ht="21.2" customHeight="1" x14ac:dyDescent="0.25">
      <c r="A689" s="456" t="s">
        <v>466</v>
      </c>
      <c r="B689" s="457" t="s">
        <v>264</v>
      </c>
      <c r="C689" s="457" t="s">
        <v>264</v>
      </c>
      <c r="D689" s="457"/>
      <c r="E689" s="465"/>
      <c r="F689" s="450">
        <f>F690+F709</f>
        <v>6505.1</v>
      </c>
      <c r="G689" s="450">
        <f>G690+G709</f>
        <v>6570.1</v>
      </c>
    </row>
    <row r="690" spans="1:7" ht="47.25" x14ac:dyDescent="0.25">
      <c r="A690" s="456" t="s">
        <v>1375</v>
      </c>
      <c r="B690" s="457" t="s">
        <v>264</v>
      </c>
      <c r="C690" s="457" t="s">
        <v>264</v>
      </c>
      <c r="D690" s="457" t="s">
        <v>344</v>
      </c>
      <c r="E690" s="457"/>
      <c r="F690" s="450">
        <f>F691</f>
        <v>760</v>
      </c>
      <c r="G690" s="450">
        <f>G691</f>
        <v>825</v>
      </c>
    </row>
    <row r="691" spans="1:7" ht="31.5" x14ac:dyDescent="0.25">
      <c r="A691" s="456" t="s">
        <v>345</v>
      </c>
      <c r="B691" s="457" t="s">
        <v>264</v>
      </c>
      <c r="C691" s="457" t="s">
        <v>264</v>
      </c>
      <c r="D691" s="457" t="s">
        <v>346</v>
      </c>
      <c r="E691" s="457"/>
      <c r="F691" s="450">
        <f>F692+F699+F705</f>
        <v>760</v>
      </c>
      <c r="G691" s="450">
        <f>G692+G699+G705</f>
        <v>825</v>
      </c>
    </row>
    <row r="692" spans="1:7" ht="63" x14ac:dyDescent="0.25">
      <c r="A692" s="206" t="s">
        <v>1029</v>
      </c>
      <c r="B692" s="457" t="s">
        <v>264</v>
      </c>
      <c r="C692" s="457" t="s">
        <v>264</v>
      </c>
      <c r="D692" s="457" t="s">
        <v>892</v>
      </c>
      <c r="E692" s="457"/>
      <c r="F692" s="450">
        <f>F693+F696</f>
        <v>280</v>
      </c>
      <c r="G692" s="450">
        <f>G693+G696</f>
        <v>280</v>
      </c>
    </row>
    <row r="693" spans="1:7" ht="31.5" x14ac:dyDescent="0.25">
      <c r="A693" s="98" t="s">
        <v>1035</v>
      </c>
      <c r="B693" s="454" t="s">
        <v>264</v>
      </c>
      <c r="C693" s="454" t="s">
        <v>264</v>
      </c>
      <c r="D693" s="454" t="s">
        <v>893</v>
      </c>
      <c r="E693" s="454"/>
      <c r="F693" s="451">
        <f>F694</f>
        <v>280</v>
      </c>
      <c r="G693" s="451">
        <f>G694</f>
        <v>280</v>
      </c>
    </row>
    <row r="694" spans="1:7" ht="94.5" x14ac:dyDescent="0.25">
      <c r="A694" s="458" t="s">
        <v>127</v>
      </c>
      <c r="B694" s="454" t="s">
        <v>264</v>
      </c>
      <c r="C694" s="454" t="s">
        <v>264</v>
      </c>
      <c r="D694" s="454" t="s">
        <v>893</v>
      </c>
      <c r="E694" s="454" t="s">
        <v>128</v>
      </c>
      <c r="F694" s="451">
        <f>F695</f>
        <v>280</v>
      </c>
      <c r="G694" s="451">
        <f>G695</f>
        <v>280</v>
      </c>
    </row>
    <row r="695" spans="1:7" ht="31.5" x14ac:dyDescent="0.25">
      <c r="A695" s="458" t="s">
        <v>342</v>
      </c>
      <c r="B695" s="454" t="s">
        <v>264</v>
      </c>
      <c r="C695" s="454" t="s">
        <v>264</v>
      </c>
      <c r="D695" s="454" t="s">
        <v>893</v>
      </c>
      <c r="E695" s="454" t="s">
        <v>209</v>
      </c>
      <c r="F695" s="451">
        <f>'пр.6.1.ведом.22-23 (2)'!G343</f>
        <v>280</v>
      </c>
      <c r="G695" s="451">
        <f>'пр.6.1.ведом.22-23 (2)'!H343</f>
        <v>280</v>
      </c>
    </row>
    <row r="696" spans="1:7" ht="31.5" hidden="1" x14ac:dyDescent="0.25">
      <c r="A696" s="458" t="s">
        <v>1030</v>
      </c>
      <c r="B696" s="454" t="s">
        <v>264</v>
      </c>
      <c r="C696" s="454" t="s">
        <v>264</v>
      </c>
      <c r="D696" s="454" t="s">
        <v>1047</v>
      </c>
      <c r="E696" s="454"/>
      <c r="F696" s="451">
        <f>'[1]Пр.4 Рд,пр, ЦС,ВР 21'!F692</f>
        <v>0</v>
      </c>
      <c r="G696" s="451">
        <f t="shared" ref="G696:G698" si="69">F696</f>
        <v>0</v>
      </c>
    </row>
    <row r="697" spans="1:7" ht="31.5" hidden="1" x14ac:dyDescent="0.25">
      <c r="A697" s="458" t="s">
        <v>131</v>
      </c>
      <c r="B697" s="454" t="s">
        <v>264</v>
      </c>
      <c r="C697" s="454" t="s">
        <v>264</v>
      </c>
      <c r="D697" s="454" t="s">
        <v>1047</v>
      </c>
      <c r="E697" s="454" t="s">
        <v>132</v>
      </c>
      <c r="F697" s="451">
        <f>'[1]Пр.4 Рд,пр, ЦС,ВР 21'!F693</f>
        <v>0</v>
      </c>
      <c r="G697" s="451">
        <f t="shared" si="69"/>
        <v>0</v>
      </c>
    </row>
    <row r="698" spans="1:7" ht="47.25" hidden="1" x14ac:dyDescent="0.25">
      <c r="A698" s="458" t="s">
        <v>133</v>
      </c>
      <c r="B698" s="454" t="s">
        <v>264</v>
      </c>
      <c r="C698" s="454" t="s">
        <v>264</v>
      </c>
      <c r="D698" s="454" t="s">
        <v>1047</v>
      </c>
      <c r="E698" s="454" t="s">
        <v>134</v>
      </c>
      <c r="F698" s="451">
        <f>'[1]Пр.4 Рд,пр, ЦС,ВР 21'!F694</f>
        <v>0</v>
      </c>
      <c r="G698" s="451">
        <f t="shared" si="69"/>
        <v>0</v>
      </c>
    </row>
    <row r="699" spans="1:7" ht="78.75" x14ac:dyDescent="0.25">
      <c r="A699" s="456" t="s">
        <v>1031</v>
      </c>
      <c r="B699" s="457" t="s">
        <v>264</v>
      </c>
      <c r="C699" s="457" t="s">
        <v>264</v>
      </c>
      <c r="D699" s="457" t="s">
        <v>894</v>
      </c>
      <c r="E699" s="457"/>
      <c r="F699" s="450">
        <f>F700</f>
        <v>455</v>
      </c>
      <c r="G699" s="450">
        <f>G700</f>
        <v>520</v>
      </c>
    </row>
    <row r="700" spans="1:7" ht="31.5" x14ac:dyDescent="0.25">
      <c r="A700" s="458" t="s">
        <v>1032</v>
      </c>
      <c r="B700" s="454" t="s">
        <v>264</v>
      </c>
      <c r="C700" s="454" t="s">
        <v>264</v>
      </c>
      <c r="D700" s="454" t="s">
        <v>901</v>
      </c>
      <c r="E700" s="454"/>
      <c r="F700" s="451">
        <f>F701+F704</f>
        <v>455</v>
      </c>
      <c r="G700" s="451">
        <f>G701+G704</f>
        <v>520</v>
      </c>
    </row>
    <row r="701" spans="1:7" ht="94.5" x14ac:dyDescent="0.25">
      <c r="A701" s="458" t="s">
        <v>127</v>
      </c>
      <c r="B701" s="454" t="s">
        <v>264</v>
      </c>
      <c r="C701" s="454" t="s">
        <v>264</v>
      </c>
      <c r="D701" s="454" t="s">
        <v>901</v>
      </c>
      <c r="E701" s="454" t="s">
        <v>128</v>
      </c>
      <c r="F701" s="451">
        <f>F702</f>
        <v>40</v>
      </c>
      <c r="G701" s="451">
        <f>G702</f>
        <v>40</v>
      </c>
    </row>
    <row r="702" spans="1:7" ht="31.5" x14ac:dyDescent="0.25">
      <c r="A702" s="458" t="s">
        <v>342</v>
      </c>
      <c r="B702" s="454" t="s">
        <v>264</v>
      </c>
      <c r="C702" s="454" t="s">
        <v>264</v>
      </c>
      <c r="D702" s="454" t="s">
        <v>901</v>
      </c>
      <c r="E702" s="454" t="s">
        <v>209</v>
      </c>
      <c r="F702" s="451">
        <f>'пр.6.1.ведом.22-23 (2)'!G350</f>
        <v>40</v>
      </c>
      <c r="G702" s="451">
        <f>'пр.6.1.ведом.22-23 (2)'!H350</f>
        <v>40</v>
      </c>
    </row>
    <row r="703" spans="1:7" ht="31.5" x14ac:dyDescent="0.25">
      <c r="A703" s="458" t="s">
        <v>131</v>
      </c>
      <c r="B703" s="454" t="s">
        <v>264</v>
      </c>
      <c r="C703" s="454" t="s">
        <v>264</v>
      </c>
      <c r="D703" s="454" t="s">
        <v>901</v>
      </c>
      <c r="E703" s="454" t="s">
        <v>132</v>
      </c>
      <c r="F703" s="451">
        <f>F704</f>
        <v>415</v>
      </c>
      <c r="G703" s="451">
        <f>G704</f>
        <v>480</v>
      </c>
    </row>
    <row r="704" spans="1:7" ht="47.25" x14ac:dyDescent="0.25">
      <c r="A704" s="458" t="s">
        <v>133</v>
      </c>
      <c r="B704" s="454" t="s">
        <v>264</v>
      </c>
      <c r="C704" s="454" t="s">
        <v>264</v>
      </c>
      <c r="D704" s="454" t="s">
        <v>901</v>
      </c>
      <c r="E704" s="454" t="s">
        <v>134</v>
      </c>
      <c r="F704" s="451">
        <f>'пр.6.1.ведом.22-23 (2)'!G352</f>
        <v>415</v>
      </c>
      <c r="G704" s="451">
        <f>'пр.6.1.ведом.22-23 (2)'!H352</f>
        <v>480</v>
      </c>
    </row>
    <row r="705" spans="1:7" ht="47.25" x14ac:dyDescent="0.25">
      <c r="A705" s="456" t="s">
        <v>1037</v>
      </c>
      <c r="B705" s="457" t="s">
        <v>264</v>
      </c>
      <c r="C705" s="457" t="s">
        <v>264</v>
      </c>
      <c r="D705" s="457" t="s">
        <v>1033</v>
      </c>
      <c r="E705" s="457"/>
      <c r="F705" s="450">
        <f t="shared" ref="F705:G707" si="70">F706</f>
        <v>25</v>
      </c>
      <c r="G705" s="450">
        <f t="shared" si="70"/>
        <v>25</v>
      </c>
    </row>
    <row r="706" spans="1:7" ht="47.25" x14ac:dyDescent="0.25">
      <c r="A706" s="226" t="s">
        <v>1034</v>
      </c>
      <c r="B706" s="454" t="s">
        <v>264</v>
      </c>
      <c r="C706" s="454" t="s">
        <v>264</v>
      </c>
      <c r="D706" s="454" t="s">
        <v>1048</v>
      </c>
      <c r="E706" s="454"/>
      <c r="F706" s="451">
        <f t="shared" si="70"/>
        <v>25</v>
      </c>
      <c r="G706" s="451">
        <f t="shared" si="70"/>
        <v>25</v>
      </c>
    </row>
    <row r="707" spans="1:7" ht="31.5" x14ac:dyDescent="0.25">
      <c r="A707" s="458" t="s">
        <v>248</v>
      </c>
      <c r="B707" s="454" t="s">
        <v>264</v>
      </c>
      <c r="C707" s="454" t="s">
        <v>264</v>
      </c>
      <c r="D707" s="454" t="s">
        <v>1048</v>
      </c>
      <c r="E707" s="454" t="s">
        <v>249</v>
      </c>
      <c r="F707" s="451">
        <f t="shared" si="70"/>
        <v>25</v>
      </c>
      <c r="G707" s="451">
        <f t="shared" si="70"/>
        <v>25</v>
      </c>
    </row>
    <row r="708" spans="1:7" ht="37.5" customHeight="1" x14ac:dyDescent="0.25">
      <c r="A708" s="458" t="s">
        <v>1197</v>
      </c>
      <c r="B708" s="454" t="s">
        <v>264</v>
      </c>
      <c r="C708" s="454" t="s">
        <v>264</v>
      </c>
      <c r="D708" s="454" t="s">
        <v>1048</v>
      </c>
      <c r="E708" s="454" t="s">
        <v>1196</v>
      </c>
      <c r="F708" s="451">
        <f>'пр.6.1.ведом.22-23 (2)'!G356</f>
        <v>25</v>
      </c>
      <c r="G708" s="451">
        <f>'пр.6.1.ведом.22-23 (2)'!H356</f>
        <v>25</v>
      </c>
    </row>
    <row r="709" spans="1:7" ht="47.25" x14ac:dyDescent="0.25">
      <c r="A709" s="456" t="s">
        <v>1361</v>
      </c>
      <c r="B709" s="457" t="s">
        <v>264</v>
      </c>
      <c r="C709" s="457" t="s">
        <v>264</v>
      </c>
      <c r="D709" s="457" t="s">
        <v>406</v>
      </c>
      <c r="E709" s="457"/>
      <c r="F709" s="450">
        <f t="shared" ref="F709:G712" si="71">F710</f>
        <v>5745.1</v>
      </c>
      <c r="G709" s="450">
        <f t="shared" si="71"/>
        <v>5745.1</v>
      </c>
    </row>
    <row r="710" spans="1:7" ht="31.5" x14ac:dyDescent="0.25">
      <c r="A710" s="456" t="s">
        <v>943</v>
      </c>
      <c r="B710" s="457" t="s">
        <v>264</v>
      </c>
      <c r="C710" s="457" t="s">
        <v>264</v>
      </c>
      <c r="D710" s="457" t="s">
        <v>1240</v>
      </c>
      <c r="E710" s="457"/>
      <c r="F710" s="450">
        <f t="shared" si="71"/>
        <v>5745.1</v>
      </c>
      <c r="G710" s="450">
        <f t="shared" si="71"/>
        <v>5745.1</v>
      </c>
    </row>
    <row r="711" spans="1:7" ht="47.25" x14ac:dyDescent="0.25">
      <c r="A711" s="31" t="s">
        <v>1060</v>
      </c>
      <c r="B711" s="454" t="s">
        <v>264</v>
      </c>
      <c r="C711" s="454" t="s">
        <v>264</v>
      </c>
      <c r="D711" s="454" t="s">
        <v>1262</v>
      </c>
      <c r="E711" s="454"/>
      <c r="F711" s="451">
        <f t="shared" si="71"/>
        <v>5745.1</v>
      </c>
      <c r="G711" s="451">
        <f t="shared" si="71"/>
        <v>5745.1</v>
      </c>
    </row>
    <row r="712" spans="1:7" ht="47.25" x14ac:dyDescent="0.25">
      <c r="A712" s="458" t="s">
        <v>272</v>
      </c>
      <c r="B712" s="454" t="s">
        <v>264</v>
      </c>
      <c r="C712" s="454" t="s">
        <v>264</v>
      </c>
      <c r="D712" s="454" t="s">
        <v>1262</v>
      </c>
      <c r="E712" s="454" t="s">
        <v>273</v>
      </c>
      <c r="F712" s="451">
        <f t="shared" si="71"/>
        <v>5745.1</v>
      </c>
      <c r="G712" s="451">
        <f t="shared" si="71"/>
        <v>5745.1</v>
      </c>
    </row>
    <row r="713" spans="1:7" ht="15.75" x14ac:dyDescent="0.25">
      <c r="A713" s="458" t="s">
        <v>274</v>
      </c>
      <c r="B713" s="454" t="s">
        <v>264</v>
      </c>
      <c r="C713" s="454" t="s">
        <v>264</v>
      </c>
      <c r="D713" s="454" t="s">
        <v>1262</v>
      </c>
      <c r="E713" s="454" t="s">
        <v>275</v>
      </c>
      <c r="F713" s="451">
        <f>'пр.6.1.ведом.22-23 (2)'!G725</f>
        <v>5745.1</v>
      </c>
      <c r="G713" s="451">
        <f>'пр.6.1.ведом.22-23 (2)'!H725</f>
        <v>5745.1</v>
      </c>
    </row>
    <row r="714" spans="1:7" ht="15.75" x14ac:dyDescent="0.25">
      <c r="A714" s="456" t="s">
        <v>295</v>
      </c>
      <c r="B714" s="457" t="s">
        <v>264</v>
      </c>
      <c r="C714" s="457" t="s">
        <v>219</v>
      </c>
      <c r="D714" s="457"/>
      <c r="E714" s="457"/>
      <c r="F714" s="450">
        <f>F715+F725</f>
        <v>19831.8</v>
      </c>
      <c r="G714" s="450">
        <f>G715+G725</f>
        <v>19831.8</v>
      </c>
    </row>
    <row r="715" spans="1:7" ht="31.5" x14ac:dyDescent="0.25">
      <c r="A715" s="456" t="s">
        <v>917</v>
      </c>
      <c r="B715" s="457" t="s">
        <v>264</v>
      </c>
      <c r="C715" s="457" t="s">
        <v>219</v>
      </c>
      <c r="D715" s="457" t="s">
        <v>858</v>
      </c>
      <c r="E715" s="457"/>
      <c r="F715" s="450">
        <f>F716</f>
        <v>6048.7</v>
      </c>
      <c r="G715" s="450">
        <f>G716</f>
        <v>6048.7</v>
      </c>
    </row>
    <row r="716" spans="1:7" ht="15.75" x14ac:dyDescent="0.25">
      <c r="A716" s="456" t="s">
        <v>918</v>
      </c>
      <c r="B716" s="457" t="s">
        <v>264</v>
      </c>
      <c r="C716" s="457" t="s">
        <v>219</v>
      </c>
      <c r="D716" s="457" t="s">
        <v>859</v>
      </c>
      <c r="E716" s="457"/>
      <c r="F716" s="450">
        <f>F717+F722</f>
        <v>6048.7</v>
      </c>
      <c r="G716" s="450">
        <f>G717+G722</f>
        <v>6048.7</v>
      </c>
    </row>
    <row r="717" spans="1:7" ht="31.5" x14ac:dyDescent="0.25">
      <c r="A717" s="458" t="s">
        <v>897</v>
      </c>
      <c r="B717" s="454" t="s">
        <v>264</v>
      </c>
      <c r="C717" s="454" t="s">
        <v>219</v>
      </c>
      <c r="D717" s="454" t="s">
        <v>860</v>
      </c>
      <c r="E717" s="454"/>
      <c r="F717" s="451">
        <f>F718+F720</f>
        <v>5922.7</v>
      </c>
      <c r="G717" s="451">
        <f>G718+G720</f>
        <v>5922.7</v>
      </c>
    </row>
    <row r="718" spans="1:7" ht="94.5" x14ac:dyDescent="0.25">
      <c r="A718" s="458" t="s">
        <v>127</v>
      </c>
      <c r="B718" s="454" t="s">
        <v>264</v>
      </c>
      <c r="C718" s="454" t="s">
        <v>219</v>
      </c>
      <c r="D718" s="454" t="s">
        <v>860</v>
      </c>
      <c r="E718" s="454" t="s">
        <v>128</v>
      </c>
      <c r="F718" s="451">
        <f>F719</f>
        <v>5710.7</v>
      </c>
      <c r="G718" s="451">
        <f>G719</f>
        <v>5710.7</v>
      </c>
    </row>
    <row r="719" spans="1:7" ht="31.5" x14ac:dyDescent="0.25">
      <c r="A719" s="458" t="s">
        <v>129</v>
      </c>
      <c r="B719" s="454" t="s">
        <v>264</v>
      </c>
      <c r="C719" s="454" t="s">
        <v>219</v>
      </c>
      <c r="D719" s="454" t="s">
        <v>860</v>
      </c>
      <c r="E719" s="454" t="s">
        <v>130</v>
      </c>
      <c r="F719" s="451">
        <f>'пр.6.1.ведом.22-23 (2)'!G734</f>
        <v>5710.7</v>
      </c>
      <c r="G719" s="451">
        <f>'пр.6.1.ведом.22-23 (2)'!H734</f>
        <v>5710.7</v>
      </c>
    </row>
    <row r="720" spans="1:7" ht="31.5" x14ac:dyDescent="0.25">
      <c r="A720" s="458" t="s">
        <v>131</v>
      </c>
      <c r="B720" s="454" t="s">
        <v>264</v>
      </c>
      <c r="C720" s="454" t="s">
        <v>219</v>
      </c>
      <c r="D720" s="454" t="s">
        <v>860</v>
      </c>
      <c r="E720" s="454" t="s">
        <v>132</v>
      </c>
      <c r="F720" s="451">
        <f>F721</f>
        <v>212</v>
      </c>
      <c r="G720" s="451">
        <f>G721</f>
        <v>212</v>
      </c>
    </row>
    <row r="721" spans="1:7" ht="47.25" x14ac:dyDescent="0.25">
      <c r="A721" s="458" t="s">
        <v>133</v>
      </c>
      <c r="B721" s="454" t="s">
        <v>264</v>
      </c>
      <c r="C721" s="454" t="s">
        <v>219</v>
      </c>
      <c r="D721" s="454" t="s">
        <v>860</v>
      </c>
      <c r="E721" s="454" t="s">
        <v>134</v>
      </c>
      <c r="F721" s="451">
        <f>'пр.6.1.ведом.22-23 (2)'!G736</f>
        <v>212</v>
      </c>
      <c r="G721" s="451">
        <f>'пр.6.1.ведом.22-23 (2)'!H736</f>
        <v>212</v>
      </c>
    </row>
    <row r="722" spans="1:7" ht="47.25" x14ac:dyDescent="0.25">
      <c r="A722" s="458" t="s">
        <v>839</v>
      </c>
      <c r="B722" s="454" t="s">
        <v>264</v>
      </c>
      <c r="C722" s="454" t="s">
        <v>219</v>
      </c>
      <c r="D722" s="454" t="s">
        <v>862</v>
      </c>
      <c r="E722" s="454"/>
      <c r="F722" s="451">
        <f>F723</f>
        <v>126</v>
      </c>
      <c r="G722" s="451">
        <f>G723</f>
        <v>126</v>
      </c>
    </row>
    <row r="723" spans="1:7" ht="94.5" x14ac:dyDescent="0.25">
      <c r="A723" s="458" t="s">
        <v>127</v>
      </c>
      <c r="B723" s="454" t="s">
        <v>264</v>
      </c>
      <c r="C723" s="454" t="s">
        <v>219</v>
      </c>
      <c r="D723" s="454" t="s">
        <v>862</v>
      </c>
      <c r="E723" s="454" t="s">
        <v>128</v>
      </c>
      <c r="F723" s="451">
        <f>F724</f>
        <v>126</v>
      </c>
      <c r="G723" s="451">
        <f>G724</f>
        <v>126</v>
      </c>
    </row>
    <row r="724" spans="1:7" ht="31.5" x14ac:dyDescent="0.25">
      <c r="A724" s="458" t="s">
        <v>129</v>
      </c>
      <c r="B724" s="454" t="s">
        <v>264</v>
      </c>
      <c r="C724" s="454" t="s">
        <v>219</v>
      </c>
      <c r="D724" s="454" t="s">
        <v>862</v>
      </c>
      <c r="E724" s="454" t="s">
        <v>130</v>
      </c>
      <c r="F724" s="451">
        <f>'пр.6.1.ведом.22-23 (2)'!G739</f>
        <v>126</v>
      </c>
      <c r="G724" s="451">
        <f>'пр.6.1.ведом.22-23 (2)'!H739</f>
        <v>126</v>
      </c>
    </row>
    <row r="725" spans="1:7" ht="15.75" x14ac:dyDescent="0.25">
      <c r="A725" s="456" t="s">
        <v>141</v>
      </c>
      <c r="B725" s="457" t="s">
        <v>264</v>
      </c>
      <c r="C725" s="457" t="s">
        <v>219</v>
      </c>
      <c r="D725" s="457" t="s">
        <v>866</v>
      </c>
      <c r="E725" s="457"/>
      <c r="F725" s="450">
        <f>F726+F730</f>
        <v>13783.1</v>
      </c>
      <c r="G725" s="450">
        <f>G726+G730</f>
        <v>13783.1</v>
      </c>
    </row>
    <row r="726" spans="1:7" ht="31.5" x14ac:dyDescent="0.25">
      <c r="A726" s="456" t="s">
        <v>870</v>
      </c>
      <c r="B726" s="457" t="s">
        <v>264</v>
      </c>
      <c r="C726" s="457" t="s">
        <v>219</v>
      </c>
      <c r="D726" s="457" t="s">
        <v>865</v>
      </c>
      <c r="E726" s="457"/>
      <c r="F726" s="450">
        <f t="shared" ref="F726:G728" si="72">F727</f>
        <v>300</v>
      </c>
      <c r="G726" s="450">
        <f t="shared" si="72"/>
        <v>300</v>
      </c>
    </row>
    <row r="727" spans="1:7" ht="21.2" customHeight="1" x14ac:dyDescent="0.25">
      <c r="A727" s="458" t="s">
        <v>478</v>
      </c>
      <c r="B727" s="454" t="s">
        <v>264</v>
      </c>
      <c r="C727" s="454" t="s">
        <v>219</v>
      </c>
      <c r="D727" s="454" t="s">
        <v>944</v>
      </c>
      <c r="E727" s="454"/>
      <c r="F727" s="451">
        <f t="shared" si="72"/>
        <v>300</v>
      </c>
      <c r="G727" s="451">
        <f t="shared" si="72"/>
        <v>300</v>
      </c>
    </row>
    <row r="728" spans="1:7" ht="31.5" x14ac:dyDescent="0.25">
      <c r="A728" s="458" t="s">
        <v>131</v>
      </c>
      <c r="B728" s="454" t="s">
        <v>264</v>
      </c>
      <c r="C728" s="454" t="s">
        <v>219</v>
      </c>
      <c r="D728" s="454" t="s">
        <v>944</v>
      </c>
      <c r="E728" s="454" t="s">
        <v>132</v>
      </c>
      <c r="F728" s="451">
        <f t="shared" si="72"/>
        <v>300</v>
      </c>
      <c r="G728" s="451">
        <f t="shared" si="72"/>
        <v>300</v>
      </c>
    </row>
    <row r="729" spans="1:7" ht="47.25" x14ac:dyDescent="0.25">
      <c r="A729" s="458" t="s">
        <v>133</v>
      </c>
      <c r="B729" s="454" t="s">
        <v>264</v>
      </c>
      <c r="C729" s="454" t="s">
        <v>219</v>
      </c>
      <c r="D729" s="454" t="s">
        <v>944</v>
      </c>
      <c r="E729" s="454" t="s">
        <v>134</v>
      </c>
      <c r="F729" s="451">
        <f>'пр.6.1.ведом.22-23 (2)'!G744</f>
        <v>300</v>
      </c>
      <c r="G729" s="451">
        <f>'пр.6.1.ведом.22-23 (2)'!H744</f>
        <v>300</v>
      </c>
    </row>
    <row r="730" spans="1:7" ht="36" customHeight="1" x14ac:dyDescent="0.25">
      <c r="A730" s="456" t="s">
        <v>929</v>
      </c>
      <c r="B730" s="457" t="s">
        <v>264</v>
      </c>
      <c r="C730" s="457" t="s">
        <v>219</v>
      </c>
      <c r="D730" s="457" t="s">
        <v>914</v>
      </c>
      <c r="E730" s="457"/>
      <c r="F730" s="450">
        <f>F731+F738</f>
        <v>13483.1</v>
      </c>
      <c r="G730" s="450">
        <f>G731+G738</f>
        <v>13483.1</v>
      </c>
    </row>
    <row r="731" spans="1:7" ht="31.5" x14ac:dyDescent="0.25">
      <c r="A731" s="458" t="s">
        <v>903</v>
      </c>
      <c r="B731" s="454" t="s">
        <v>264</v>
      </c>
      <c r="C731" s="454" t="s">
        <v>219</v>
      </c>
      <c r="D731" s="454" t="s">
        <v>915</v>
      </c>
      <c r="E731" s="454"/>
      <c r="F731" s="451">
        <f>F732+F734+F736</f>
        <v>12977.1</v>
      </c>
      <c r="G731" s="451">
        <f>G732+G734+G736</f>
        <v>12977.1</v>
      </c>
    </row>
    <row r="732" spans="1:7" ht="94.5" x14ac:dyDescent="0.25">
      <c r="A732" s="458" t="s">
        <v>127</v>
      </c>
      <c r="B732" s="454" t="s">
        <v>264</v>
      </c>
      <c r="C732" s="454" t="s">
        <v>219</v>
      </c>
      <c r="D732" s="454" t="s">
        <v>915</v>
      </c>
      <c r="E732" s="454" t="s">
        <v>128</v>
      </c>
      <c r="F732" s="451">
        <f>F733</f>
        <v>11885.1</v>
      </c>
      <c r="G732" s="451">
        <f>G733</f>
        <v>11885.1</v>
      </c>
    </row>
    <row r="733" spans="1:7" ht="31.5" x14ac:dyDescent="0.25">
      <c r="A733" s="458" t="s">
        <v>342</v>
      </c>
      <c r="B733" s="454" t="s">
        <v>264</v>
      </c>
      <c r="C733" s="454" t="s">
        <v>219</v>
      </c>
      <c r="D733" s="454" t="s">
        <v>915</v>
      </c>
      <c r="E733" s="454" t="s">
        <v>209</v>
      </c>
      <c r="F733" s="451">
        <f>'пр.6.1.ведом.22-23 (2)'!G748</f>
        <v>11885.1</v>
      </c>
      <c r="G733" s="451">
        <f>'пр.6.1.ведом.22-23 (2)'!H748</f>
        <v>11885.1</v>
      </c>
    </row>
    <row r="734" spans="1:7" ht="31.5" x14ac:dyDescent="0.25">
      <c r="A734" s="458" t="s">
        <v>131</v>
      </c>
      <c r="B734" s="454" t="s">
        <v>264</v>
      </c>
      <c r="C734" s="454" t="s">
        <v>219</v>
      </c>
      <c r="D734" s="454" t="s">
        <v>915</v>
      </c>
      <c r="E734" s="454" t="s">
        <v>132</v>
      </c>
      <c r="F734" s="451">
        <f>F735</f>
        <v>1077</v>
      </c>
      <c r="G734" s="451">
        <f>G735</f>
        <v>1077</v>
      </c>
    </row>
    <row r="735" spans="1:7" ht="47.25" x14ac:dyDescent="0.25">
      <c r="A735" s="458" t="s">
        <v>133</v>
      </c>
      <c r="B735" s="454" t="s">
        <v>264</v>
      </c>
      <c r="C735" s="454" t="s">
        <v>219</v>
      </c>
      <c r="D735" s="454" t="s">
        <v>915</v>
      </c>
      <c r="E735" s="454" t="s">
        <v>134</v>
      </c>
      <c r="F735" s="451">
        <f>'пр.6.1.ведом.22-23 (2)'!G750</f>
        <v>1077</v>
      </c>
      <c r="G735" s="451">
        <f>'пр.6.1.ведом.22-23 (2)'!H750</f>
        <v>1077</v>
      </c>
    </row>
    <row r="736" spans="1:7" ht="15.75" x14ac:dyDescent="0.25">
      <c r="A736" s="458" t="s">
        <v>135</v>
      </c>
      <c r="B736" s="454" t="s">
        <v>264</v>
      </c>
      <c r="C736" s="454" t="s">
        <v>219</v>
      </c>
      <c r="D736" s="454" t="s">
        <v>915</v>
      </c>
      <c r="E736" s="454" t="s">
        <v>145</v>
      </c>
      <c r="F736" s="451">
        <f>F737</f>
        <v>15</v>
      </c>
      <c r="G736" s="451">
        <f>G737</f>
        <v>15</v>
      </c>
    </row>
    <row r="737" spans="1:9" ht="15.75" customHeight="1" x14ac:dyDescent="0.25">
      <c r="A737" s="458" t="s">
        <v>568</v>
      </c>
      <c r="B737" s="454" t="s">
        <v>264</v>
      </c>
      <c r="C737" s="454" t="s">
        <v>219</v>
      </c>
      <c r="D737" s="454" t="s">
        <v>915</v>
      </c>
      <c r="E737" s="454" t="s">
        <v>138</v>
      </c>
      <c r="F737" s="451">
        <f>'пр.6.1.ведом.22-23 (2)'!G752</f>
        <v>15</v>
      </c>
      <c r="G737" s="451">
        <f>'пр.6.1.ведом.22-23 (2)'!H752</f>
        <v>15</v>
      </c>
    </row>
    <row r="738" spans="1:9" ht="47.25" x14ac:dyDescent="0.25">
      <c r="A738" s="458" t="s">
        <v>839</v>
      </c>
      <c r="B738" s="454" t="s">
        <v>264</v>
      </c>
      <c r="C738" s="454" t="s">
        <v>219</v>
      </c>
      <c r="D738" s="454" t="s">
        <v>916</v>
      </c>
      <c r="E738" s="454"/>
      <c r="F738" s="451">
        <f>F739</f>
        <v>506</v>
      </c>
      <c r="G738" s="451">
        <f>G739</f>
        <v>506</v>
      </c>
    </row>
    <row r="739" spans="1:9" ht="94.5" x14ac:dyDescent="0.25">
      <c r="A739" s="458" t="s">
        <v>127</v>
      </c>
      <c r="B739" s="454" t="s">
        <v>264</v>
      </c>
      <c r="C739" s="454" t="s">
        <v>219</v>
      </c>
      <c r="D739" s="454" t="s">
        <v>916</v>
      </c>
      <c r="E739" s="454" t="s">
        <v>128</v>
      </c>
      <c r="F739" s="451">
        <f>F740</f>
        <v>506</v>
      </c>
      <c r="G739" s="451">
        <f>G740</f>
        <v>506</v>
      </c>
    </row>
    <row r="740" spans="1:9" ht="31.5" x14ac:dyDescent="0.25">
      <c r="A740" s="458" t="s">
        <v>129</v>
      </c>
      <c r="B740" s="454" t="s">
        <v>264</v>
      </c>
      <c r="C740" s="454" t="s">
        <v>219</v>
      </c>
      <c r="D740" s="454" t="s">
        <v>916</v>
      </c>
      <c r="E740" s="454" t="s">
        <v>130</v>
      </c>
      <c r="F740" s="451">
        <f>'пр.6.1.ведом.22-23 (2)'!G755</f>
        <v>506</v>
      </c>
      <c r="G740" s="451">
        <f>'пр.6.1.ведом.22-23 (2)'!H755</f>
        <v>506</v>
      </c>
    </row>
    <row r="741" spans="1:9" ht="15.75" x14ac:dyDescent="0.25">
      <c r="A741" s="462" t="s">
        <v>298</v>
      </c>
      <c r="B741" s="7" t="s">
        <v>299</v>
      </c>
      <c r="C741" s="7"/>
      <c r="D741" s="7"/>
      <c r="E741" s="7"/>
      <c r="F741" s="450">
        <f>F742+F795</f>
        <v>76411.28</v>
      </c>
      <c r="G741" s="450">
        <f>G742+G795</f>
        <v>77665.48</v>
      </c>
      <c r="H741" s="449">
        <v>72370</v>
      </c>
      <c r="I741" s="449">
        <v>73630.2</v>
      </c>
    </row>
    <row r="742" spans="1:9" ht="15.75" x14ac:dyDescent="0.25">
      <c r="A742" s="462" t="s">
        <v>300</v>
      </c>
      <c r="B742" s="7" t="s">
        <v>299</v>
      </c>
      <c r="C742" s="7" t="s">
        <v>118</v>
      </c>
      <c r="D742" s="7"/>
      <c r="E742" s="7"/>
      <c r="F742" s="450">
        <f>F743+F785+F790</f>
        <v>57844.87999999999</v>
      </c>
      <c r="G742" s="450">
        <f>G743+G785+G790</f>
        <v>59070.079999999994</v>
      </c>
      <c r="H742" s="227">
        <f>H741-F741</f>
        <v>-4041.2799999999988</v>
      </c>
      <c r="I742" s="227">
        <f>I741-G741</f>
        <v>-4035.2799999999988</v>
      </c>
    </row>
    <row r="743" spans="1:9" ht="47.25" x14ac:dyDescent="0.25">
      <c r="A743" s="456" t="s">
        <v>1354</v>
      </c>
      <c r="B743" s="457" t="s">
        <v>299</v>
      </c>
      <c r="C743" s="457" t="s">
        <v>118</v>
      </c>
      <c r="D743" s="457" t="s">
        <v>267</v>
      </c>
      <c r="E743" s="457"/>
      <c r="F743" s="450">
        <f>F744+F752+F758+F762+F769+F773+F777+F781</f>
        <v>56956.179999999993</v>
      </c>
      <c r="G743" s="450">
        <f>G744+G752+G758+G762+G769+G773+G777+G781</f>
        <v>58156.179999999993</v>
      </c>
    </row>
    <row r="744" spans="1:9" ht="47.25" x14ac:dyDescent="0.25">
      <c r="A744" s="456" t="s">
        <v>1300</v>
      </c>
      <c r="B744" s="457" t="s">
        <v>299</v>
      </c>
      <c r="C744" s="457" t="s">
        <v>118</v>
      </c>
      <c r="D744" s="457" t="s">
        <v>1204</v>
      </c>
      <c r="E744" s="457"/>
      <c r="F744" s="450">
        <f>F745</f>
        <v>51840.479999999996</v>
      </c>
      <c r="G744" s="450">
        <f>G745</f>
        <v>51840.479999999996</v>
      </c>
    </row>
    <row r="745" spans="1:9" ht="31.5" x14ac:dyDescent="0.25">
      <c r="A745" s="458" t="s">
        <v>800</v>
      </c>
      <c r="B745" s="454" t="s">
        <v>299</v>
      </c>
      <c r="C745" s="454" t="s">
        <v>118</v>
      </c>
      <c r="D745" s="454" t="s">
        <v>1205</v>
      </c>
      <c r="E745" s="454"/>
      <c r="F745" s="451">
        <f>F746+F748+F750</f>
        <v>51840.479999999996</v>
      </c>
      <c r="G745" s="451">
        <f>G746+G748+G750</f>
        <v>51840.479999999996</v>
      </c>
    </row>
    <row r="746" spans="1:9" ht="94.5" x14ac:dyDescent="0.25">
      <c r="A746" s="458" t="s">
        <v>127</v>
      </c>
      <c r="B746" s="454" t="s">
        <v>299</v>
      </c>
      <c r="C746" s="454" t="s">
        <v>118</v>
      </c>
      <c r="D746" s="454" t="s">
        <v>1205</v>
      </c>
      <c r="E746" s="454" t="s">
        <v>128</v>
      </c>
      <c r="F746" s="451">
        <f>F747</f>
        <v>43271.28</v>
      </c>
      <c r="G746" s="451">
        <f>G747</f>
        <v>43271.28</v>
      </c>
    </row>
    <row r="747" spans="1:9" ht="31.5" x14ac:dyDescent="0.25">
      <c r="A747" s="458" t="s">
        <v>208</v>
      </c>
      <c r="B747" s="454" t="s">
        <v>299</v>
      </c>
      <c r="C747" s="454" t="s">
        <v>118</v>
      </c>
      <c r="D747" s="454" t="s">
        <v>1205</v>
      </c>
      <c r="E747" s="454" t="s">
        <v>209</v>
      </c>
      <c r="F747" s="451">
        <f>'пр.6.1.ведом.22-23 (2)'!G363</f>
        <v>43271.28</v>
      </c>
      <c r="G747" s="451">
        <f>'пр.6.1.ведом.22-23 (2)'!H363</f>
        <v>43271.28</v>
      </c>
    </row>
    <row r="748" spans="1:9" ht="31.5" x14ac:dyDescent="0.25">
      <c r="A748" s="458" t="s">
        <v>131</v>
      </c>
      <c r="B748" s="454" t="s">
        <v>299</v>
      </c>
      <c r="C748" s="454" t="s">
        <v>118</v>
      </c>
      <c r="D748" s="454" t="s">
        <v>1205</v>
      </c>
      <c r="E748" s="454" t="s">
        <v>132</v>
      </c>
      <c r="F748" s="451">
        <f>F749</f>
        <v>8506.2000000000007</v>
      </c>
      <c r="G748" s="451">
        <f>G749</f>
        <v>8506.2000000000007</v>
      </c>
    </row>
    <row r="749" spans="1:9" ht="47.25" x14ac:dyDescent="0.25">
      <c r="A749" s="458" t="s">
        <v>133</v>
      </c>
      <c r="B749" s="454" t="s">
        <v>299</v>
      </c>
      <c r="C749" s="454" t="s">
        <v>118</v>
      </c>
      <c r="D749" s="454" t="s">
        <v>1205</v>
      </c>
      <c r="E749" s="454" t="s">
        <v>134</v>
      </c>
      <c r="F749" s="451">
        <f>'пр.6.1.ведом.22-23 (2)'!G365</f>
        <v>8506.2000000000007</v>
      </c>
      <c r="G749" s="451">
        <f>'пр.6.1.ведом.22-23 (2)'!H365</f>
        <v>8506.2000000000007</v>
      </c>
    </row>
    <row r="750" spans="1:9" ht="15.75" x14ac:dyDescent="0.25">
      <c r="A750" s="458" t="s">
        <v>135</v>
      </c>
      <c r="B750" s="454" t="s">
        <v>299</v>
      </c>
      <c r="C750" s="454" t="s">
        <v>118</v>
      </c>
      <c r="D750" s="454" t="s">
        <v>1205</v>
      </c>
      <c r="E750" s="454" t="s">
        <v>145</v>
      </c>
      <c r="F750" s="451">
        <f>F751</f>
        <v>63</v>
      </c>
      <c r="G750" s="451">
        <f>G751</f>
        <v>63</v>
      </c>
    </row>
    <row r="751" spans="1:9" ht="15.75" x14ac:dyDescent="0.25">
      <c r="A751" s="458" t="s">
        <v>568</v>
      </c>
      <c r="B751" s="454" t="s">
        <v>299</v>
      </c>
      <c r="C751" s="454" t="s">
        <v>118</v>
      </c>
      <c r="D751" s="454" t="s">
        <v>1205</v>
      </c>
      <c r="E751" s="454" t="s">
        <v>138</v>
      </c>
      <c r="F751" s="451">
        <f>'пр.6.1.ведом.22-23 (2)'!G367</f>
        <v>63</v>
      </c>
      <c r="G751" s="451">
        <f>'пр.6.1.ведом.22-23 (2)'!H367</f>
        <v>63</v>
      </c>
    </row>
    <row r="752" spans="1:9" ht="31.5" x14ac:dyDescent="0.25">
      <c r="A752" s="212" t="s">
        <v>1302</v>
      </c>
      <c r="B752" s="457" t="s">
        <v>299</v>
      </c>
      <c r="C752" s="457" t="s">
        <v>118</v>
      </c>
      <c r="D752" s="457" t="s">
        <v>1206</v>
      </c>
      <c r="E752" s="457"/>
      <c r="F752" s="450">
        <f>F753</f>
        <v>1380</v>
      </c>
      <c r="G752" s="450">
        <f>G753</f>
        <v>1380</v>
      </c>
    </row>
    <row r="753" spans="1:7" ht="31.5" x14ac:dyDescent="0.25">
      <c r="A753" s="31" t="s">
        <v>816</v>
      </c>
      <c r="B753" s="454" t="s">
        <v>299</v>
      </c>
      <c r="C753" s="454" t="s">
        <v>118</v>
      </c>
      <c r="D753" s="454" t="s">
        <v>1208</v>
      </c>
      <c r="E753" s="454"/>
      <c r="F753" s="451">
        <f>F756</f>
        <v>1380</v>
      </c>
      <c r="G753" s="451">
        <f>G756</f>
        <v>1380</v>
      </c>
    </row>
    <row r="754" spans="1:7" ht="94.5" hidden="1" x14ac:dyDescent="0.25">
      <c r="A754" s="458" t="s">
        <v>127</v>
      </c>
      <c r="B754" s="454" t="s">
        <v>299</v>
      </c>
      <c r="C754" s="454" t="s">
        <v>118</v>
      </c>
      <c r="D754" s="454" t="s">
        <v>1208</v>
      </c>
      <c r="E754" s="454" t="s">
        <v>128</v>
      </c>
      <c r="F754" s="451">
        <f>'[1]Пр.4 Рд,пр, ЦС,ВР 21'!F753</f>
        <v>983</v>
      </c>
      <c r="G754" s="451">
        <f>'[1]Пр.4 Рд,пр, ЦС,ВР 21'!G753</f>
        <v>0</v>
      </c>
    </row>
    <row r="755" spans="1:7" ht="31.5" hidden="1" x14ac:dyDescent="0.25">
      <c r="A755" s="458" t="s">
        <v>208</v>
      </c>
      <c r="B755" s="454" t="s">
        <v>299</v>
      </c>
      <c r="C755" s="454" t="s">
        <v>118</v>
      </c>
      <c r="D755" s="454" t="s">
        <v>1208</v>
      </c>
      <c r="E755" s="454" t="s">
        <v>209</v>
      </c>
      <c r="F755" s="451">
        <f>'[1]Пр.4 Рд,пр, ЦС,ВР 21'!F754</f>
        <v>983</v>
      </c>
      <c r="G755" s="451">
        <f>'[1]Пр.4 Рд,пр, ЦС,ВР 21'!G754</f>
        <v>0</v>
      </c>
    </row>
    <row r="756" spans="1:7" ht="31.5" x14ac:dyDescent="0.25">
      <c r="A756" s="458" t="s">
        <v>131</v>
      </c>
      <c r="B756" s="454" t="s">
        <v>299</v>
      </c>
      <c r="C756" s="454" t="s">
        <v>118</v>
      </c>
      <c r="D756" s="454" t="s">
        <v>1208</v>
      </c>
      <c r="E756" s="454" t="s">
        <v>132</v>
      </c>
      <c r="F756" s="451">
        <f>F757</f>
        <v>1380</v>
      </c>
      <c r="G756" s="451">
        <f>G757</f>
        <v>1380</v>
      </c>
    </row>
    <row r="757" spans="1:7" ht="47.25" x14ac:dyDescent="0.25">
      <c r="A757" s="458" t="s">
        <v>133</v>
      </c>
      <c r="B757" s="454" t="s">
        <v>299</v>
      </c>
      <c r="C757" s="454" t="s">
        <v>118</v>
      </c>
      <c r="D757" s="454" t="s">
        <v>1208</v>
      </c>
      <c r="E757" s="454" t="s">
        <v>134</v>
      </c>
      <c r="F757" s="451">
        <f>'пр.6.1.ведом.22-23 (2)'!G373</f>
        <v>1380</v>
      </c>
      <c r="G757" s="451">
        <f>'пр.6.1.ведом.22-23 (2)'!H373</f>
        <v>1380</v>
      </c>
    </row>
    <row r="758" spans="1:7" ht="47.25" x14ac:dyDescent="0.25">
      <c r="A758" s="456" t="s">
        <v>947</v>
      </c>
      <c r="B758" s="457" t="s">
        <v>299</v>
      </c>
      <c r="C758" s="457" t="s">
        <v>118</v>
      </c>
      <c r="D758" s="457" t="s">
        <v>1209</v>
      </c>
      <c r="E758" s="457"/>
      <c r="F758" s="450">
        <f t="shared" ref="F758:G760" si="73">F759</f>
        <v>875</v>
      </c>
      <c r="G758" s="450">
        <f t="shared" si="73"/>
        <v>875</v>
      </c>
    </row>
    <row r="759" spans="1:7" ht="47.25" x14ac:dyDescent="0.25">
      <c r="A759" s="458" t="s">
        <v>839</v>
      </c>
      <c r="B759" s="454" t="s">
        <v>299</v>
      </c>
      <c r="C759" s="454" t="s">
        <v>118</v>
      </c>
      <c r="D759" s="454" t="s">
        <v>1210</v>
      </c>
      <c r="E759" s="454"/>
      <c r="F759" s="451">
        <f t="shared" si="73"/>
        <v>875</v>
      </c>
      <c r="G759" s="451">
        <f t="shared" si="73"/>
        <v>875</v>
      </c>
    </row>
    <row r="760" spans="1:7" ht="94.5" x14ac:dyDescent="0.25">
      <c r="A760" s="458" t="s">
        <v>127</v>
      </c>
      <c r="B760" s="454" t="s">
        <v>299</v>
      </c>
      <c r="C760" s="454" t="s">
        <v>118</v>
      </c>
      <c r="D760" s="454" t="s">
        <v>1210</v>
      </c>
      <c r="E760" s="454" t="s">
        <v>128</v>
      </c>
      <c r="F760" s="451">
        <f t="shared" si="73"/>
        <v>875</v>
      </c>
      <c r="G760" s="451">
        <f t="shared" si="73"/>
        <v>875</v>
      </c>
    </row>
    <row r="761" spans="1:7" ht="33.75" customHeight="1" x14ac:dyDescent="0.25">
      <c r="A761" s="458" t="s">
        <v>129</v>
      </c>
      <c r="B761" s="454" t="s">
        <v>299</v>
      </c>
      <c r="C761" s="454" t="s">
        <v>118</v>
      </c>
      <c r="D761" s="454" t="s">
        <v>1210</v>
      </c>
      <c r="E761" s="454" t="s">
        <v>209</v>
      </c>
      <c r="F761" s="451">
        <f>'пр.6.1.ведом.22-23 (2)'!G377</f>
        <v>875</v>
      </c>
      <c r="G761" s="451">
        <f>'пр.6.1.ведом.22-23 (2)'!H377</f>
        <v>875</v>
      </c>
    </row>
    <row r="762" spans="1:7" ht="50.25" customHeight="1" x14ac:dyDescent="0.25">
      <c r="A762" s="213" t="s">
        <v>900</v>
      </c>
      <c r="B762" s="457" t="s">
        <v>299</v>
      </c>
      <c r="C762" s="457" t="s">
        <v>118</v>
      </c>
      <c r="D762" s="457" t="s">
        <v>1211</v>
      </c>
      <c r="E762" s="457"/>
      <c r="F762" s="450">
        <f>F763+F766</f>
        <v>2442</v>
      </c>
      <c r="G762" s="450">
        <f>G763+G766</f>
        <v>2442</v>
      </c>
    </row>
    <row r="763" spans="1:7" ht="110.85" customHeight="1" x14ac:dyDescent="0.25">
      <c r="A763" s="31" t="s">
        <v>293</v>
      </c>
      <c r="B763" s="454" t="s">
        <v>299</v>
      </c>
      <c r="C763" s="454" t="s">
        <v>118</v>
      </c>
      <c r="D763" s="454" t="s">
        <v>1406</v>
      </c>
      <c r="E763" s="454"/>
      <c r="F763" s="451">
        <f t="shared" ref="F763:G764" si="74">F764</f>
        <v>2100.6</v>
      </c>
      <c r="G763" s="451">
        <f t="shared" si="74"/>
        <v>2100.6</v>
      </c>
    </row>
    <row r="764" spans="1:7" ht="100.15" customHeight="1" x14ac:dyDescent="0.25">
      <c r="A764" s="458" t="s">
        <v>127</v>
      </c>
      <c r="B764" s="454" t="s">
        <v>299</v>
      </c>
      <c r="C764" s="454" t="s">
        <v>118</v>
      </c>
      <c r="D764" s="454" t="s">
        <v>1406</v>
      </c>
      <c r="E764" s="454" t="s">
        <v>128</v>
      </c>
      <c r="F764" s="451">
        <f t="shared" si="74"/>
        <v>2100.6</v>
      </c>
      <c r="G764" s="451">
        <f t="shared" si="74"/>
        <v>2100.6</v>
      </c>
    </row>
    <row r="765" spans="1:7" ht="40.15" customHeight="1" x14ac:dyDescent="0.25">
      <c r="A765" s="458" t="s">
        <v>208</v>
      </c>
      <c r="B765" s="454" t="s">
        <v>299</v>
      </c>
      <c r="C765" s="454" t="s">
        <v>118</v>
      </c>
      <c r="D765" s="454" t="s">
        <v>1406</v>
      </c>
      <c r="E765" s="454" t="s">
        <v>209</v>
      </c>
      <c r="F765" s="451">
        <f>'пр.6.1.ведом.22-23 (2)'!G381</f>
        <v>2100.6</v>
      </c>
      <c r="G765" s="451">
        <f>'пр.6.1.ведом.22-23 (2)'!H381</f>
        <v>2100.6</v>
      </c>
    </row>
    <row r="766" spans="1:7" ht="78" customHeight="1" x14ac:dyDescent="0.25">
      <c r="A766" s="458" t="s">
        <v>331</v>
      </c>
      <c r="B766" s="454" t="s">
        <v>299</v>
      </c>
      <c r="C766" s="454" t="s">
        <v>118</v>
      </c>
      <c r="D766" s="454" t="s">
        <v>1292</v>
      </c>
      <c r="E766" s="454"/>
      <c r="F766" s="459">
        <f>F767</f>
        <v>341.4</v>
      </c>
      <c r="G766" s="459">
        <f>G767</f>
        <v>341.4</v>
      </c>
    </row>
    <row r="767" spans="1:7" ht="98.45" customHeight="1" x14ac:dyDescent="0.25">
      <c r="A767" s="458" t="s">
        <v>127</v>
      </c>
      <c r="B767" s="454" t="s">
        <v>299</v>
      </c>
      <c r="C767" s="454" t="s">
        <v>118</v>
      </c>
      <c r="D767" s="454" t="s">
        <v>1292</v>
      </c>
      <c r="E767" s="454" t="s">
        <v>128</v>
      </c>
      <c r="F767" s="459">
        <f>F768</f>
        <v>341.4</v>
      </c>
      <c r="G767" s="459">
        <f>G768</f>
        <v>341.4</v>
      </c>
    </row>
    <row r="768" spans="1:7" ht="50.25" customHeight="1" x14ac:dyDescent="0.25">
      <c r="A768" s="458" t="s">
        <v>208</v>
      </c>
      <c r="B768" s="454" t="s">
        <v>299</v>
      </c>
      <c r="C768" s="454" t="s">
        <v>118</v>
      </c>
      <c r="D768" s="454" t="s">
        <v>1292</v>
      </c>
      <c r="E768" s="454" t="s">
        <v>209</v>
      </c>
      <c r="F768" s="459">
        <f>'пр.6.1.ведом.22-23 (2)'!G384</f>
        <v>341.4</v>
      </c>
      <c r="G768" s="459">
        <f>'пр.6.1.ведом.22-23 (2)'!H384</f>
        <v>341.4</v>
      </c>
    </row>
    <row r="769" spans="1:7" ht="31.5" x14ac:dyDescent="0.25">
      <c r="A769" s="456" t="s">
        <v>902</v>
      </c>
      <c r="B769" s="457" t="s">
        <v>299</v>
      </c>
      <c r="C769" s="457" t="s">
        <v>118</v>
      </c>
      <c r="D769" s="457" t="s">
        <v>1216</v>
      </c>
      <c r="E769" s="457"/>
      <c r="F769" s="455">
        <f t="shared" ref="F769:G771" si="75">F770</f>
        <v>50</v>
      </c>
      <c r="G769" s="455">
        <f t="shared" si="75"/>
        <v>50</v>
      </c>
    </row>
    <row r="770" spans="1:7" ht="31.5" x14ac:dyDescent="0.25">
      <c r="A770" s="458" t="s">
        <v>821</v>
      </c>
      <c r="B770" s="454" t="s">
        <v>299</v>
      </c>
      <c r="C770" s="454" t="s">
        <v>118</v>
      </c>
      <c r="D770" s="454" t="s">
        <v>1217</v>
      </c>
      <c r="E770" s="454"/>
      <c r="F770" s="459">
        <f t="shared" si="75"/>
        <v>50</v>
      </c>
      <c r="G770" s="459">
        <f t="shared" si="75"/>
        <v>50</v>
      </c>
    </row>
    <row r="771" spans="1:7" ht="31.5" x14ac:dyDescent="0.25">
      <c r="A771" s="458" t="s">
        <v>131</v>
      </c>
      <c r="B771" s="454" t="s">
        <v>299</v>
      </c>
      <c r="C771" s="454" t="s">
        <v>118</v>
      </c>
      <c r="D771" s="454" t="s">
        <v>1217</v>
      </c>
      <c r="E771" s="454" t="s">
        <v>132</v>
      </c>
      <c r="F771" s="459">
        <f t="shared" si="75"/>
        <v>50</v>
      </c>
      <c r="G771" s="459">
        <f t="shared" si="75"/>
        <v>50</v>
      </c>
    </row>
    <row r="772" spans="1:7" ht="47.25" x14ac:dyDescent="0.25">
      <c r="A772" s="458" t="s">
        <v>133</v>
      </c>
      <c r="B772" s="454" t="s">
        <v>299</v>
      </c>
      <c r="C772" s="454" t="s">
        <v>118</v>
      </c>
      <c r="D772" s="454" t="s">
        <v>1217</v>
      </c>
      <c r="E772" s="454" t="s">
        <v>134</v>
      </c>
      <c r="F772" s="459">
        <f>'пр.6.1.ведом.22-23 (2)'!G388</f>
        <v>50</v>
      </c>
      <c r="G772" s="459">
        <f>'пр.6.1.ведом.22-23 (2)'!H388</f>
        <v>50</v>
      </c>
    </row>
    <row r="773" spans="1:7" ht="31.5" x14ac:dyDescent="0.25">
      <c r="A773" s="456" t="s">
        <v>1010</v>
      </c>
      <c r="B773" s="457" t="s">
        <v>299</v>
      </c>
      <c r="C773" s="457" t="s">
        <v>118</v>
      </c>
      <c r="D773" s="457" t="s">
        <v>1218</v>
      </c>
      <c r="E773" s="457"/>
      <c r="F773" s="455">
        <f t="shared" ref="F773:G775" si="76">F774</f>
        <v>68.7</v>
      </c>
      <c r="G773" s="455">
        <f t="shared" si="76"/>
        <v>68.7</v>
      </c>
    </row>
    <row r="774" spans="1:7" ht="47.25" x14ac:dyDescent="0.25">
      <c r="A774" s="458" t="s">
        <v>1489</v>
      </c>
      <c r="B774" s="454" t="s">
        <v>299</v>
      </c>
      <c r="C774" s="454" t="s">
        <v>118</v>
      </c>
      <c r="D774" s="454" t="s">
        <v>1219</v>
      </c>
      <c r="E774" s="454"/>
      <c r="F774" s="459">
        <f t="shared" si="76"/>
        <v>68.7</v>
      </c>
      <c r="G774" s="459">
        <f t="shared" si="76"/>
        <v>68.7</v>
      </c>
    </row>
    <row r="775" spans="1:7" ht="31.5" x14ac:dyDescent="0.25">
      <c r="A775" s="458" t="s">
        <v>131</v>
      </c>
      <c r="B775" s="454" t="s">
        <v>299</v>
      </c>
      <c r="C775" s="454" t="s">
        <v>118</v>
      </c>
      <c r="D775" s="454" t="s">
        <v>1219</v>
      </c>
      <c r="E775" s="454" t="s">
        <v>132</v>
      </c>
      <c r="F775" s="459">
        <f t="shared" si="76"/>
        <v>68.7</v>
      </c>
      <c r="G775" s="459">
        <f t="shared" si="76"/>
        <v>68.7</v>
      </c>
    </row>
    <row r="776" spans="1:7" ht="47.25" x14ac:dyDescent="0.25">
      <c r="A776" s="458" t="s">
        <v>133</v>
      </c>
      <c r="B776" s="454" t="s">
        <v>299</v>
      </c>
      <c r="C776" s="454" t="s">
        <v>118</v>
      </c>
      <c r="D776" s="454" t="s">
        <v>1219</v>
      </c>
      <c r="E776" s="454" t="s">
        <v>134</v>
      </c>
      <c r="F776" s="459">
        <f>'пр.6.1.ведом.22-23 (2)'!G392</f>
        <v>68.7</v>
      </c>
      <c r="G776" s="459">
        <f>'пр.6.1.ведом.22-23 (2)'!H392</f>
        <v>68.7</v>
      </c>
    </row>
    <row r="777" spans="1:7" ht="31.5" x14ac:dyDescent="0.25">
      <c r="A777" s="206" t="s">
        <v>1180</v>
      </c>
      <c r="B777" s="457" t="s">
        <v>299</v>
      </c>
      <c r="C777" s="457" t="s">
        <v>118</v>
      </c>
      <c r="D777" s="457" t="s">
        <v>1312</v>
      </c>
      <c r="E777" s="457"/>
      <c r="F777" s="455">
        <f t="shared" ref="F777:G777" si="77">F778</f>
        <v>300</v>
      </c>
      <c r="G777" s="455">
        <f t="shared" si="77"/>
        <v>1500</v>
      </c>
    </row>
    <row r="778" spans="1:7" ht="63" x14ac:dyDescent="0.25">
      <c r="A778" s="98" t="s">
        <v>1168</v>
      </c>
      <c r="B778" s="454" t="s">
        <v>299</v>
      </c>
      <c r="C778" s="454" t="s">
        <v>118</v>
      </c>
      <c r="D778" s="454" t="s">
        <v>1215</v>
      </c>
      <c r="E778" s="454"/>
      <c r="F778" s="459">
        <f>F779</f>
        <v>300</v>
      </c>
      <c r="G778" s="459">
        <f>G779</f>
        <v>1500</v>
      </c>
    </row>
    <row r="779" spans="1:7" ht="31.5" x14ac:dyDescent="0.25">
      <c r="A779" s="458" t="s">
        <v>131</v>
      </c>
      <c r="B779" s="454" t="s">
        <v>299</v>
      </c>
      <c r="C779" s="454" t="s">
        <v>118</v>
      </c>
      <c r="D779" s="454" t="s">
        <v>1215</v>
      </c>
      <c r="E779" s="454" t="s">
        <v>132</v>
      </c>
      <c r="F779" s="459">
        <f>F780</f>
        <v>300</v>
      </c>
      <c r="G779" s="459">
        <f>G780</f>
        <v>1500</v>
      </c>
    </row>
    <row r="780" spans="1:7" ht="47.25" x14ac:dyDescent="0.25">
      <c r="A780" s="458" t="s">
        <v>133</v>
      </c>
      <c r="B780" s="454" t="s">
        <v>299</v>
      </c>
      <c r="C780" s="454" t="s">
        <v>118</v>
      </c>
      <c r="D780" s="454" t="s">
        <v>1215</v>
      </c>
      <c r="E780" s="454" t="s">
        <v>134</v>
      </c>
      <c r="F780" s="459">
        <f>'пр.6.1.ведом.22-23 (2)'!G396</f>
        <v>300</v>
      </c>
      <c r="G780" s="459">
        <f>'пр.6.1.ведом.22-23 (2)'!H396</f>
        <v>1500</v>
      </c>
    </row>
    <row r="781" spans="1:7" ht="31.5" hidden="1" x14ac:dyDescent="0.25">
      <c r="A781" s="328" t="s">
        <v>1334</v>
      </c>
      <c r="B781" s="457" t="s">
        <v>299</v>
      </c>
      <c r="C781" s="457" t="s">
        <v>118</v>
      </c>
      <c r="D781" s="457"/>
      <c r="E781" s="457"/>
      <c r="F781" s="455">
        <f t="shared" ref="F781:G783" si="78">F782</f>
        <v>0</v>
      </c>
      <c r="G781" s="455">
        <f t="shared" si="78"/>
        <v>0</v>
      </c>
    </row>
    <row r="782" spans="1:7" ht="15.75" hidden="1" x14ac:dyDescent="0.25">
      <c r="A782" s="458"/>
      <c r="B782" s="454" t="s">
        <v>299</v>
      </c>
      <c r="C782" s="454" t="s">
        <v>118</v>
      </c>
      <c r="D782" s="454"/>
      <c r="E782" s="454"/>
      <c r="F782" s="459">
        <f t="shared" si="78"/>
        <v>0</v>
      </c>
      <c r="G782" s="459">
        <f t="shared" si="78"/>
        <v>0</v>
      </c>
    </row>
    <row r="783" spans="1:7" ht="15.75" hidden="1" x14ac:dyDescent="0.25">
      <c r="A783" s="458"/>
      <c r="B783" s="454" t="s">
        <v>299</v>
      </c>
      <c r="C783" s="454" t="s">
        <v>118</v>
      </c>
      <c r="D783" s="454"/>
      <c r="E783" s="454" t="s">
        <v>132</v>
      </c>
      <c r="F783" s="459">
        <f t="shared" si="78"/>
        <v>0</v>
      </c>
      <c r="G783" s="459">
        <f t="shared" si="78"/>
        <v>0</v>
      </c>
    </row>
    <row r="784" spans="1:7" ht="15.75" hidden="1" x14ac:dyDescent="0.25">
      <c r="A784" s="458"/>
      <c r="B784" s="454" t="s">
        <v>299</v>
      </c>
      <c r="C784" s="454" t="s">
        <v>118</v>
      </c>
      <c r="D784" s="454"/>
      <c r="E784" s="454" t="s">
        <v>134</v>
      </c>
      <c r="F784" s="459">
        <f>'пр.6.1.ведом.22-23 (2)'!G400</f>
        <v>0</v>
      </c>
      <c r="G784" s="459">
        <f>'пр.6.1.ведом.22-23 (2)'!H400</f>
        <v>0</v>
      </c>
    </row>
    <row r="785" spans="1:7" ht="63" x14ac:dyDescent="0.25">
      <c r="A785" s="34" t="s">
        <v>1360</v>
      </c>
      <c r="B785" s="457" t="s">
        <v>299</v>
      </c>
      <c r="C785" s="457" t="s">
        <v>118</v>
      </c>
      <c r="D785" s="457" t="s">
        <v>324</v>
      </c>
      <c r="E785" s="457"/>
      <c r="F785" s="362">
        <f t="shared" ref="F785:G788" si="79">F786</f>
        <v>10</v>
      </c>
      <c r="G785" s="362">
        <f t="shared" si="79"/>
        <v>0</v>
      </c>
    </row>
    <row r="786" spans="1:7" ht="63" x14ac:dyDescent="0.25">
      <c r="A786" s="34" t="s">
        <v>1025</v>
      </c>
      <c r="B786" s="457" t="s">
        <v>299</v>
      </c>
      <c r="C786" s="457" t="s">
        <v>118</v>
      </c>
      <c r="D786" s="457" t="s">
        <v>934</v>
      </c>
      <c r="E786" s="457"/>
      <c r="F786" s="450">
        <f t="shared" si="79"/>
        <v>10</v>
      </c>
      <c r="G786" s="450">
        <f t="shared" si="79"/>
        <v>0</v>
      </c>
    </row>
    <row r="787" spans="1:7" ht="47.25" x14ac:dyDescent="0.25">
      <c r="A787" s="31" t="s">
        <v>1080</v>
      </c>
      <c r="B787" s="454" t="s">
        <v>299</v>
      </c>
      <c r="C787" s="454" t="s">
        <v>118</v>
      </c>
      <c r="D787" s="454" t="s">
        <v>1026</v>
      </c>
      <c r="E787" s="454"/>
      <c r="F787" s="451">
        <f t="shared" si="79"/>
        <v>10</v>
      </c>
      <c r="G787" s="451">
        <f t="shared" si="79"/>
        <v>0</v>
      </c>
    </row>
    <row r="788" spans="1:7" ht="31.5" x14ac:dyDescent="0.25">
      <c r="A788" s="458" t="s">
        <v>131</v>
      </c>
      <c r="B788" s="454" t="s">
        <v>299</v>
      </c>
      <c r="C788" s="454" t="s">
        <v>118</v>
      </c>
      <c r="D788" s="454" t="s">
        <v>1026</v>
      </c>
      <c r="E788" s="454" t="s">
        <v>132</v>
      </c>
      <c r="F788" s="451">
        <f t="shared" si="79"/>
        <v>10</v>
      </c>
      <c r="G788" s="451">
        <f t="shared" si="79"/>
        <v>0</v>
      </c>
    </row>
    <row r="789" spans="1:7" ht="47.25" x14ac:dyDescent="0.25">
      <c r="A789" s="458" t="s">
        <v>133</v>
      </c>
      <c r="B789" s="454" t="s">
        <v>299</v>
      </c>
      <c r="C789" s="454" t="s">
        <v>118</v>
      </c>
      <c r="D789" s="454" t="s">
        <v>1026</v>
      </c>
      <c r="E789" s="454" t="s">
        <v>134</v>
      </c>
      <c r="F789" s="451">
        <f>'пр.6.1.ведом.22-23 (2)'!G405</f>
        <v>10</v>
      </c>
      <c r="G789" s="451">
        <f>'пр.6.1.ведом.22-23 (2)'!H405</f>
        <v>0</v>
      </c>
    </row>
    <row r="790" spans="1:7" ht="63" x14ac:dyDescent="0.25">
      <c r="A790" s="462" t="s">
        <v>1355</v>
      </c>
      <c r="B790" s="457" t="s">
        <v>299</v>
      </c>
      <c r="C790" s="457" t="s">
        <v>118</v>
      </c>
      <c r="D790" s="457" t="s">
        <v>705</v>
      </c>
      <c r="E790" s="465"/>
      <c r="F790" s="450">
        <f t="shared" ref="F790:G793" si="80">F791</f>
        <v>878.7</v>
      </c>
      <c r="G790" s="450">
        <f t="shared" si="80"/>
        <v>913.9</v>
      </c>
    </row>
    <row r="791" spans="1:7" ht="63" x14ac:dyDescent="0.25">
      <c r="A791" s="462" t="s">
        <v>890</v>
      </c>
      <c r="B791" s="457" t="s">
        <v>299</v>
      </c>
      <c r="C791" s="457" t="s">
        <v>118</v>
      </c>
      <c r="D791" s="457" t="s">
        <v>888</v>
      </c>
      <c r="E791" s="465"/>
      <c r="F791" s="450">
        <f t="shared" si="80"/>
        <v>878.7</v>
      </c>
      <c r="G791" s="450">
        <f t="shared" si="80"/>
        <v>913.9</v>
      </c>
    </row>
    <row r="792" spans="1:7" ht="47.25" x14ac:dyDescent="0.25">
      <c r="A792" s="98" t="s">
        <v>1022</v>
      </c>
      <c r="B792" s="454" t="s">
        <v>299</v>
      </c>
      <c r="C792" s="454" t="s">
        <v>118</v>
      </c>
      <c r="D792" s="454" t="s">
        <v>889</v>
      </c>
      <c r="E792" s="460"/>
      <c r="F792" s="451">
        <f t="shared" si="80"/>
        <v>878.7</v>
      </c>
      <c r="G792" s="451">
        <f t="shared" si="80"/>
        <v>913.9</v>
      </c>
    </row>
    <row r="793" spans="1:7" ht="31.5" x14ac:dyDescent="0.25">
      <c r="A793" s="458" t="s">
        <v>131</v>
      </c>
      <c r="B793" s="454" t="s">
        <v>299</v>
      </c>
      <c r="C793" s="454" t="s">
        <v>118</v>
      </c>
      <c r="D793" s="454" t="s">
        <v>889</v>
      </c>
      <c r="E793" s="460" t="s">
        <v>132</v>
      </c>
      <c r="F793" s="451">
        <f t="shared" si="80"/>
        <v>878.7</v>
      </c>
      <c r="G793" s="451">
        <f t="shared" si="80"/>
        <v>913.9</v>
      </c>
    </row>
    <row r="794" spans="1:7" ht="47.25" x14ac:dyDescent="0.25">
      <c r="A794" s="458" t="s">
        <v>133</v>
      </c>
      <c r="B794" s="454" t="s">
        <v>299</v>
      </c>
      <c r="C794" s="454" t="s">
        <v>118</v>
      </c>
      <c r="D794" s="454" t="s">
        <v>889</v>
      </c>
      <c r="E794" s="460" t="s">
        <v>134</v>
      </c>
      <c r="F794" s="451">
        <f>'пр.6.1.ведом.22-23 (2)'!G410</f>
        <v>878.7</v>
      </c>
      <c r="G794" s="451">
        <f>'пр.6.1.ведом.22-23 (2)'!H410</f>
        <v>913.9</v>
      </c>
    </row>
    <row r="795" spans="1:7" ht="31.5" x14ac:dyDescent="0.25">
      <c r="A795" s="456" t="s">
        <v>333</v>
      </c>
      <c r="B795" s="457" t="s">
        <v>299</v>
      </c>
      <c r="C795" s="457" t="s">
        <v>150</v>
      </c>
      <c r="D795" s="457"/>
      <c r="E795" s="460"/>
      <c r="F795" s="450">
        <f>F796+F806+F818+F824</f>
        <v>18566.400000000001</v>
      </c>
      <c r="G795" s="450">
        <f>G796+G806+G818+G824</f>
        <v>18595.400000000001</v>
      </c>
    </row>
    <row r="796" spans="1:7" ht="31.5" x14ac:dyDescent="0.25">
      <c r="A796" s="456" t="s">
        <v>917</v>
      </c>
      <c r="B796" s="457" t="s">
        <v>299</v>
      </c>
      <c r="C796" s="457" t="s">
        <v>150</v>
      </c>
      <c r="D796" s="457" t="s">
        <v>858</v>
      </c>
      <c r="E796" s="460"/>
      <c r="F796" s="450">
        <f>F797</f>
        <v>7291.6</v>
      </c>
      <c r="G796" s="450">
        <f>G797</f>
        <v>7291.6</v>
      </c>
    </row>
    <row r="797" spans="1:7" ht="15.75" x14ac:dyDescent="0.25">
      <c r="A797" s="456" t="s">
        <v>918</v>
      </c>
      <c r="B797" s="457" t="s">
        <v>299</v>
      </c>
      <c r="C797" s="457" t="s">
        <v>150</v>
      </c>
      <c r="D797" s="457" t="s">
        <v>859</v>
      </c>
      <c r="E797" s="460"/>
      <c r="F797" s="450">
        <f>F798+F803</f>
        <v>7291.6</v>
      </c>
      <c r="G797" s="450">
        <f>G798+G803</f>
        <v>7291.6</v>
      </c>
    </row>
    <row r="798" spans="1:7" ht="31.5" x14ac:dyDescent="0.25">
      <c r="A798" s="458" t="s">
        <v>897</v>
      </c>
      <c r="B798" s="454" t="s">
        <v>299</v>
      </c>
      <c r="C798" s="454" t="s">
        <v>150</v>
      </c>
      <c r="D798" s="454" t="s">
        <v>860</v>
      </c>
      <c r="E798" s="460"/>
      <c r="F798" s="451">
        <f>F799</f>
        <v>7015.6</v>
      </c>
      <c r="G798" s="451">
        <f>G799</f>
        <v>7015.6</v>
      </c>
    </row>
    <row r="799" spans="1:7" ht="94.5" x14ac:dyDescent="0.25">
      <c r="A799" s="458" t="s">
        <v>127</v>
      </c>
      <c r="B799" s="454" t="s">
        <v>299</v>
      </c>
      <c r="C799" s="454" t="s">
        <v>150</v>
      </c>
      <c r="D799" s="454" t="s">
        <v>860</v>
      </c>
      <c r="E799" s="460" t="s">
        <v>128</v>
      </c>
      <c r="F799" s="451">
        <f>F800</f>
        <v>7015.6</v>
      </c>
      <c r="G799" s="451">
        <f>G800</f>
        <v>7015.6</v>
      </c>
    </row>
    <row r="800" spans="1:7" ht="31.5" x14ac:dyDescent="0.25">
      <c r="A800" s="458" t="s">
        <v>129</v>
      </c>
      <c r="B800" s="454" t="s">
        <v>299</v>
      </c>
      <c r="C800" s="454" t="s">
        <v>150</v>
      </c>
      <c r="D800" s="454" t="s">
        <v>860</v>
      </c>
      <c r="E800" s="461" t="s">
        <v>130</v>
      </c>
      <c r="F800" s="451">
        <f>'пр.6.1.ведом.22-23 (2)'!G416</f>
        <v>7015.6</v>
      </c>
      <c r="G800" s="451">
        <f>'пр.6.1.ведом.22-23 (2)'!H416</f>
        <v>7015.6</v>
      </c>
    </row>
    <row r="801" spans="1:7" ht="31.5" hidden="1" x14ac:dyDescent="0.25">
      <c r="A801" s="458" t="s">
        <v>131</v>
      </c>
      <c r="B801" s="454" t="s">
        <v>299</v>
      </c>
      <c r="C801" s="454" t="s">
        <v>150</v>
      </c>
      <c r="D801" s="454" t="s">
        <v>860</v>
      </c>
      <c r="E801" s="461" t="s">
        <v>132</v>
      </c>
      <c r="F801" s="451">
        <f>'[1]Пр.4 Рд,пр, ЦС,ВР 21'!F800</f>
        <v>0</v>
      </c>
      <c r="G801" s="451">
        <f>'[1]Пр.4 Рд,пр, ЦС,ВР 21'!G800</f>
        <v>0</v>
      </c>
    </row>
    <row r="802" spans="1:7" ht="47.25" hidden="1" x14ac:dyDescent="0.25">
      <c r="A802" s="458" t="s">
        <v>133</v>
      </c>
      <c r="B802" s="454" t="s">
        <v>299</v>
      </c>
      <c r="C802" s="454" t="s">
        <v>150</v>
      </c>
      <c r="D802" s="454" t="s">
        <v>860</v>
      </c>
      <c r="E802" s="461" t="s">
        <v>134</v>
      </c>
      <c r="F802" s="451">
        <f>'[1]Пр.4 Рд,пр, ЦС,ВР 21'!F801</f>
        <v>0</v>
      </c>
      <c r="G802" s="451">
        <f>'[1]Пр.4 Рд,пр, ЦС,ВР 21'!G801</f>
        <v>0</v>
      </c>
    </row>
    <row r="803" spans="1:7" ht="47.25" x14ac:dyDescent="0.25">
      <c r="A803" s="458" t="s">
        <v>839</v>
      </c>
      <c r="B803" s="454" t="s">
        <v>299</v>
      </c>
      <c r="C803" s="454" t="s">
        <v>150</v>
      </c>
      <c r="D803" s="454" t="s">
        <v>862</v>
      </c>
      <c r="E803" s="461"/>
      <c r="F803" s="451">
        <f>F804</f>
        <v>276</v>
      </c>
      <c r="G803" s="451">
        <f>G804</f>
        <v>276</v>
      </c>
    </row>
    <row r="804" spans="1:7" ht="94.5" x14ac:dyDescent="0.25">
      <c r="A804" s="458" t="s">
        <v>127</v>
      </c>
      <c r="B804" s="454" t="s">
        <v>299</v>
      </c>
      <c r="C804" s="454" t="s">
        <v>150</v>
      </c>
      <c r="D804" s="454" t="s">
        <v>862</v>
      </c>
      <c r="E804" s="461" t="s">
        <v>128</v>
      </c>
      <c r="F804" s="451">
        <f>F805</f>
        <v>276</v>
      </c>
      <c r="G804" s="451">
        <f>G805</f>
        <v>276</v>
      </c>
    </row>
    <row r="805" spans="1:7" ht="31.5" x14ac:dyDescent="0.25">
      <c r="A805" s="458" t="s">
        <v>129</v>
      </c>
      <c r="B805" s="454" t="s">
        <v>299</v>
      </c>
      <c r="C805" s="454" t="s">
        <v>150</v>
      </c>
      <c r="D805" s="454" t="s">
        <v>862</v>
      </c>
      <c r="E805" s="461" t="s">
        <v>130</v>
      </c>
      <c r="F805" s="451">
        <f>'пр.6.1.ведом.22-23 (2)'!G421</f>
        <v>276</v>
      </c>
      <c r="G805" s="451">
        <f>'пр.6.1.ведом.22-23 (2)'!H421</f>
        <v>276</v>
      </c>
    </row>
    <row r="806" spans="1:7" ht="15.75" x14ac:dyDescent="0.25">
      <c r="A806" s="456" t="s">
        <v>926</v>
      </c>
      <c r="B806" s="457" t="s">
        <v>299</v>
      </c>
      <c r="C806" s="457" t="s">
        <v>150</v>
      </c>
      <c r="D806" s="457" t="s">
        <v>866</v>
      </c>
      <c r="E806" s="461"/>
      <c r="F806" s="450">
        <f t="shared" ref="F806:G806" si="81">F807</f>
        <v>11014.8</v>
      </c>
      <c r="G806" s="450">
        <f t="shared" si="81"/>
        <v>11014.8</v>
      </c>
    </row>
    <row r="807" spans="1:7" ht="36.75" customHeight="1" x14ac:dyDescent="0.25">
      <c r="A807" s="456" t="s">
        <v>929</v>
      </c>
      <c r="B807" s="457" t="s">
        <v>299</v>
      </c>
      <c r="C807" s="457" t="s">
        <v>150</v>
      </c>
      <c r="D807" s="457" t="s">
        <v>914</v>
      </c>
      <c r="E807" s="461"/>
      <c r="F807" s="450">
        <f>F808+F815</f>
        <v>11014.8</v>
      </c>
      <c r="G807" s="450">
        <f>G808+G815</f>
        <v>11014.8</v>
      </c>
    </row>
    <row r="808" spans="1:7" ht="31.5" x14ac:dyDescent="0.25">
      <c r="A808" s="458" t="s">
        <v>903</v>
      </c>
      <c r="B808" s="454" t="s">
        <v>299</v>
      </c>
      <c r="C808" s="454" t="s">
        <v>150</v>
      </c>
      <c r="D808" s="454" t="s">
        <v>915</v>
      </c>
      <c r="E808" s="461"/>
      <c r="F808" s="451">
        <f>F809+F811+F813</f>
        <v>10804.8</v>
      </c>
      <c r="G808" s="451">
        <f>G809+G811+G813</f>
        <v>10804.8</v>
      </c>
    </row>
    <row r="809" spans="1:7" ht="94.5" x14ac:dyDescent="0.25">
      <c r="A809" s="458" t="s">
        <v>127</v>
      </c>
      <c r="B809" s="454" t="s">
        <v>299</v>
      </c>
      <c r="C809" s="454" t="s">
        <v>150</v>
      </c>
      <c r="D809" s="454" t="s">
        <v>915</v>
      </c>
      <c r="E809" s="461" t="s">
        <v>128</v>
      </c>
      <c r="F809" s="451">
        <f>F810</f>
        <v>8853.7999999999993</v>
      </c>
      <c r="G809" s="451">
        <f>G810</f>
        <v>8853.7999999999993</v>
      </c>
    </row>
    <row r="810" spans="1:7" ht="31.5" x14ac:dyDescent="0.25">
      <c r="A810" s="458" t="s">
        <v>342</v>
      </c>
      <c r="B810" s="454" t="s">
        <v>299</v>
      </c>
      <c r="C810" s="454" t="s">
        <v>150</v>
      </c>
      <c r="D810" s="454" t="s">
        <v>915</v>
      </c>
      <c r="E810" s="461" t="s">
        <v>209</v>
      </c>
      <c r="F810" s="451">
        <f>'пр.6.1.ведом.22-23 (2)'!G426</f>
        <v>8853.7999999999993</v>
      </c>
      <c r="G810" s="451">
        <f>'пр.6.1.ведом.22-23 (2)'!H426</f>
        <v>8853.7999999999993</v>
      </c>
    </row>
    <row r="811" spans="1:7" ht="31.5" x14ac:dyDescent="0.25">
      <c r="A811" s="458" t="s">
        <v>131</v>
      </c>
      <c r="B811" s="454" t="s">
        <v>299</v>
      </c>
      <c r="C811" s="454" t="s">
        <v>150</v>
      </c>
      <c r="D811" s="454" t="s">
        <v>915</v>
      </c>
      <c r="E811" s="461" t="s">
        <v>132</v>
      </c>
      <c r="F811" s="451">
        <f>F812</f>
        <v>1937</v>
      </c>
      <c r="G811" s="451">
        <f>G812</f>
        <v>1937</v>
      </c>
    </row>
    <row r="812" spans="1:7" ht="47.25" x14ac:dyDescent="0.25">
      <c r="A812" s="458" t="s">
        <v>133</v>
      </c>
      <c r="B812" s="454" t="s">
        <v>299</v>
      </c>
      <c r="C812" s="454" t="s">
        <v>150</v>
      </c>
      <c r="D812" s="454" t="s">
        <v>915</v>
      </c>
      <c r="E812" s="461" t="s">
        <v>134</v>
      </c>
      <c r="F812" s="451">
        <f>'пр.6.1.ведом.22-23 (2)'!G428</f>
        <v>1937</v>
      </c>
      <c r="G812" s="451">
        <f>'пр.6.1.ведом.22-23 (2)'!H428</f>
        <v>1937</v>
      </c>
    </row>
    <row r="813" spans="1:7" ht="15.75" x14ac:dyDescent="0.25">
      <c r="A813" s="458" t="s">
        <v>135</v>
      </c>
      <c r="B813" s="454" t="s">
        <v>299</v>
      </c>
      <c r="C813" s="454" t="s">
        <v>150</v>
      </c>
      <c r="D813" s="454" t="s">
        <v>915</v>
      </c>
      <c r="E813" s="461" t="s">
        <v>145</v>
      </c>
      <c r="F813" s="451">
        <f>F814</f>
        <v>14</v>
      </c>
      <c r="G813" s="451">
        <f>G814</f>
        <v>14</v>
      </c>
    </row>
    <row r="814" spans="1:7" ht="15.75" x14ac:dyDescent="0.25">
      <c r="A814" s="458" t="s">
        <v>568</v>
      </c>
      <c r="B814" s="454" t="s">
        <v>299</v>
      </c>
      <c r="C814" s="454" t="s">
        <v>150</v>
      </c>
      <c r="D814" s="454" t="s">
        <v>915</v>
      </c>
      <c r="E814" s="461" t="s">
        <v>138</v>
      </c>
      <c r="F814" s="451">
        <f>'пр.6.1.ведом.22-23 (2)'!G430</f>
        <v>14</v>
      </c>
      <c r="G814" s="451">
        <f>'пр.6.1.ведом.22-23 (2)'!H430</f>
        <v>14</v>
      </c>
    </row>
    <row r="815" spans="1:7" ht="47.25" x14ac:dyDescent="0.25">
      <c r="A815" s="458" t="s">
        <v>839</v>
      </c>
      <c r="B815" s="454" t="s">
        <v>299</v>
      </c>
      <c r="C815" s="454" t="s">
        <v>150</v>
      </c>
      <c r="D815" s="454" t="s">
        <v>916</v>
      </c>
      <c r="E815" s="461"/>
      <c r="F815" s="451">
        <f>F816</f>
        <v>210</v>
      </c>
      <c r="G815" s="451">
        <f>G816</f>
        <v>210</v>
      </c>
    </row>
    <row r="816" spans="1:7" ht="94.5" x14ac:dyDescent="0.25">
      <c r="A816" s="458" t="s">
        <v>127</v>
      </c>
      <c r="B816" s="454" t="s">
        <v>299</v>
      </c>
      <c r="C816" s="454" t="s">
        <v>150</v>
      </c>
      <c r="D816" s="454" t="s">
        <v>916</v>
      </c>
      <c r="E816" s="461" t="s">
        <v>128</v>
      </c>
      <c r="F816" s="451">
        <f>F817</f>
        <v>210</v>
      </c>
      <c r="G816" s="451">
        <f>G817</f>
        <v>210</v>
      </c>
    </row>
    <row r="817" spans="1:9" ht="31.5" x14ac:dyDescent="0.25">
      <c r="A817" s="458" t="s">
        <v>129</v>
      </c>
      <c r="B817" s="454" t="s">
        <v>299</v>
      </c>
      <c r="C817" s="454" t="s">
        <v>150</v>
      </c>
      <c r="D817" s="454" t="s">
        <v>916</v>
      </c>
      <c r="E817" s="461" t="s">
        <v>209</v>
      </c>
      <c r="F817" s="451">
        <f>'пр.6.1.ведом.22-23 (2)'!G433</f>
        <v>210</v>
      </c>
      <c r="G817" s="451">
        <f>'пр.6.1.ведом.22-23 (2)'!H433</f>
        <v>210</v>
      </c>
    </row>
    <row r="818" spans="1:9" ht="50.25" customHeight="1" x14ac:dyDescent="0.25">
      <c r="A818" s="456" t="s">
        <v>1350</v>
      </c>
      <c r="B818" s="457" t="s">
        <v>299</v>
      </c>
      <c r="C818" s="457" t="s">
        <v>150</v>
      </c>
      <c r="D818" s="457" t="s">
        <v>344</v>
      </c>
      <c r="E818" s="461"/>
      <c r="F818" s="450">
        <f>F819</f>
        <v>260</v>
      </c>
      <c r="G818" s="450">
        <f>G819</f>
        <v>285</v>
      </c>
    </row>
    <row r="819" spans="1:9" ht="54" customHeight="1" x14ac:dyDescent="0.25">
      <c r="A819" s="456" t="s">
        <v>1356</v>
      </c>
      <c r="B819" s="457" t="s">
        <v>299</v>
      </c>
      <c r="C819" s="457" t="s">
        <v>150</v>
      </c>
      <c r="D819" s="457" t="s">
        <v>362</v>
      </c>
      <c r="E819" s="457"/>
      <c r="F819" s="455">
        <f t="shared" ref="F819:G820" si="82">F820</f>
        <v>260</v>
      </c>
      <c r="G819" s="455">
        <f t="shared" si="82"/>
        <v>285</v>
      </c>
    </row>
    <row r="820" spans="1:9" ht="31.5" x14ac:dyDescent="0.25">
      <c r="A820" s="456" t="s">
        <v>997</v>
      </c>
      <c r="B820" s="457" t="s">
        <v>299</v>
      </c>
      <c r="C820" s="457" t="s">
        <v>150</v>
      </c>
      <c r="D820" s="457" t="s">
        <v>1222</v>
      </c>
      <c r="E820" s="457"/>
      <c r="F820" s="455">
        <f t="shared" si="82"/>
        <v>260</v>
      </c>
      <c r="G820" s="455">
        <f t="shared" si="82"/>
        <v>285</v>
      </c>
    </row>
    <row r="821" spans="1:9" ht="31.5" x14ac:dyDescent="0.25">
      <c r="A821" s="458" t="s">
        <v>996</v>
      </c>
      <c r="B821" s="454" t="s">
        <v>299</v>
      </c>
      <c r="C821" s="454" t="s">
        <v>150</v>
      </c>
      <c r="D821" s="454" t="s">
        <v>1223</v>
      </c>
      <c r="E821" s="454"/>
      <c r="F821" s="459">
        <f>F822</f>
        <v>260</v>
      </c>
      <c r="G821" s="459">
        <f>G822</f>
        <v>285</v>
      </c>
    </row>
    <row r="822" spans="1:9" ht="31.5" x14ac:dyDescent="0.25">
      <c r="A822" s="458" t="s">
        <v>131</v>
      </c>
      <c r="B822" s="454" t="s">
        <v>299</v>
      </c>
      <c r="C822" s="454" t="s">
        <v>150</v>
      </c>
      <c r="D822" s="454" t="s">
        <v>1223</v>
      </c>
      <c r="E822" s="454" t="s">
        <v>132</v>
      </c>
      <c r="F822" s="459">
        <f>F823</f>
        <v>260</v>
      </c>
      <c r="G822" s="459">
        <f>G823</f>
        <v>285</v>
      </c>
    </row>
    <row r="823" spans="1:9" ht="47.25" x14ac:dyDescent="0.25">
      <c r="A823" s="458" t="s">
        <v>133</v>
      </c>
      <c r="B823" s="454" t="s">
        <v>299</v>
      </c>
      <c r="C823" s="454" t="s">
        <v>150</v>
      </c>
      <c r="D823" s="454" t="s">
        <v>1223</v>
      </c>
      <c r="E823" s="454" t="s">
        <v>134</v>
      </c>
      <c r="F823" s="459">
        <f>'пр.6.1.ведом.22-23 (2)'!G439</f>
        <v>260</v>
      </c>
      <c r="G823" s="459">
        <f>'пр.6.1.ведом.22-23 (2)'!H439</f>
        <v>285</v>
      </c>
    </row>
    <row r="824" spans="1:9" ht="63" x14ac:dyDescent="0.25">
      <c r="A824" s="34" t="s">
        <v>1439</v>
      </c>
      <c r="B824" s="457" t="s">
        <v>299</v>
      </c>
      <c r="C824" s="457" t="s">
        <v>150</v>
      </c>
      <c r="D824" s="457" t="s">
        <v>324</v>
      </c>
      <c r="E824" s="457"/>
      <c r="F824" s="455">
        <f>F826</f>
        <v>0</v>
      </c>
      <c r="G824" s="455">
        <f>G825</f>
        <v>4</v>
      </c>
    </row>
    <row r="825" spans="1:9" ht="63" x14ac:dyDescent="0.25">
      <c r="A825" s="34" t="s">
        <v>1025</v>
      </c>
      <c r="B825" s="457" t="s">
        <v>299</v>
      </c>
      <c r="C825" s="457" t="s">
        <v>150</v>
      </c>
      <c r="D825" s="457" t="s">
        <v>934</v>
      </c>
      <c r="E825" s="457"/>
      <c r="F825" s="455">
        <f>F828</f>
        <v>0</v>
      </c>
      <c r="G825" s="455">
        <f>G826</f>
        <v>4</v>
      </c>
    </row>
    <row r="826" spans="1:9" ht="47.25" x14ac:dyDescent="0.25">
      <c r="A826" s="31" t="s">
        <v>1081</v>
      </c>
      <c r="B826" s="454" t="s">
        <v>299</v>
      </c>
      <c r="C826" s="454" t="s">
        <v>150</v>
      </c>
      <c r="D826" s="454" t="s">
        <v>1026</v>
      </c>
      <c r="E826" s="454"/>
      <c r="F826" s="459">
        <f>F827</f>
        <v>0</v>
      </c>
      <c r="G826" s="459">
        <f>G827</f>
        <v>4</v>
      </c>
    </row>
    <row r="827" spans="1:9" ht="31.5" x14ac:dyDescent="0.25">
      <c r="A827" s="458" t="s">
        <v>131</v>
      </c>
      <c r="B827" s="454" t="s">
        <v>299</v>
      </c>
      <c r="C827" s="454" t="s">
        <v>150</v>
      </c>
      <c r="D827" s="454" t="s">
        <v>1026</v>
      </c>
      <c r="E827" s="454" t="s">
        <v>132</v>
      </c>
      <c r="F827" s="459">
        <f>F828</f>
        <v>0</v>
      </c>
      <c r="G827" s="459">
        <f>G828</f>
        <v>4</v>
      </c>
    </row>
    <row r="828" spans="1:9" ht="47.25" x14ac:dyDescent="0.25">
      <c r="A828" s="458" t="s">
        <v>133</v>
      </c>
      <c r="B828" s="454" t="s">
        <v>299</v>
      </c>
      <c r="C828" s="454" t="s">
        <v>150</v>
      </c>
      <c r="D828" s="454" t="s">
        <v>1026</v>
      </c>
      <c r="E828" s="454" t="s">
        <v>134</v>
      </c>
      <c r="F828" s="459">
        <f>'пр.6.1.ведом.22-23 (2)'!G444</f>
        <v>0</v>
      </c>
      <c r="G828" s="459">
        <f>'пр.6.1.ведом.22-23 (2)'!H444</f>
        <v>4</v>
      </c>
    </row>
    <row r="829" spans="1:9" ht="15.75" x14ac:dyDescent="0.25">
      <c r="A829" s="456" t="s">
        <v>243</v>
      </c>
      <c r="B829" s="457" t="s">
        <v>244</v>
      </c>
      <c r="C829" s="457"/>
      <c r="D829" s="457"/>
      <c r="E829" s="201"/>
      <c r="F829" s="450">
        <f>F830+F836+F872+F866</f>
        <v>18033.41</v>
      </c>
      <c r="G829" s="450">
        <f>G830+G836+G872+G866</f>
        <v>26348.010000000002</v>
      </c>
      <c r="H829" s="449">
        <v>17738.8</v>
      </c>
      <c r="I829" s="22">
        <v>26058.9</v>
      </c>
    </row>
    <row r="830" spans="1:9" ht="15.75" x14ac:dyDescent="0.25">
      <c r="A830" s="456" t="s">
        <v>245</v>
      </c>
      <c r="B830" s="457" t="s">
        <v>244</v>
      </c>
      <c r="C830" s="457" t="s">
        <v>118</v>
      </c>
      <c r="D830" s="457"/>
      <c r="E830" s="457"/>
      <c r="F830" s="450">
        <f t="shared" ref="F830:G832" si="83">F831</f>
        <v>9815.2999999999993</v>
      </c>
      <c r="G830" s="450">
        <f t="shared" si="83"/>
        <v>9815.2999999999993</v>
      </c>
      <c r="H830" s="227">
        <f>H829-F829</f>
        <v>-294.61000000000058</v>
      </c>
      <c r="I830" s="227">
        <f>I829-G829</f>
        <v>-289.11000000000058</v>
      </c>
    </row>
    <row r="831" spans="1:9" ht="15.75" x14ac:dyDescent="0.25">
      <c r="A831" s="456" t="s">
        <v>141</v>
      </c>
      <c r="B831" s="457" t="s">
        <v>244</v>
      </c>
      <c r="C831" s="457" t="s">
        <v>118</v>
      </c>
      <c r="D831" s="457" t="s">
        <v>866</v>
      </c>
      <c r="E831" s="457"/>
      <c r="F831" s="450">
        <f t="shared" si="83"/>
        <v>9815.2999999999993</v>
      </c>
      <c r="G831" s="450">
        <f t="shared" si="83"/>
        <v>9815.2999999999993</v>
      </c>
    </row>
    <row r="832" spans="1:9" ht="31.5" x14ac:dyDescent="0.25">
      <c r="A832" s="456" t="s">
        <v>870</v>
      </c>
      <c r="B832" s="457" t="s">
        <v>244</v>
      </c>
      <c r="C832" s="457" t="s">
        <v>118</v>
      </c>
      <c r="D832" s="457" t="s">
        <v>865</v>
      </c>
      <c r="E832" s="457"/>
      <c r="F832" s="450">
        <f t="shared" si="83"/>
        <v>9815.2999999999993</v>
      </c>
      <c r="G832" s="450">
        <f t="shared" si="83"/>
        <v>9815.2999999999993</v>
      </c>
    </row>
    <row r="833" spans="1:7" ht="15.75" x14ac:dyDescent="0.25">
      <c r="A833" s="458" t="s">
        <v>246</v>
      </c>
      <c r="B833" s="454" t="s">
        <v>244</v>
      </c>
      <c r="C833" s="454" t="s">
        <v>118</v>
      </c>
      <c r="D833" s="454" t="s">
        <v>881</v>
      </c>
      <c r="E833" s="454"/>
      <c r="F833" s="451">
        <f>F834</f>
        <v>9815.2999999999993</v>
      </c>
      <c r="G833" s="451">
        <f>G834</f>
        <v>9815.2999999999993</v>
      </c>
    </row>
    <row r="834" spans="1:7" ht="31.5" x14ac:dyDescent="0.25">
      <c r="A834" s="458" t="s">
        <v>248</v>
      </c>
      <c r="B834" s="454" t="s">
        <v>244</v>
      </c>
      <c r="C834" s="454" t="s">
        <v>118</v>
      </c>
      <c r="D834" s="454" t="s">
        <v>881</v>
      </c>
      <c r="E834" s="454" t="s">
        <v>249</v>
      </c>
      <c r="F834" s="451">
        <f>F835</f>
        <v>9815.2999999999993</v>
      </c>
      <c r="G834" s="451">
        <f>G835</f>
        <v>9815.2999999999993</v>
      </c>
    </row>
    <row r="835" spans="1:7" ht="31.5" x14ac:dyDescent="0.25">
      <c r="A835" s="458" t="s">
        <v>250</v>
      </c>
      <c r="B835" s="454" t="s">
        <v>244</v>
      </c>
      <c r="C835" s="454" t="s">
        <v>118</v>
      </c>
      <c r="D835" s="454" t="s">
        <v>881</v>
      </c>
      <c r="E835" s="454" t="s">
        <v>251</v>
      </c>
      <c r="F835" s="451">
        <f>'пр.6.1.ведом.22-23 (2)'!G224</f>
        <v>9815.2999999999993</v>
      </c>
      <c r="G835" s="451">
        <f>'пр.6.1.ведом.22-23 (2)'!H224</f>
        <v>9815.2999999999993</v>
      </c>
    </row>
    <row r="836" spans="1:7" ht="15.75" x14ac:dyDescent="0.25">
      <c r="A836" s="456" t="s">
        <v>252</v>
      </c>
      <c r="B836" s="457" t="s">
        <v>244</v>
      </c>
      <c r="C836" s="457" t="s">
        <v>215</v>
      </c>
      <c r="D836" s="457"/>
      <c r="E836" s="457"/>
      <c r="F836" s="450">
        <f>F837+F858</f>
        <v>2011.6100000000001</v>
      </c>
      <c r="G836" s="450">
        <f>G837+G858</f>
        <v>2036.1100000000001</v>
      </c>
    </row>
    <row r="837" spans="1:7" ht="50.25" customHeight="1" x14ac:dyDescent="0.25">
      <c r="A837" s="456" t="s">
        <v>1381</v>
      </c>
      <c r="B837" s="457" t="s">
        <v>244</v>
      </c>
      <c r="C837" s="457" t="s">
        <v>215</v>
      </c>
      <c r="D837" s="457" t="s">
        <v>344</v>
      </c>
      <c r="E837" s="457"/>
      <c r="F837" s="450">
        <f>F838+F843</f>
        <v>2001.6100000000001</v>
      </c>
      <c r="G837" s="450">
        <f>G838+G843</f>
        <v>2026.1100000000001</v>
      </c>
    </row>
    <row r="838" spans="1:7" ht="31.5" x14ac:dyDescent="0.25">
      <c r="A838" s="456" t="s">
        <v>352</v>
      </c>
      <c r="B838" s="457" t="s">
        <v>244</v>
      </c>
      <c r="C838" s="457" t="s">
        <v>215</v>
      </c>
      <c r="D838" s="457" t="s">
        <v>353</v>
      </c>
      <c r="E838" s="457"/>
      <c r="F838" s="455">
        <f t="shared" ref="F838:G841" si="84">F839</f>
        <v>294.61</v>
      </c>
      <c r="G838" s="455">
        <f t="shared" si="84"/>
        <v>289.11</v>
      </c>
    </row>
    <row r="839" spans="1:7" ht="31.5" x14ac:dyDescent="0.25">
      <c r="A839" s="456" t="s">
        <v>905</v>
      </c>
      <c r="B839" s="457" t="s">
        <v>244</v>
      </c>
      <c r="C839" s="457" t="s">
        <v>215</v>
      </c>
      <c r="D839" s="457" t="s">
        <v>904</v>
      </c>
      <c r="E839" s="457"/>
      <c r="F839" s="455">
        <f t="shared" si="84"/>
        <v>294.61</v>
      </c>
      <c r="G839" s="455">
        <f t="shared" si="84"/>
        <v>289.11</v>
      </c>
    </row>
    <row r="840" spans="1:7" ht="31.5" x14ac:dyDescent="0.25">
      <c r="A840" s="458" t="s">
        <v>824</v>
      </c>
      <c r="B840" s="454" t="s">
        <v>244</v>
      </c>
      <c r="C840" s="454" t="s">
        <v>215</v>
      </c>
      <c r="D840" s="454" t="s">
        <v>906</v>
      </c>
      <c r="E840" s="454"/>
      <c r="F840" s="459">
        <f t="shared" si="84"/>
        <v>294.61</v>
      </c>
      <c r="G840" s="459">
        <f t="shared" si="84"/>
        <v>289.11</v>
      </c>
    </row>
    <row r="841" spans="1:7" ht="31.5" x14ac:dyDescent="0.25">
      <c r="A841" s="458" t="s">
        <v>248</v>
      </c>
      <c r="B841" s="454" t="s">
        <v>244</v>
      </c>
      <c r="C841" s="454" t="s">
        <v>215</v>
      </c>
      <c r="D841" s="454" t="s">
        <v>906</v>
      </c>
      <c r="E841" s="454" t="s">
        <v>249</v>
      </c>
      <c r="F841" s="459">
        <f>F842</f>
        <v>294.61</v>
      </c>
      <c r="G841" s="459">
        <f t="shared" si="84"/>
        <v>289.11</v>
      </c>
    </row>
    <row r="842" spans="1:7" ht="31.5" x14ac:dyDescent="0.25">
      <c r="A842" s="458" t="s">
        <v>250</v>
      </c>
      <c r="B842" s="454" t="s">
        <v>244</v>
      </c>
      <c r="C842" s="454" t="s">
        <v>215</v>
      </c>
      <c r="D842" s="454" t="s">
        <v>906</v>
      </c>
      <c r="E842" s="454" t="s">
        <v>251</v>
      </c>
      <c r="F842" s="459">
        <f>'пр.6.1.ведом.22-23 (2)'!G452</f>
        <v>294.61</v>
      </c>
      <c r="G842" s="459">
        <f>'пр.6.1.ведом.22-23 (2)'!H452</f>
        <v>289.11</v>
      </c>
    </row>
    <row r="843" spans="1:7" ht="47.25" x14ac:dyDescent="0.25">
      <c r="A843" s="456" t="s">
        <v>355</v>
      </c>
      <c r="B843" s="453">
        <v>10</v>
      </c>
      <c r="C843" s="457" t="s">
        <v>215</v>
      </c>
      <c r="D843" s="457" t="s">
        <v>362</v>
      </c>
      <c r="E843" s="457"/>
      <c r="F843" s="455">
        <f>F845+F848+F854</f>
        <v>1707</v>
      </c>
      <c r="G843" s="455">
        <f>G845+G848+G854</f>
        <v>1737</v>
      </c>
    </row>
    <row r="844" spans="1:7" ht="31.5" x14ac:dyDescent="0.25">
      <c r="A844" s="456" t="s">
        <v>1038</v>
      </c>
      <c r="B844" s="453">
        <v>10</v>
      </c>
      <c r="C844" s="457" t="s">
        <v>215</v>
      </c>
      <c r="D844" s="457" t="s">
        <v>913</v>
      </c>
      <c r="E844" s="457"/>
      <c r="F844" s="455">
        <f t="shared" ref="F844:G846" si="85">F845</f>
        <v>630</v>
      </c>
      <c r="G844" s="455">
        <f t="shared" si="85"/>
        <v>630</v>
      </c>
    </row>
    <row r="845" spans="1:7" ht="47.25" x14ac:dyDescent="0.25">
      <c r="A845" s="98" t="s">
        <v>1039</v>
      </c>
      <c r="B845" s="454" t="s">
        <v>244</v>
      </c>
      <c r="C845" s="454" t="s">
        <v>215</v>
      </c>
      <c r="D845" s="454" t="s">
        <v>1225</v>
      </c>
      <c r="E845" s="454"/>
      <c r="F845" s="459">
        <f t="shared" si="85"/>
        <v>630</v>
      </c>
      <c r="G845" s="459">
        <f t="shared" si="85"/>
        <v>630</v>
      </c>
    </row>
    <row r="846" spans="1:7" ht="31.5" x14ac:dyDescent="0.25">
      <c r="A846" s="458" t="s">
        <v>248</v>
      </c>
      <c r="B846" s="454" t="s">
        <v>244</v>
      </c>
      <c r="C846" s="454" t="s">
        <v>215</v>
      </c>
      <c r="D846" s="454" t="s">
        <v>1225</v>
      </c>
      <c r="E846" s="454" t="s">
        <v>249</v>
      </c>
      <c r="F846" s="459">
        <f t="shared" si="85"/>
        <v>630</v>
      </c>
      <c r="G846" s="459">
        <f t="shared" si="85"/>
        <v>630</v>
      </c>
    </row>
    <row r="847" spans="1:7" ht="31.5" x14ac:dyDescent="0.25">
      <c r="A847" s="458" t="s">
        <v>348</v>
      </c>
      <c r="B847" s="454" t="s">
        <v>244</v>
      </c>
      <c r="C847" s="454" t="s">
        <v>215</v>
      </c>
      <c r="D847" s="454" t="s">
        <v>1225</v>
      </c>
      <c r="E847" s="454" t="s">
        <v>349</v>
      </c>
      <c r="F847" s="459">
        <f>'пр.6.1.ведом.22-23 (2)'!G457</f>
        <v>630</v>
      </c>
      <c r="G847" s="459">
        <f>'пр.6.1.ведом.22-23 (2)'!H457</f>
        <v>630</v>
      </c>
    </row>
    <row r="848" spans="1:7" ht="31.5" x14ac:dyDescent="0.25">
      <c r="A848" s="456" t="s">
        <v>1229</v>
      </c>
      <c r="B848" s="453">
        <v>10</v>
      </c>
      <c r="C848" s="457" t="s">
        <v>215</v>
      </c>
      <c r="D848" s="457" t="s">
        <v>1227</v>
      </c>
      <c r="E848" s="457"/>
      <c r="F848" s="455">
        <f>F849+F852</f>
        <v>657</v>
      </c>
      <c r="G848" s="455">
        <f>G849+G852</f>
        <v>657</v>
      </c>
    </row>
    <row r="849" spans="1:7" ht="31.5" x14ac:dyDescent="0.25">
      <c r="A849" s="458" t="s">
        <v>1226</v>
      </c>
      <c r="B849" s="454" t="s">
        <v>244</v>
      </c>
      <c r="C849" s="454" t="s">
        <v>215</v>
      </c>
      <c r="D849" s="454" t="s">
        <v>1228</v>
      </c>
      <c r="E849" s="454"/>
      <c r="F849" s="459">
        <f>F850</f>
        <v>400</v>
      </c>
      <c r="G849" s="459">
        <f>G850</f>
        <v>400</v>
      </c>
    </row>
    <row r="850" spans="1:7" ht="31.5" x14ac:dyDescent="0.25">
      <c r="A850" s="458" t="s">
        <v>131</v>
      </c>
      <c r="B850" s="454" t="s">
        <v>244</v>
      </c>
      <c r="C850" s="454" t="s">
        <v>215</v>
      </c>
      <c r="D850" s="454" t="s">
        <v>1228</v>
      </c>
      <c r="E850" s="454" t="s">
        <v>132</v>
      </c>
      <c r="F850" s="459">
        <f>F851</f>
        <v>400</v>
      </c>
      <c r="G850" s="459">
        <f>G851</f>
        <v>400</v>
      </c>
    </row>
    <row r="851" spans="1:7" ht="47.25" x14ac:dyDescent="0.25">
      <c r="A851" s="458" t="s">
        <v>133</v>
      </c>
      <c r="B851" s="454" t="s">
        <v>244</v>
      </c>
      <c r="C851" s="454" t="s">
        <v>215</v>
      </c>
      <c r="D851" s="454" t="s">
        <v>1228</v>
      </c>
      <c r="E851" s="454" t="s">
        <v>134</v>
      </c>
      <c r="F851" s="459">
        <f>'пр.6.1.ведом.22-23 (2)'!G461</f>
        <v>400</v>
      </c>
      <c r="G851" s="459">
        <f>'пр.6.1.ведом.22-23 (2)'!H461</f>
        <v>400</v>
      </c>
    </row>
    <row r="852" spans="1:7" ht="31.5" x14ac:dyDescent="0.25">
      <c r="A852" s="458" t="s">
        <v>248</v>
      </c>
      <c r="B852" s="454" t="s">
        <v>244</v>
      </c>
      <c r="C852" s="454" t="s">
        <v>215</v>
      </c>
      <c r="D852" s="454" t="s">
        <v>1228</v>
      </c>
      <c r="E852" s="454" t="s">
        <v>249</v>
      </c>
      <c r="F852" s="459">
        <f>F853</f>
        <v>257</v>
      </c>
      <c r="G852" s="459">
        <f>G853</f>
        <v>257</v>
      </c>
    </row>
    <row r="853" spans="1:7" ht="31.5" x14ac:dyDescent="0.25">
      <c r="A853" s="458" t="s">
        <v>348</v>
      </c>
      <c r="B853" s="454" t="s">
        <v>244</v>
      </c>
      <c r="C853" s="454" t="s">
        <v>215</v>
      </c>
      <c r="D853" s="454" t="s">
        <v>1228</v>
      </c>
      <c r="E853" s="454" t="s">
        <v>349</v>
      </c>
      <c r="F853" s="459">
        <f>'пр.6.1.ведом.22-23 (2)'!G463</f>
        <v>257</v>
      </c>
      <c r="G853" s="459">
        <f>'пр.6.1.ведом.22-23 (2)'!H463</f>
        <v>257</v>
      </c>
    </row>
    <row r="854" spans="1:7" ht="31.5" x14ac:dyDescent="0.25">
      <c r="A854" s="456" t="s">
        <v>997</v>
      </c>
      <c r="B854" s="453">
        <v>10</v>
      </c>
      <c r="C854" s="457" t="s">
        <v>215</v>
      </c>
      <c r="D854" s="457" t="s">
        <v>1222</v>
      </c>
      <c r="E854" s="457"/>
      <c r="F854" s="455">
        <f>F855</f>
        <v>420</v>
      </c>
      <c r="G854" s="455">
        <f t="shared" ref="G854:G856" si="86">G855</f>
        <v>450</v>
      </c>
    </row>
    <row r="855" spans="1:7" ht="22.7" customHeight="1" x14ac:dyDescent="0.25">
      <c r="A855" s="458" t="s">
        <v>1036</v>
      </c>
      <c r="B855" s="454" t="s">
        <v>244</v>
      </c>
      <c r="C855" s="454" t="s">
        <v>215</v>
      </c>
      <c r="D855" s="454" t="s">
        <v>1224</v>
      </c>
      <c r="E855" s="454"/>
      <c r="F855" s="459">
        <f>F856</f>
        <v>420</v>
      </c>
      <c r="G855" s="459">
        <f t="shared" si="86"/>
        <v>450</v>
      </c>
    </row>
    <row r="856" spans="1:7" ht="31.5" x14ac:dyDescent="0.25">
      <c r="A856" s="458" t="s">
        <v>248</v>
      </c>
      <c r="B856" s="454" t="s">
        <v>244</v>
      </c>
      <c r="C856" s="454" t="s">
        <v>215</v>
      </c>
      <c r="D856" s="454" t="s">
        <v>1224</v>
      </c>
      <c r="E856" s="454" t="s">
        <v>249</v>
      </c>
      <c r="F856" s="459">
        <f>F857</f>
        <v>420</v>
      </c>
      <c r="G856" s="459">
        <f t="shared" si="86"/>
        <v>450</v>
      </c>
    </row>
    <row r="857" spans="1:7" ht="31.5" x14ac:dyDescent="0.25">
      <c r="A857" s="458" t="s">
        <v>348</v>
      </c>
      <c r="B857" s="454" t="s">
        <v>244</v>
      </c>
      <c r="C857" s="454" t="s">
        <v>215</v>
      </c>
      <c r="D857" s="454" t="s">
        <v>1224</v>
      </c>
      <c r="E857" s="454" t="s">
        <v>349</v>
      </c>
      <c r="F857" s="459">
        <f>'пр.6.1.ведом.22-23 (2)'!G467</f>
        <v>420</v>
      </c>
      <c r="G857" s="459">
        <f>'пр.6.1.ведом.22-23 (2)'!H467</f>
        <v>450</v>
      </c>
    </row>
    <row r="858" spans="1:7" ht="63" x14ac:dyDescent="0.25">
      <c r="A858" s="456" t="s">
        <v>1349</v>
      </c>
      <c r="B858" s="457" t="s">
        <v>244</v>
      </c>
      <c r="C858" s="457" t="s">
        <v>215</v>
      </c>
      <c r="D858" s="457" t="s">
        <v>254</v>
      </c>
      <c r="E858" s="457"/>
      <c r="F858" s="450">
        <f t="shared" ref="F858:G858" si="87">F859</f>
        <v>10</v>
      </c>
      <c r="G858" s="450">
        <f t="shared" si="87"/>
        <v>10</v>
      </c>
    </row>
    <row r="859" spans="1:7" ht="53.45" customHeight="1" x14ac:dyDescent="0.25">
      <c r="A859" s="456" t="s">
        <v>884</v>
      </c>
      <c r="B859" s="457" t="s">
        <v>244</v>
      </c>
      <c r="C859" s="457" t="s">
        <v>215</v>
      </c>
      <c r="D859" s="457" t="s">
        <v>882</v>
      </c>
      <c r="E859" s="457"/>
      <c r="F859" s="450">
        <f>F860+F863</f>
        <v>10</v>
      </c>
      <c r="G859" s="450">
        <f>G860+G863</f>
        <v>10</v>
      </c>
    </row>
    <row r="860" spans="1:7" ht="31.5" x14ac:dyDescent="0.25">
      <c r="A860" s="458" t="s">
        <v>883</v>
      </c>
      <c r="B860" s="454" t="s">
        <v>244</v>
      </c>
      <c r="C860" s="454" t="s">
        <v>215</v>
      </c>
      <c r="D860" s="454" t="s">
        <v>1189</v>
      </c>
      <c r="E860" s="454"/>
      <c r="F860" s="451">
        <f>F861</f>
        <v>10</v>
      </c>
      <c r="G860" s="451">
        <f>G861</f>
        <v>10</v>
      </c>
    </row>
    <row r="861" spans="1:7" ht="31.5" x14ac:dyDescent="0.25">
      <c r="A861" s="458" t="s">
        <v>248</v>
      </c>
      <c r="B861" s="454" t="s">
        <v>244</v>
      </c>
      <c r="C861" s="454" t="s">
        <v>215</v>
      </c>
      <c r="D861" s="454" t="s">
        <v>1189</v>
      </c>
      <c r="E861" s="454" t="s">
        <v>249</v>
      </c>
      <c r="F861" s="451">
        <f>F862</f>
        <v>10</v>
      </c>
      <c r="G861" s="451">
        <f>G862</f>
        <v>10</v>
      </c>
    </row>
    <row r="862" spans="1:7" ht="31.5" x14ac:dyDescent="0.25">
      <c r="A862" s="458" t="s">
        <v>250</v>
      </c>
      <c r="B862" s="454" t="s">
        <v>244</v>
      </c>
      <c r="C862" s="454" t="s">
        <v>215</v>
      </c>
      <c r="D862" s="454" t="s">
        <v>1189</v>
      </c>
      <c r="E862" s="454" t="s">
        <v>251</v>
      </c>
      <c r="F862" s="451">
        <f>'пр.6.1.ведом.22-23 (2)'!G230</f>
        <v>10</v>
      </c>
      <c r="G862" s="451">
        <f>'пр.6.1.ведом.22-23 (2)'!H230</f>
        <v>10</v>
      </c>
    </row>
    <row r="863" spans="1:7" ht="63" hidden="1" x14ac:dyDescent="0.25">
      <c r="A863" s="458" t="s">
        <v>1177</v>
      </c>
      <c r="B863" s="454" t="s">
        <v>244</v>
      </c>
      <c r="C863" s="454" t="s">
        <v>215</v>
      </c>
      <c r="D863" s="454" t="s">
        <v>1176</v>
      </c>
      <c r="E863" s="454"/>
      <c r="F863" s="459">
        <f>F864</f>
        <v>0</v>
      </c>
      <c r="G863" s="459">
        <f>G864</f>
        <v>0</v>
      </c>
    </row>
    <row r="864" spans="1:7" ht="31.5" hidden="1" x14ac:dyDescent="0.25">
      <c r="A864" s="458" t="s">
        <v>248</v>
      </c>
      <c r="B864" s="454" t="s">
        <v>244</v>
      </c>
      <c r="C864" s="454" t="s">
        <v>215</v>
      </c>
      <c r="D864" s="454" t="s">
        <v>1176</v>
      </c>
      <c r="E864" s="454" t="s">
        <v>249</v>
      </c>
      <c r="F864" s="459">
        <f>F865</f>
        <v>0</v>
      </c>
      <c r="G864" s="459">
        <f>G865</f>
        <v>0</v>
      </c>
    </row>
    <row r="865" spans="1:7" ht="31.5" hidden="1" x14ac:dyDescent="0.25">
      <c r="A865" s="458" t="s">
        <v>250</v>
      </c>
      <c r="B865" s="454" t="s">
        <v>244</v>
      </c>
      <c r="C865" s="454" t="s">
        <v>215</v>
      </c>
      <c r="D865" s="454" t="s">
        <v>1176</v>
      </c>
      <c r="E865" s="454" t="s">
        <v>251</v>
      </c>
      <c r="F865" s="459">
        <f>'пр.6.1.ведом.22-23 (2)'!G233</f>
        <v>0</v>
      </c>
      <c r="G865" s="459">
        <f>'пр.6.1.ведом.22-23 (2)'!H233</f>
        <v>0</v>
      </c>
    </row>
    <row r="866" spans="1:7" ht="15.75" x14ac:dyDescent="0.25">
      <c r="A866" s="456" t="s">
        <v>243</v>
      </c>
      <c r="B866" s="457" t="s">
        <v>244</v>
      </c>
      <c r="C866" s="454"/>
      <c r="D866" s="454"/>
      <c r="E866" s="454"/>
      <c r="F866" s="455">
        <f t="shared" ref="F866:G870" si="88">F867</f>
        <v>2469.1</v>
      </c>
      <c r="G866" s="455">
        <f t="shared" si="88"/>
        <v>10803.2</v>
      </c>
    </row>
    <row r="867" spans="1:7" ht="15.75" x14ac:dyDescent="0.25">
      <c r="A867" s="456" t="s">
        <v>400</v>
      </c>
      <c r="B867" s="457" t="s">
        <v>244</v>
      </c>
      <c r="C867" s="457" t="s">
        <v>150</v>
      </c>
      <c r="D867" s="454"/>
      <c r="E867" s="454"/>
      <c r="F867" s="455">
        <f t="shared" si="88"/>
        <v>2469.1</v>
      </c>
      <c r="G867" s="455">
        <f t="shared" si="88"/>
        <v>10803.2</v>
      </c>
    </row>
    <row r="868" spans="1:7" ht="47.25" x14ac:dyDescent="0.25">
      <c r="A868" s="456" t="s">
        <v>885</v>
      </c>
      <c r="B868" s="457" t="s">
        <v>244</v>
      </c>
      <c r="C868" s="457" t="s">
        <v>150</v>
      </c>
      <c r="D868" s="457" t="s">
        <v>863</v>
      </c>
      <c r="E868" s="454"/>
      <c r="F868" s="455">
        <f t="shared" si="88"/>
        <v>2469.1</v>
      </c>
      <c r="G868" s="455">
        <f t="shared" si="88"/>
        <v>10803.2</v>
      </c>
    </row>
    <row r="869" spans="1:7" ht="47.25" x14ac:dyDescent="0.25">
      <c r="A869" s="458" t="s">
        <v>1172</v>
      </c>
      <c r="B869" s="454" t="s">
        <v>244</v>
      </c>
      <c r="C869" s="454" t="s">
        <v>150</v>
      </c>
      <c r="D869" s="454" t="s">
        <v>1171</v>
      </c>
      <c r="E869" s="454"/>
      <c r="F869" s="459">
        <f t="shared" si="88"/>
        <v>2469.1</v>
      </c>
      <c r="G869" s="459">
        <f t="shared" si="88"/>
        <v>10803.2</v>
      </c>
    </row>
    <row r="870" spans="1:7" ht="31.5" x14ac:dyDescent="0.25">
      <c r="A870" s="458" t="s">
        <v>131</v>
      </c>
      <c r="B870" s="454" t="s">
        <v>244</v>
      </c>
      <c r="C870" s="454" t="s">
        <v>150</v>
      </c>
      <c r="D870" s="454" t="s">
        <v>1171</v>
      </c>
      <c r="E870" s="454" t="s">
        <v>132</v>
      </c>
      <c r="F870" s="459">
        <f t="shared" si="88"/>
        <v>2469.1</v>
      </c>
      <c r="G870" s="459">
        <f t="shared" si="88"/>
        <v>10803.2</v>
      </c>
    </row>
    <row r="871" spans="1:7" ht="47.25" x14ac:dyDescent="0.25">
      <c r="A871" s="458" t="s">
        <v>133</v>
      </c>
      <c r="B871" s="454" t="s">
        <v>244</v>
      </c>
      <c r="C871" s="454" t="s">
        <v>150</v>
      </c>
      <c r="D871" s="454" t="s">
        <v>1171</v>
      </c>
      <c r="E871" s="454" t="s">
        <v>134</v>
      </c>
      <c r="F871" s="459">
        <f>'пр.6.1.ведом.22-23 (2)'!G536</f>
        <v>2469.1</v>
      </c>
      <c r="G871" s="459">
        <f>'пр.6.1.ведом.22-23 (2)'!H536</f>
        <v>10803.2</v>
      </c>
    </row>
    <row r="872" spans="1:7" ht="31.5" x14ac:dyDescent="0.25">
      <c r="A872" s="456" t="s">
        <v>258</v>
      </c>
      <c r="B872" s="457" t="s">
        <v>244</v>
      </c>
      <c r="C872" s="457" t="s">
        <v>120</v>
      </c>
      <c r="D872" s="457"/>
      <c r="E872" s="457"/>
      <c r="F872" s="450">
        <f>F873+F880</f>
        <v>3737.4</v>
      </c>
      <c r="G872" s="450">
        <f>G873+G880</f>
        <v>3693.4</v>
      </c>
    </row>
    <row r="873" spans="1:7" ht="31.5" x14ac:dyDescent="0.25">
      <c r="A873" s="456" t="s">
        <v>917</v>
      </c>
      <c r="B873" s="457" t="s">
        <v>244</v>
      </c>
      <c r="C873" s="457" t="s">
        <v>120</v>
      </c>
      <c r="D873" s="457" t="s">
        <v>858</v>
      </c>
      <c r="E873" s="457"/>
      <c r="F873" s="450">
        <f>F874</f>
        <v>3650.4</v>
      </c>
      <c r="G873" s="450">
        <f>G874</f>
        <v>3606.4</v>
      </c>
    </row>
    <row r="874" spans="1:7" ht="47.25" x14ac:dyDescent="0.25">
      <c r="A874" s="456" t="s">
        <v>885</v>
      </c>
      <c r="B874" s="457" t="s">
        <v>244</v>
      </c>
      <c r="C874" s="457" t="s">
        <v>120</v>
      </c>
      <c r="D874" s="457" t="s">
        <v>863</v>
      </c>
      <c r="E874" s="457"/>
      <c r="F874" s="450">
        <f>F875</f>
        <v>3650.4</v>
      </c>
      <c r="G874" s="450">
        <f>G875</f>
        <v>3606.4</v>
      </c>
    </row>
    <row r="875" spans="1:7" ht="47.25" x14ac:dyDescent="0.25">
      <c r="A875" s="31" t="s">
        <v>259</v>
      </c>
      <c r="B875" s="454" t="s">
        <v>244</v>
      </c>
      <c r="C875" s="454" t="s">
        <v>120</v>
      </c>
      <c r="D875" s="454" t="s">
        <v>925</v>
      </c>
      <c r="E875" s="454"/>
      <c r="F875" s="451">
        <f>F876+F878</f>
        <v>3650.4</v>
      </c>
      <c r="G875" s="451">
        <f>G876+G878</f>
        <v>3606.4</v>
      </c>
    </row>
    <row r="876" spans="1:7" ht="94.5" x14ac:dyDescent="0.25">
      <c r="A876" s="458" t="s">
        <v>127</v>
      </c>
      <c r="B876" s="454" t="s">
        <v>244</v>
      </c>
      <c r="C876" s="454" t="s">
        <v>120</v>
      </c>
      <c r="D876" s="454" t="s">
        <v>925</v>
      </c>
      <c r="E876" s="454" t="s">
        <v>128</v>
      </c>
      <c r="F876" s="451">
        <f>F877</f>
        <v>3249.8</v>
      </c>
      <c r="G876" s="451">
        <f>G877</f>
        <v>3205.8</v>
      </c>
    </row>
    <row r="877" spans="1:7" ht="31.5" x14ac:dyDescent="0.25">
      <c r="A877" s="458" t="s">
        <v>129</v>
      </c>
      <c r="B877" s="454" t="s">
        <v>244</v>
      </c>
      <c r="C877" s="454" t="s">
        <v>120</v>
      </c>
      <c r="D877" s="454" t="s">
        <v>925</v>
      </c>
      <c r="E877" s="454" t="s">
        <v>130</v>
      </c>
      <c r="F877" s="451">
        <f>'пр.6.1.ведом.22-23 (2)'!G239</f>
        <v>3249.8</v>
      </c>
      <c r="G877" s="451">
        <f>'пр.6.1.ведом.22-23 (2)'!H239</f>
        <v>3205.8</v>
      </c>
    </row>
    <row r="878" spans="1:7" ht="31.5" x14ac:dyDescent="0.25">
      <c r="A878" s="458" t="s">
        <v>131</v>
      </c>
      <c r="B878" s="454" t="s">
        <v>244</v>
      </c>
      <c r="C878" s="454" t="s">
        <v>120</v>
      </c>
      <c r="D878" s="454" t="s">
        <v>925</v>
      </c>
      <c r="E878" s="454" t="s">
        <v>132</v>
      </c>
      <c r="F878" s="451">
        <f>F879</f>
        <v>400.6</v>
      </c>
      <c r="G878" s="451">
        <f>G879</f>
        <v>400.6</v>
      </c>
    </row>
    <row r="879" spans="1:7" ht="47.25" x14ac:dyDescent="0.25">
      <c r="A879" s="458" t="s">
        <v>133</v>
      </c>
      <c r="B879" s="454" t="s">
        <v>244</v>
      </c>
      <c r="C879" s="454" t="s">
        <v>120</v>
      </c>
      <c r="D879" s="454" t="s">
        <v>925</v>
      </c>
      <c r="E879" s="454" t="s">
        <v>134</v>
      </c>
      <c r="F879" s="451">
        <f>'пр.6.1.ведом.22-23 (2)'!G241</f>
        <v>400.6</v>
      </c>
      <c r="G879" s="451">
        <f>'пр.6.1.ведом.22-23 (2)'!H241</f>
        <v>400.6</v>
      </c>
    </row>
    <row r="880" spans="1:7" ht="15.75" x14ac:dyDescent="0.25">
      <c r="A880" s="456" t="s">
        <v>141</v>
      </c>
      <c r="B880" s="457" t="s">
        <v>244</v>
      </c>
      <c r="C880" s="457" t="s">
        <v>120</v>
      </c>
      <c r="D880" s="457" t="s">
        <v>866</v>
      </c>
      <c r="E880" s="457"/>
      <c r="F880" s="450">
        <f t="shared" ref="F880:G883" si="89">F881</f>
        <v>87</v>
      </c>
      <c r="G880" s="450">
        <f t="shared" si="89"/>
        <v>87</v>
      </c>
    </row>
    <row r="881" spans="1:7" ht="31.5" x14ac:dyDescent="0.25">
      <c r="A881" s="456" t="s">
        <v>870</v>
      </c>
      <c r="B881" s="457" t="s">
        <v>244</v>
      </c>
      <c r="C881" s="457" t="s">
        <v>120</v>
      </c>
      <c r="D881" s="457" t="s">
        <v>865</v>
      </c>
      <c r="E881" s="457"/>
      <c r="F881" s="450">
        <f t="shared" si="89"/>
        <v>87</v>
      </c>
      <c r="G881" s="450">
        <f t="shared" si="89"/>
        <v>87</v>
      </c>
    </row>
    <row r="882" spans="1:7" ht="15.75" x14ac:dyDescent="0.25">
      <c r="A882" s="458" t="s">
        <v>572</v>
      </c>
      <c r="B882" s="454" t="s">
        <v>244</v>
      </c>
      <c r="C882" s="454" t="s">
        <v>120</v>
      </c>
      <c r="D882" s="454" t="s">
        <v>985</v>
      </c>
      <c r="E882" s="454"/>
      <c r="F882" s="451">
        <f t="shared" si="89"/>
        <v>87</v>
      </c>
      <c r="G882" s="451">
        <f t="shared" si="89"/>
        <v>87</v>
      </c>
    </row>
    <row r="883" spans="1:7" ht="31.5" x14ac:dyDescent="0.25">
      <c r="A883" s="458" t="s">
        <v>131</v>
      </c>
      <c r="B883" s="454" t="s">
        <v>244</v>
      </c>
      <c r="C883" s="454" t="s">
        <v>120</v>
      </c>
      <c r="D883" s="454" t="s">
        <v>985</v>
      </c>
      <c r="E883" s="454" t="s">
        <v>132</v>
      </c>
      <c r="F883" s="451">
        <f t="shared" si="89"/>
        <v>87</v>
      </c>
      <c r="G883" s="451">
        <f t="shared" si="89"/>
        <v>87</v>
      </c>
    </row>
    <row r="884" spans="1:7" ht="47.25" x14ac:dyDescent="0.25">
      <c r="A884" s="458" t="s">
        <v>133</v>
      </c>
      <c r="B884" s="454" t="s">
        <v>244</v>
      </c>
      <c r="C884" s="454" t="s">
        <v>120</v>
      </c>
      <c r="D884" s="454" t="s">
        <v>985</v>
      </c>
      <c r="E884" s="454" t="s">
        <v>134</v>
      </c>
      <c r="F884" s="451">
        <f>'пр.6.1.ведом.22-23 (2)'!G1045</f>
        <v>87</v>
      </c>
      <c r="G884" s="451">
        <f>'пр.6.1.ведом.22-23 (2)'!H1045</f>
        <v>87</v>
      </c>
    </row>
    <row r="885" spans="1:7" ht="15.75" x14ac:dyDescent="0.25">
      <c r="A885" s="462" t="s">
        <v>490</v>
      </c>
      <c r="B885" s="7" t="s">
        <v>491</v>
      </c>
      <c r="C885" s="461"/>
      <c r="D885" s="461"/>
      <c r="E885" s="461"/>
      <c r="F885" s="450">
        <f>F886+F923</f>
        <v>63981.399999999994</v>
      </c>
      <c r="G885" s="450">
        <f>G886+G923</f>
        <v>64012.600000000006</v>
      </c>
    </row>
    <row r="886" spans="1:7" ht="15.75" x14ac:dyDescent="0.25">
      <c r="A886" s="456" t="s">
        <v>492</v>
      </c>
      <c r="B886" s="457" t="s">
        <v>491</v>
      </c>
      <c r="C886" s="457" t="s">
        <v>118</v>
      </c>
      <c r="D886" s="454"/>
      <c r="E886" s="454"/>
      <c r="F886" s="450">
        <f>F887+F918+F913</f>
        <v>50452.2</v>
      </c>
      <c r="G886" s="450">
        <f>G887+G918+G913</f>
        <v>50483.4</v>
      </c>
    </row>
    <row r="887" spans="1:7" ht="47.25" x14ac:dyDescent="0.25">
      <c r="A887" s="456" t="s">
        <v>1372</v>
      </c>
      <c r="B887" s="457" t="s">
        <v>491</v>
      </c>
      <c r="C887" s="457" t="s">
        <v>118</v>
      </c>
      <c r="D887" s="457" t="s">
        <v>482</v>
      </c>
      <c r="E887" s="457"/>
      <c r="F887" s="450">
        <f>F888+F892+F902+F909</f>
        <v>49873.1</v>
      </c>
      <c r="G887" s="450">
        <f>G888+G892+G902+G909</f>
        <v>49873.1</v>
      </c>
    </row>
    <row r="888" spans="1:7" ht="47.25" x14ac:dyDescent="0.25">
      <c r="A888" s="456" t="s">
        <v>937</v>
      </c>
      <c r="B888" s="457" t="s">
        <v>491</v>
      </c>
      <c r="C888" s="457" t="s">
        <v>118</v>
      </c>
      <c r="D888" s="457" t="s">
        <v>1264</v>
      </c>
      <c r="E888" s="457"/>
      <c r="F888" s="450">
        <f t="shared" ref="F888:G890" si="90">F889</f>
        <v>47819.6</v>
      </c>
      <c r="G888" s="450">
        <f t="shared" si="90"/>
        <v>47819.6</v>
      </c>
    </row>
    <row r="889" spans="1:7" ht="47.25" x14ac:dyDescent="0.25">
      <c r="A889" s="458" t="s">
        <v>1294</v>
      </c>
      <c r="B889" s="454" t="s">
        <v>491</v>
      </c>
      <c r="C889" s="454" t="s">
        <v>118</v>
      </c>
      <c r="D889" s="454" t="s">
        <v>1265</v>
      </c>
      <c r="E889" s="454"/>
      <c r="F889" s="451">
        <f t="shared" si="90"/>
        <v>47819.6</v>
      </c>
      <c r="G889" s="451">
        <f t="shared" si="90"/>
        <v>47819.6</v>
      </c>
    </row>
    <row r="890" spans="1:7" ht="47.25" x14ac:dyDescent="0.25">
      <c r="A890" s="458" t="s">
        <v>272</v>
      </c>
      <c r="B890" s="454" t="s">
        <v>491</v>
      </c>
      <c r="C890" s="454" t="s">
        <v>118</v>
      </c>
      <c r="D890" s="454" t="s">
        <v>1265</v>
      </c>
      <c r="E890" s="454" t="s">
        <v>273</v>
      </c>
      <c r="F890" s="451">
        <f t="shared" si="90"/>
        <v>47819.6</v>
      </c>
      <c r="G890" s="451">
        <f t="shared" si="90"/>
        <v>47819.6</v>
      </c>
    </row>
    <row r="891" spans="1:7" ht="15.75" x14ac:dyDescent="0.25">
      <c r="A891" s="458" t="s">
        <v>274</v>
      </c>
      <c r="B891" s="454" t="s">
        <v>491</v>
      </c>
      <c r="C891" s="454" t="s">
        <v>118</v>
      </c>
      <c r="D891" s="454" t="s">
        <v>1265</v>
      </c>
      <c r="E891" s="454" t="s">
        <v>275</v>
      </c>
      <c r="F891" s="451">
        <f>'пр.6.1.ведом.22-23 (2)'!G770</f>
        <v>47819.6</v>
      </c>
      <c r="G891" s="451">
        <f>'пр.6.1.ведом.22-23 (2)'!H770</f>
        <v>47819.6</v>
      </c>
    </row>
    <row r="892" spans="1:7" ht="31.5" x14ac:dyDescent="0.25">
      <c r="A892" s="456" t="s">
        <v>945</v>
      </c>
      <c r="B892" s="457" t="s">
        <v>491</v>
      </c>
      <c r="C892" s="457" t="s">
        <v>118</v>
      </c>
      <c r="D892" s="457" t="s">
        <v>1266</v>
      </c>
      <c r="E892" s="457"/>
      <c r="F892" s="450">
        <f>F893+F896+F899</f>
        <v>36</v>
      </c>
      <c r="G892" s="450">
        <f>G893+G896+G899</f>
        <v>36</v>
      </c>
    </row>
    <row r="893" spans="1:7" ht="47.25" hidden="1" x14ac:dyDescent="0.25">
      <c r="A893" s="458" t="s">
        <v>278</v>
      </c>
      <c r="B893" s="454" t="s">
        <v>491</v>
      </c>
      <c r="C893" s="454" t="s">
        <v>118</v>
      </c>
      <c r="D893" s="454" t="s">
        <v>1324</v>
      </c>
      <c r="E893" s="454"/>
      <c r="F893" s="451">
        <f>'[1]Пр.4 Рд,пр, ЦС,ВР 21'!F888</f>
        <v>0</v>
      </c>
      <c r="G893" s="451">
        <f>'[1]Пр.4 Рд,пр, ЦС,ВР 21'!G888</f>
        <v>0</v>
      </c>
    </row>
    <row r="894" spans="1:7" ht="47.25" hidden="1" x14ac:dyDescent="0.25">
      <c r="A894" s="458" t="s">
        <v>272</v>
      </c>
      <c r="B894" s="454" t="s">
        <v>491</v>
      </c>
      <c r="C894" s="454" t="s">
        <v>118</v>
      </c>
      <c r="D894" s="454" t="s">
        <v>1324</v>
      </c>
      <c r="E894" s="454" t="s">
        <v>273</v>
      </c>
      <c r="F894" s="451">
        <f>'[1]Пр.4 Рд,пр, ЦС,ВР 21'!F889</f>
        <v>0</v>
      </c>
      <c r="G894" s="451">
        <f>'[1]Пр.4 Рд,пр, ЦС,ВР 21'!G889</f>
        <v>0</v>
      </c>
    </row>
    <row r="895" spans="1:7" ht="15.75" hidden="1" x14ac:dyDescent="0.25">
      <c r="A895" s="458" t="s">
        <v>274</v>
      </c>
      <c r="B895" s="454" t="s">
        <v>491</v>
      </c>
      <c r="C895" s="454" t="s">
        <v>118</v>
      </c>
      <c r="D895" s="454" t="s">
        <v>1324</v>
      </c>
      <c r="E895" s="454" t="s">
        <v>275</v>
      </c>
      <c r="F895" s="451">
        <f>'[1]Пр.4 Рд,пр, ЦС,ВР 21'!F890</f>
        <v>0</v>
      </c>
      <c r="G895" s="451">
        <f>'[1]Пр.4 Рд,пр, ЦС,ВР 21'!G890</f>
        <v>0</v>
      </c>
    </row>
    <row r="896" spans="1:7" ht="31.5" hidden="1" x14ac:dyDescent="0.25">
      <c r="A896" s="458" t="s">
        <v>280</v>
      </c>
      <c r="B896" s="454" t="s">
        <v>491</v>
      </c>
      <c r="C896" s="454" t="s">
        <v>118</v>
      </c>
      <c r="D896" s="454" t="s">
        <v>1325</v>
      </c>
      <c r="E896" s="454"/>
      <c r="F896" s="451">
        <f>F897</f>
        <v>0</v>
      </c>
      <c r="G896" s="451">
        <f>G897</f>
        <v>0</v>
      </c>
    </row>
    <row r="897" spans="1:7" ht="47.25" hidden="1" x14ac:dyDescent="0.25">
      <c r="A897" s="458" t="s">
        <v>272</v>
      </c>
      <c r="B897" s="454" t="s">
        <v>491</v>
      </c>
      <c r="C897" s="454" t="s">
        <v>118</v>
      </c>
      <c r="D897" s="454" t="s">
        <v>1325</v>
      </c>
      <c r="E897" s="454" t="s">
        <v>273</v>
      </c>
      <c r="F897" s="451">
        <f>F898</f>
        <v>0</v>
      </c>
      <c r="G897" s="451">
        <f>G898</f>
        <v>0</v>
      </c>
    </row>
    <row r="898" spans="1:7" ht="15.75" hidden="1" x14ac:dyDescent="0.25">
      <c r="A898" s="458" t="s">
        <v>274</v>
      </c>
      <c r="B898" s="454" t="s">
        <v>491</v>
      </c>
      <c r="C898" s="454" t="s">
        <v>118</v>
      </c>
      <c r="D898" s="454" t="s">
        <v>1325</v>
      </c>
      <c r="E898" s="454" t="s">
        <v>275</v>
      </c>
      <c r="F898" s="451">
        <f>'пр.6.1.ведом.22-23 (2)'!G777</f>
        <v>0</v>
      </c>
      <c r="G898" s="451">
        <f>'пр.6.1.ведом.22-23 (2)'!H777</f>
        <v>0</v>
      </c>
    </row>
    <row r="899" spans="1:7" ht="15.75" x14ac:dyDescent="0.25">
      <c r="A899" s="458" t="s">
        <v>830</v>
      </c>
      <c r="B899" s="454" t="s">
        <v>491</v>
      </c>
      <c r="C899" s="454" t="s">
        <v>118</v>
      </c>
      <c r="D899" s="454" t="s">
        <v>1267</v>
      </c>
      <c r="E899" s="454"/>
      <c r="F899" s="451">
        <f>F900</f>
        <v>36</v>
      </c>
      <c r="G899" s="451">
        <f>G900</f>
        <v>36</v>
      </c>
    </row>
    <row r="900" spans="1:7" ht="47.25" x14ac:dyDescent="0.25">
      <c r="A900" s="458" t="s">
        <v>272</v>
      </c>
      <c r="B900" s="454" t="s">
        <v>491</v>
      </c>
      <c r="C900" s="454" t="s">
        <v>118</v>
      </c>
      <c r="D900" s="454" t="s">
        <v>1267</v>
      </c>
      <c r="E900" s="454" t="s">
        <v>273</v>
      </c>
      <c r="F900" s="451">
        <f>F901</f>
        <v>36</v>
      </c>
      <c r="G900" s="451">
        <f>G901</f>
        <v>36</v>
      </c>
    </row>
    <row r="901" spans="1:7" ht="15.75" x14ac:dyDescent="0.25">
      <c r="A901" s="458" t="s">
        <v>274</v>
      </c>
      <c r="B901" s="454" t="s">
        <v>491</v>
      </c>
      <c r="C901" s="454" t="s">
        <v>118</v>
      </c>
      <c r="D901" s="454" t="s">
        <v>1267</v>
      </c>
      <c r="E901" s="454" t="s">
        <v>275</v>
      </c>
      <c r="F901" s="451">
        <f>'пр.6.1.ведом.22-23 (2)'!G781</f>
        <v>36</v>
      </c>
      <c r="G901" s="451">
        <f>'пр.6.1.ведом.22-23 (2)'!H781</f>
        <v>36</v>
      </c>
    </row>
    <row r="902" spans="1:7" ht="47.25" x14ac:dyDescent="0.25">
      <c r="A902" s="456" t="s">
        <v>947</v>
      </c>
      <c r="B902" s="457" t="s">
        <v>491</v>
      </c>
      <c r="C902" s="457" t="s">
        <v>118</v>
      </c>
      <c r="D902" s="457" t="s">
        <v>1268</v>
      </c>
      <c r="E902" s="457"/>
      <c r="F902" s="450">
        <f>F903+F906</f>
        <v>1204</v>
      </c>
      <c r="G902" s="450">
        <f>G903+G906</f>
        <v>1204</v>
      </c>
    </row>
    <row r="903" spans="1:7" ht="31.5" hidden="1" x14ac:dyDescent="0.25">
      <c r="A903" s="458" t="s">
        <v>791</v>
      </c>
      <c r="B903" s="454" t="s">
        <v>491</v>
      </c>
      <c r="C903" s="454" t="s">
        <v>118</v>
      </c>
      <c r="D903" s="454" t="s">
        <v>1306</v>
      </c>
      <c r="E903" s="454"/>
      <c r="F903" s="451">
        <f>'[1]Пр.4 Рд,пр, ЦС,ВР 21'!F898</f>
        <v>0</v>
      </c>
      <c r="G903" s="451">
        <f>'[1]Пр.4 Рд,пр, ЦС,ВР 21'!G898</f>
        <v>0</v>
      </c>
    </row>
    <row r="904" spans="1:7" ht="47.25" hidden="1" x14ac:dyDescent="0.25">
      <c r="A904" s="458" t="s">
        <v>272</v>
      </c>
      <c r="B904" s="454" t="s">
        <v>491</v>
      </c>
      <c r="C904" s="454" t="s">
        <v>118</v>
      </c>
      <c r="D904" s="454" t="s">
        <v>1306</v>
      </c>
      <c r="E904" s="454" t="s">
        <v>273</v>
      </c>
      <c r="F904" s="451">
        <f>'[1]Пр.4 Рд,пр, ЦС,ВР 21'!F899</f>
        <v>0</v>
      </c>
      <c r="G904" s="451">
        <f>'[1]Пр.4 Рд,пр, ЦС,ВР 21'!G899</f>
        <v>0</v>
      </c>
    </row>
    <row r="905" spans="1:7" ht="15.75" hidden="1" x14ac:dyDescent="0.25">
      <c r="A905" s="458" t="s">
        <v>274</v>
      </c>
      <c r="B905" s="454" t="s">
        <v>491</v>
      </c>
      <c r="C905" s="454" t="s">
        <v>118</v>
      </c>
      <c r="D905" s="454" t="s">
        <v>1306</v>
      </c>
      <c r="E905" s="454" t="s">
        <v>275</v>
      </c>
      <c r="F905" s="451">
        <f>'[1]Пр.4 Рд,пр, ЦС,ВР 21'!F900</f>
        <v>0</v>
      </c>
      <c r="G905" s="451">
        <f>'[1]Пр.4 Рд,пр, ЦС,ВР 21'!G900</f>
        <v>0</v>
      </c>
    </row>
    <row r="906" spans="1:7" ht="47.25" x14ac:dyDescent="0.25">
      <c r="A906" s="45" t="s">
        <v>764</v>
      </c>
      <c r="B906" s="454" t="s">
        <v>491</v>
      </c>
      <c r="C906" s="454" t="s">
        <v>118</v>
      </c>
      <c r="D906" s="454" t="s">
        <v>1269</v>
      </c>
      <c r="E906" s="454"/>
      <c r="F906" s="451">
        <f>F907</f>
        <v>1204</v>
      </c>
      <c r="G906" s="451">
        <f>G907</f>
        <v>1204</v>
      </c>
    </row>
    <row r="907" spans="1:7" ht="47.25" x14ac:dyDescent="0.25">
      <c r="A907" s="31" t="s">
        <v>272</v>
      </c>
      <c r="B907" s="454" t="s">
        <v>491</v>
      </c>
      <c r="C907" s="454" t="s">
        <v>118</v>
      </c>
      <c r="D907" s="454" t="s">
        <v>1269</v>
      </c>
      <c r="E907" s="454" t="s">
        <v>273</v>
      </c>
      <c r="F907" s="451">
        <f>F908</f>
        <v>1204</v>
      </c>
      <c r="G907" s="451">
        <f>G908</f>
        <v>1204</v>
      </c>
    </row>
    <row r="908" spans="1:7" ht="15.75" x14ac:dyDescent="0.25">
      <c r="A908" s="31" t="s">
        <v>274</v>
      </c>
      <c r="B908" s="454" t="s">
        <v>491</v>
      </c>
      <c r="C908" s="454" t="s">
        <v>118</v>
      </c>
      <c r="D908" s="454" t="s">
        <v>1269</v>
      </c>
      <c r="E908" s="454" t="s">
        <v>275</v>
      </c>
      <c r="F908" s="451">
        <f>'пр.6.1.ведом.22-23 (2)'!G788</f>
        <v>1204</v>
      </c>
      <c r="G908" s="451">
        <f>'пр.6.1.ведом.22-23 (2)'!H788</f>
        <v>1204</v>
      </c>
    </row>
    <row r="909" spans="1:7" ht="54.75" customHeight="1" x14ac:dyDescent="0.25">
      <c r="A909" s="456" t="s">
        <v>900</v>
      </c>
      <c r="B909" s="457" t="s">
        <v>491</v>
      </c>
      <c r="C909" s="457" t="s">
        <v>118</v>
      </c>
      <c r="D909" s="457" t="s">
        <v>1270</v>
      </c>
      <c r="E909" s="457"/>
      <c r="F909" s="450">
        <f t="shared" ref="F909:G911" si="91">F910</f>
        <v>813.5</v>
      </c>
      <c r="G909" s="450">
        <f t="shared" si="91"/>
        <v>813.5</v>
      </c>
    </row>
    <row r="910" spans="1:7" ht="121.7" customHeight="1" x14ac:dyDescent="0.25">
      <c r="A910" s="31" t="s">
        <v>464</v>
      </c>
      <c r="B910" s="454" t="s">
        <v>491</v>
      </c>
      <c r="C910" s="454" t="s">
        <v>118</v>
      </c>
      <c r="D910" s="454" t="s">
        <v>1405</v>
      </c>
      <c r="E910" s="454"/>
      <c r="F910" s="451">
        <f t="shared" si="91"/>
        <v>813.5</v>
      </c>
      <c r="G910" s="451">
        <f t="shared" si="91"/>
        <v>813.5</v>
      </c>
    </row>
    <row r="911" spans="1:7" ht="47.25" x14ac:dyDescent="0.25">
      <c r="A911" s="458" t="s">
        <v>272</v>
      </c>
      <c r="B911" s="454" t="s">
        <v>491</v>
      </c>
      <c r="C911" s="454" t="s">
        <v>118</v>
      </c>
      <c r="D911" s="454" t="s">
        <v>1405</v>
      </c>
      <c r="E911" s="454" t="s">
        <v>273</v>
      </c>
      <c r="F911" s="451">
        <f t="shared" si="91"/>
        <v>813.5</v>
      </c>
      <c r="G911" s="451">
        <f t="shared" si="91"/>
        <v>813.5</v>
      </c>
    </row>
    <row r="912" spans="1:7" ht="15.75" x14ac:dyDescent="0.25">
      <c r="A912" s="458" t="s">
        <v>274</v>
      </c>
      <c r="B912" s="454" t="s">
        <v>491</v>
      </c>
      <c r="C912" s="454" t="s">
        <v>118</v>
      </c>
      <c r="D912" s="454" t="s">
        <v>1405</v>
      </c>
      <c r="E912" s="454" t="s">
        <v>275</v>
      </c>
      <c r="F912" s="451">
        <f>'пр.6.1.ведом.22-23 (2)'!G792</f>
        <v>813.5</v>
      </c>
      <c r="G912" s="451">
        <f>'пр.6.1.ведом.22-23 (2)'!H792</f>
        <v>813.5</v>
      </c>
    </row>
    <row r="913" spans="1:7" ht="63" x14ac:dyDescent="0.25">
      <c r="A913" s="34" t="s">
        <v>1360</v>
      </c>
      <c r="B913" s="457" t="s">
        <v>491</v>
      </c>
      <c r="C913" s="457" t="s">
        <v>118</v>
      </c>
      <c r="D913" s="457" t="s">
        <v>324</v>
      </c>
      <c r="E913" s="457"/>
      <c r="F913" s="450">
        <f t="shared" ref="F913:G916" si="92">F914</f>
        <v>0</v>
      </c>
      <c r="G913" s="450">
        <f t="shared" si="92"/>
        <v>8</v>
      </c>
    </row>
    <row r="914" spans="1:7" ht="63" x14ac:dyDescent="0.25">
      <c r="A914" s="34" t="s">
        <v>1024</v>
      </c>
      <c r="B914" s="457" t="s">
        <v>491</v>
      </c>
      <c r="C914" s="457" t="s">
        <v>118</v>
      </c>
      <c r="D914" s="457" t="s">
        <v>934</v>
      </c>
      <c r="E914" s="457"/>
      <c r="F914" s="450">
        <f t="shared" si="92"/>
        <v>0</v>
      </c>
      <c r="G914" s="450">
        <f t="shared" si="92"/>
        <v>8</v>
      </c>
    </row>
    <row r="915" spans="1:7" ht="47.25" x14ac:dyDescent="0.25">
      <c r="A915" s="31" t="s">
        <v>1008</v>
      </c>
      <c r="B915" s="454" t="s">
        <v>491</v>
      </c>
      <c r="C915" s="454" t="s">
        <v>118</v>
      </c>
      <c r="D915" s="454" t="s">
        <v>935</v>
      </c>
      <c r="E915" s="454"/>
      <c r="F915" s="451">
        <f t="shared" si="92"/>
        <v>0</v>
      </c>
      <c r="G915" s="451">
        <f t="shared" si="92"/>
        <v>8</v>
      </c>
    </row>
    <row r="916" spans="1:7" ht="47.25" x14ac:dyDescent="0.25">
      <c r="A916" s="31" t="s">
        <v>272</v>
      </c>
      <c r="B916" s="454" t="s">
        <v>491</v>
      </c>
      <c r="C916" s="454" t="s">
        <v>118</v>
      </c>
      <c r="D916" s="454" t="s">
        <v>935</v>
      </c>
      <c r="E916" s="454" t="s">
        <v>273</v>
      </c>
      <c r="F916" s="451">
        <f t="shared" si="92"/>
        <v>0</v>
      </c>
      <c r="G916" s="451">
        <f t="shared" si="92"/>
        <v>8</v>
      </c>
    </row>
    <row r="917" spans="1:7" ht="15.75" x14ac:dyDescent="0.25">
      <c r="A917" s="31" t="s">
        <v>274</v>
      </c>
      <c r="B917" s="454" t="s">
        <v>491</v>
      </c>
      <c r="C917" s="454" t="s">
        <v>118</v>
      </c>
      <c r="D917" s="454" t="s">
        <v>935</v>
      </c>
      <c r="E917" s="454" t="s">
        <v>275</v>
      </c>
      <c r="F917" s="451">
        <f>'пр.6.1.ведом.22-23 (2)'!G797</f>
        <v>0</v>
      </c>
      <c r="G917" s="451">
        <f>'пр.6.1.ведом.22-23 (2)'!H797</f>
        <v>8</v>
      </c>
    </row>
    <row r="918" spans="1:7" ht="48.95" customHeight="1" x14ac:dyDescent="0.25">
      <c r="A918" s="462" t="s">
        <v>1355</v>
      </c>
      <c r="B918" s="457" t="s">
        <v>491</v>
      </c>
      <c r="C918" s="457" t="s">
        <v>118</v>
      </c>
      <c r="D918" s="457" t="s">
        <v>705</v>
      </c>
      <c r="E918" s="465"/>
      <c r="F918" s="450">
        <f t="shared" ref="F918:G921" si="93">F919</f>
        <v>579.1</v>
      </c>
      <c r="G918" s="450">
        <f t="shared" si="93"/>
        <v>602.29999999999995</v>
      </c>
    </row>
    <row r="919" spans="1:7" ht="63" x14ac:dyDescent="0.25">
      <c r="A919" s="462" t="s">
        <v>890</v>
      </c>
      <c r="B919" s="457" t="s">
        <v>491</v>
      </c>
      <c r="C919" s="457" t="s">
        <v>118</v>
      </c>
      <c r="D919" s="457" t="s">
        <v>888</v>
      </c>
      <c r="E919" s="465"/>
      <c r="F919" s="450">
        <f t="shared" si="93"/>
        <v>579.1</v>
      </c>
      <c r="G919" s="450">
        <f t="shared" si="93"/>
        <v>602.29999999999995</v>
      </c>
    </row>
    <row r="920" spans="1:7" ht="47.25" x14ac:dyDescent="0.25">
      <c r="A920" s="98" t="s">
        <v>780</v>
      </c>
      <c r="B920" s="454" t="s">
        <v>491</v>
      </c>
      <c r="C920" s="454" t="s">
        <v>118</v>
      </c>
      <c r="D920" s="454" t="s">
        <v>936</v>
      </c>
      <c r="E920" s="460"/>
      <c r="F920" s="451">
        <f t="shared" si="93"/>
        <v>579.1</v>
      </c>
      <c r="G920" s="451">
        <f t="shared" si="93"/>
        <v>602.29999999999995</v>
      </c>
    </row>
    <row r="921" spans="1:7" ht="47.25" x14ac:dyDescent="0.25">
      <c r="A921" s="29" t="s">
        <v>272</v>
      </c>
      <c r="B921" s="454" t="s">
        <v>491</v>
      </c>
      <c r="C921" s="454" t="s">
        <v>118</v>
      </c>
      <c r="D921" s="454" t="s">
        <v>936</v>
      </c>
      <c r="E921" s="460" t="s">
        <v>273</v>
      </c>
      <c r="F921" s="451">
        <f t="shared" si="93"/>
        <v>579.1</v>
      </c>
      <c r="G921" s="451">
        <f t="shared" si="93"/>
        <v>602.29999999999995</v>
      </c>
    </row>
    <row r="922" spans="1:7" ht="15.75" x14ac:dyDescent="0.25">
      <c r="A922" s="182" t="s">
        <v>274</v>
      </c>
      <c r="B922" s="454" t="s">
        <v>491</v>
      </c>
      <c r="C922" s="454" t="s">
        <v>118</v>
      </c>
      <c r="D922" s="454" t="s">
        <v>936</v>
      </c>
      <c r="E922" s="460" t="s">
        <v>275</v>
      </c>
      <c r="F922" s="451">
        <f>'пр.6.1.ведом.22-23 (2)'!G802</f>
        <v>579.1</v>
      </c>
      <c r="G922" s="451">
        <f>'пр.6.1.ведом.22-23 (2)'!H802</f>
        <v>602.29999999999995</v>
      </c>
    </row>
    <row r="923" spans="1:7" ht="31.5" x14ac:dyDescent="0.25">
      <c r="A923" s="456" t="s">
        <v>500</v>
      </c>
      <c r="B923" s="457" t="s">
        <v>491</v>
      </c>
      <c r="C923" s="457" t="s">
        <v>234</v>
      </c>
      <c r="D923" s="457"/>
      <c r="E923" s="457"/>
      <c r="F923" s="450">
        <f>F924+F932+F944</f>
        <v>13529.2</v>
      </c>
      <c r="G923" s="450">
        <f>G924+G932+G944</f>
        <v>13529.2</v>
      </c>
    </row>
    <row r="924" spans="1:7" ht="31.5" x14ac:dyDescent="0.25">
      <c r="A924" s="456" t="s">
        <v>917</v>
      </c>
      <c r="B924" s="457" t="s">
        <v>491</v>
      </c>
      <c r="C924" s="457" t="s">
        <v>234</v>
      </c>
      <c r="D924" s="457" t="s">
        <v>858</v>
      </c>
      <c r="E924" s="457"/>
      <c r="F924" s="450">
        <f>F925</f>
        <v>5224.5</v>
      </c>
      <c r="G924" s="450">
        <f>G925</f>
        <v>5224.5</v>
      </c>
    </row>
    <row r="925" spans="1:7" ht="15.75" x14ac:dyDescent="0.25">
      <c r="A925" s="456" t="s">
        <v>918</v>
      </c>
      <c r="B925" s="457" t="s">
        <v>491</v>
      </c>
      <c r="C925" s="457" t="s">
        <v>234</v>
      </c>
      <c r="D925" s="457" t="s">
        <v>859</v>
      </c>
      <c r="E925" s="457"/>
      <c r="F925" s="450">
        <f>F926+F929</f>
        <v>5224.5</v>
      </c>
      <c r="G925" s="450">
        <f>G926+G929</f>
        <v>5224.5</v>
      </c>
    </row>
    <row r="926" spans="1:7" ht="31.5" x14ac:dyDescent="0.25">
      <c r="A926" s="458" t="s">
        <v>897</v>
      </c>
      <c r="B926" s="454" t="s">
        <v>491</v>
      </c>
      <c r="C926" s="454" t="s">
        <v>234</v>
      </c>
      <c r="D926" s="454" t="s">
        <v>860</v>
      </c>
      <c r="E926" s="454"/>
      <c r="F926" s="451">
        <f>F927</f>
        <v>4888.5</v>
      </c>
      <c r="G926" s="451">
        <f>G927</f>
        <v>4888.5</v>
      </c>
    </row>
    <row r="927" spans="1:7" ht="94.5" x14ac:dyDescent="0.25">
      <c r="A927" s="458" t="s">
        <v>127</v>
      </c>
      <c r="B927" s="454" t="s">
        <v>491</v>
      </c>
      <c r="C927" s="454" t="s">
        <v>234</v>
      </c>
      <c r="D927" s="454" t="s">
        <v>860</v>
      </c>
      <c r="E927" s="454" t="s">
        <v>128</v>
      </c>
      <c r="F927" s="451">
        <f>F928</f>
        <v>4888.5</v>
      </c>
      <c r="G927" s="451">
        <f>G928</f>
        <v>4888.5</v>
      </c>
    </row>
    <row r="928" spans="1:7" ht="31.5" x14ac:dyDescent="0.25">
      <c r="A928" s="458" t="s">
        <v>129</v>
      </c>
      <c r="B928" s="454" t="s">
        <v>491</v>
      </c>
      <c r="C928" s="454" t="s">
        <v>234</v>
      </c>
      <c r="D928" s="454" t="s">
        <v>860</v>
      </c>
      <c r="E928" s="454" t="s">
        <v>130</v>
      </c>
      <c r="F928" s="451">
        <f>'пр.6.1.ведом.22-23 (2)'!G808</f>
        <v>4888.5</v>
      </c>
      <c r="G928" s="451">
        <f>'пр.6.1.ведом.22-23 (2)'!H808</f>
        <v>4888.5</v>
      </c>
    </row>
    <row r="929" spans="1:7" ht="47.25" x14ac:dyDescent="0.25">
      <c r="A929" s="458" t="s">
        <v>839</v>
      </c>
      <c r="B929" s="454" t="s">
        <v>491</v>
      </c>
      <c r="C929" s="454" t="s">
        <v>234</v>
      </c>
      <c r="D929" s="454" t="s">
        <v>862</v>
      </c>
      <c r="E929" s="454"/>
      <c r="F929" s="451">
        <f>F930</f>
        <v>336</v>
      </c>
      <c r="G929" s="451">
        <f>G930</f>
        <v>336</v>
      </c>
    </row>
    <row r="930" spans="1:7" ht="94.5" x14ac:dyDescent="0.25">
      <c r="A930" s="458" t="s">
        <v>127</v>
      </c>
      <c r="B930" s="454" t="s">
        <v>491</v>
      </c>
      <c r="C930" s="454" t="s">
        <v>234</v>
      </c>
      <c r="D930" s="454" t="s">
        <v>862</v>
      </c>
      <c r="E930" s="454" t="s">
        <v>128</v>
      </c>
      <c r="F930" s="451">
        <f>F931</f>
        <v>336</v>
      </c>
      <c r="G930" s="451">
        <f>G931</f>
        <v>336</v>
      </c>
    </row>
    <row r="931" spans="1:7" ht="31.5" x14ac:dyDescent="0.25">
      <c r="A931" s="458" t="s">
        <v>129</v>
      </c>
      <c r="B931" s="454" t="s">
        <v>491</v>
      </c>
      <c r="C931" s="454" t="s">
        <v>234</v>
      </c>
      <c r="D931" s="454" t="s">
        <v>862</v>
      </c>
      <c r="E931" s="454" t="s">
        <v>130</v>
      </c>
      <c r="F931" s="451">
        <f>'пр.6.1.ведом.22-23 (2)'!G811</f>
        <v>336</v>
      </c>
      <c r="G931" s="451">
        <f>'пр.6.1.ведом.22-23 (2)'!H811</f>
        <v>336</v>
      </c>
    </row>
    <row r="932" spans="1:7" ht="15.75" x14ac:dyDescent="0.25">
      <c r="A932" s="456" t="s">
        <v>141</v>
      </c>
      <c r="B932" s="457" t="s">
        <v>491</v>
      </c>
      <c r="C932" s="457" t="s">
        <v>234</v>
      </c>
      <c r="D932" s="457" t="s">
        <v>866</v>
      </c>
      <c r="E932" s="457"/>
      <c r="F932" s="450">
        <f>F933</f>
        <v>5304.7</v>
      </c>
      <c r="G932" s="450">
        <f>G933</f>
        <v>5304.7</v>
      </c>
    </row>
    <row r="933" spans="1:7" ht="32.65" customHeight="1" x14ac:dyDescent="0.25">
      <c r="A933" s="456" t="s">
        <v>929</v>
      </c>
      <c r="B933" s="457" t="s">
        <v>491</v>
      </c>
      <c r="C933" s="457" t="s">
        <v>234</v>
      </c>
      <c r="D933" s="457" t="s">
        <v>914</v>
      </c>
      <c r="E933" s="457"/>
      <c r="F933" s="450">
        <f>F934+F941</f>
        <v>5304.7</v>
      </c>
      <c r="G933" s="450">
        <f>G934+G941</f>
        <v>5304.7</v>
      </c>
    </row>
    <row r="934" spans="1:7" ht="31.5" x14ac:dyDescent="0.25">
      <c r="A934" s="458" t="s">
        <v>903</v>
      </c>
      <c r="B934" s="454" t="s">
        <v>491</v>
      </c>
      <c r="C934" s="454" t="s">
        <v>234</v>
      </c>
      <c r="D934" s="454" t="s">
        <v>915</v>
      </c>
      <c r="E934" s="454"/>
      <c r="F934" s="451">
        <f>F937+F939+F935</f>
        <v>5089.7</v>
      </c>
      <c r="G934" s="451">
        <f>G937+G939+G935</f>
        <v>5089.7</v>
      </c>
    </row>
    <row r="935" spans="1:7" ht="94.5" x14ac:dyDescent="0.25">
      <c r="A935" s="458" t="s">
        <v>127</v>
      </c>
      <c r="B935" s="454" t="s">
        <v>491</v>
      </c>
      <c r="C935" s="454" t="s">
        <v>234</v>
      </c>
      <c r="D935" s="454" t="s">
        <v>915</v>
      </c>
      <c r="E935" s="454" t="s">
        <v>128</v>
      </c>
      <c r="F935" s="451">
        <f>F936</f>
        <v>4695.3999999999996</v>
      </c>
      <c r="G935" s="451">
        <f>G936</f>
        <v>4695.3999999999996</v>
      </c>
    </row>
    <row r="936" spans="1:7" ht="31.5" x14ac:dyDescent="0.25">
      <c r="A936" s="458" t="s">
        <v>342</v>
      </c>
      <c r="B936" s="454" t="s">
        <v>491</v>
      </c>
      <c r="C936" s="454" t="s">
        <v>234</v>
      </c>
      <c r="D936" s="454" t="s">
        <v>915</v>
      </c>
      <c r="E936" s="454" t="s">
        <v>209</v>
      </c>
      <c r="F936" s="451">
        <f>'пр.6.1.ведом.22-23 (2)'!G816</f>
        <v>4695.3999999999996</v>
      </c>
      <c r="G936" s="451">
        <f>'пр.6.1.ведом.22-23 (2)'!H816</f>
        <v>4695.3999999999996</v>
      </c>
    </row>
    <row r="937" spans="1:7" ht="31.5" x14ac:dyDescent="0.25">
      <c r="A937" s="458" t="s">
        <v>131</v>
      </c>
      <c r="B937" s="454" t="s">
        <v>491</v>
      </c>
      <c r="C937" s="454" t="s">
        <v>234</v>
      </c>
      <c r="D937" s="454" t="s">
        <v>915</v>
      </c>
      <c r="E937" s="454" t="s">
        <v>132</v>
      </c>
      <c r="F937" s="451">
        <f>F938</f>
        <v>343.3</v>
      </c>
      <c r="G937" s="451">
        <f>G938</f>
        <v>343.3</v>
      </c>
    </row>
    <row r="938" spans="1:7" ht="47.25" x14ac:dyDescent="0.25">
      <c r="A938" s="458" t="s">
        <v>133</v>
      </c>
      <c r="B938" s="454" t="s">
        <v>491</v>
      </c>
      <c r="C938" s="454" t="s">
        <v>234</v>
      </c>
      <c r="D938" s="454" t="s">
        <v>915</v>
      </c>
      <c r="E938" s="454" t="s">
        <v>134</v>
      </c>
      <c r="F938" s="451">
        <f>'пр.6.1.ведом.22-23 (2)'!G818</f>
        <v>343.3</v>
      </c>
      <c r="G938" s="451">
        <f>'пр.6.1.ведом.22-23 (2)'!H818</f>
        <v>343.3</v>
      </c>
    </row>
    <row r="939" spans="1:7" ht="15.75" x14ac:dyDescent="0.25">
      <c r="A939" s="458" t="s">
        <v>135</v>
      </c>
      <c r="B939" s="454" t="s">
        <v>491</v>
      </c>
      <c r="C939" s="454" t="s">
        <v>234</v>
      </c>
      <c r="D939" s="454" t="s">
        <v>915</v>
      </c>
      <c r="E939" s="454" t="s">
        <v>145</v>
      </c>
      <c r="F939" s="451">
        <f>F940</f>
        <v>51</v>
      </c>
      <c r="G939" s="451">
        <f>G940</f>
        <v>51</v>
      </c>
    </row>
    <row r="940" spans="1:7" ht="15.75" x14ac:dyDescent="0.25">
      <c r="A940" s="458" t="s">
        <v>568</v>
      </c>
      <c r="B940" s="454" t="s">
        <v>491</v>
      </c>
      <c r="C940" s="454" t="s">
        <v>234</v>
      </c>
      <c r="D940" s="454" t="s">
        <v>915</v>
      </c>
      <c r="E940" s="454" t="s">
        <v>138</v>
      </c>
      <c r="F940" s="451">
        <f>'пр.6.1.ведом.22-23 (2)'!G820</f>
        <v>51</v>
      </c>
      <c r="G940" s="451">
        <f>'пр.6.1.ведом.22-23 (2)'!H820</f>
        <v>51</v>
      </c>
    </row>
    <row r="941" spans="1:7" ht="47.25" x14ac:dyDescent="0.25">
      <c r="A941" s="458" t="s">
        <v>839</v>
      </c>
      <c r="B941" s="454" t="s">
        <v>491</v>
      </c>
      <c r="C941" s="454" t="s">
        <v>234</v>
      </c>
      <c r="D941" s="454" t="s">
        <v>916</v>
      </c>
      <c r="E941" s="454"/>
      <c r="F941" s="451">
        <f>F942</f>
        <v>215</v>
      </c>
      <c r="G941" s="451">
        <f>G942</f>
        <v>215</v>
      </c>
    </row>
    <row r="942" spans="1:7" ht="94.5" x14ac:dyDescent="0.25">
      <c r="A942" s="458" t="s">
        <v>127</v>
      </c>
      <c r="B942" s="454" t="s">
        <v>491</v>
      </c>
      <c r="C942" s="454" t="s">
        <v>234</v>
      </c>
      <c r="D942" s="454" t="s">
        <v>916</v>
      </c>
      <c r="E942" s="454" t="s">
        <v>128</v>
      </c>
      <c r="F942" s="451">
        <f>F943</f>
        <v>215</v>
      </c>
      <c r="G942" s="451">
        <f>G943</f>
        <v>215</v>
      </c>
    </row>
    <row r="943" spans="1:7" ht="31.5" x14ac:dyDescent="0.25">
      <c r="A943" s="458" t="s">
        <v>129</v>
      </c>
      <c r="B943" s="454" t="s">
        <v>491</v>
      </c>
      <c r="C943" s="454" t="s">
        <v>234</v>
      </c>
      <c r="D943" s="454" t="s">
        <v>916</v>
      </c>
      <c r="E943" s="454" t="s">
        <v>130</v>
      </c>
      <c r="F943" s="451">
        <f>'пр.6.1.ведом.22-23 (2)'!G823</f>
        <v>215</v>
      </c>
      <c r="G943" s="451">
        <f>'пр.6.1.ведом.22-23 (2)'!H823</f>
        <v>215</v>
      </c>
    </row>
    <row r="944" spans="1:7" ht="47.25" x14ac:dyDescent="0.25">
      <c r="A944" s="462" t="s">
        <v>1372</v>
      </c>
      <c r="B944" s="457" t="s">
        <v>491</v>
      </c>
      <c r="C944" s="457" t="s">
        <v>234</v>
      </c>
      <c r="D944" s="7" t="s">
        <v>482</v>
      </c>
      <c r="E944" s="457"/>
      <c r="F944" s="450">
        <f>F945</f>
        <v>3000</v>
      </c>
      <c r="G944" s="450">
        <f>G945</f>
        <v>3000</v>
      </c>
    </row>
    <row r="945" spans="1:7" ht="31.5" x14ac:dyDescent="0.25">
      <c r="A945" s="58" t="s">
        <v>951</v>
      </c>
      <c r="B945" s="457" t="s">
        <v>491</v>
      </c>
      <c r="C945" s="457" t="s">
        <v>234</v>
      </c>
      <c r="D945" s="7" t="s">
        <v>1272</v>
      </c>
      <c r="E945" s="457"/>
      <c r="F945" s="450">
        <f t="shared" ref="F945:G945" si="94">F946</f>
        <v>3000</v>
      </c>
      <c r="G945" s="450">
        <f t="shared" si="94"/>
        <v>3000</v>
      </c>
    </row>
    <row r="946" spans="1:7" ht="31.5" x14ac:dyDescent="0.25">
      <c r="A946" s="29" t="s">
        <v>952</v>
      </c>
      <c r="B946" s="454" t="s">
        <v>491</v>
      </c>
      <c r="C946" s="454" t="s">
        <v>234</v>
      </c>
      <c r="D946" s="461" t="s">
        <v>1273</v>
      </c>
      <c r="E946" s="454"/>
      <c r="F946" s="451">
        <f>F947+F949</f>
        <v>3000</v>
      </c>
      <c r="G946" s="451">
        <f>G947+G949</f>
        <v>3000</v>
      </c>
    </row>
    <row r="947" spans="1:7" ht="94.5" x14ac:dyDescent="0.25">
      <c r="A947" s="458" t="s">
        <v>127</v>
      </c>
      <c r="B947" s="454" t="s">
        <v>491</v>
      </c>
      <c r="C947" s="454" t="s">
        <v>234</v>
      </c>
      <c r="D947" s="461" t="s">
        <v>1273</v>
      </c>
      <c r="E947" s="454" t="s">
        <v>128</v>
      </c>
      <c r="F947" s="451">
        <f>F948</f>
        <v>2500</v>
      </c>
      <c r="G947" s="451">
        <f>G948</f>
        <v>2500</v>
      </c>
    </row>
    <row r="948" spans="1:7" ht="31.5" x14ac:dyDescent="0.25">
      <c r="A948" s="458" t="s">
        <v>342</v>
      </c>
      <c r="B948" s="454" t="s">
        <v>491</v>
      </c>
      <c r="C948" s="454" t="s">
        <v>234</v>
      </c>
      <c r="D948" s="461" t="s">
        <v>1273</v>
      </c>
      <c r="E948" s="454" t="s">
        <v>209</v>
      </c>
      <c r="F948" s="451">
        <f>'пр.6.1.ведом.22-23 (2)'!G828</f>
        <v>2500</v>
      </c>
      <c r="G948" s="451">
        <f>'пр.6.1.ведом.22-23 (2)'!H828</f>
        <v>2500</v>
      </c>
    </row>
    <row r="949" spans="1:7" ht="31.5" x14ac:dyDescent="0.25">
      <c r="A949" s="29" t="s">
        <v>131</v>
      </c>
      <c r="B949" s="454" t="s">
        <v>491</v>
      </c>
      <c r="C949" s="454" t="s">
        <v>234</v>
      </c>
      <c r="D949" s="461" t="s">
        <v>1273</v>
      </c>
      <c r="E949" s="454" t="s">
        <v>132</v>
      </c>
      <c r="F949" s="451">
        <f>F950</f>
        <v>500</v>
      </c>
      <c r="G949" s="451">
        <f>G950</f>
        <v>500</v>
      </c>
    </row>
    <row r="950" spans="1:7" ht="47.25" x14ac:dyDescent="0.25">
      <c r="A950" s="29" t="s">
        <v>133</v>
      </c>
      <c r="B950" s="454" t="s">
        <v>491</v>
      </c>
      <c r="C950" s="454" t="s">
        <v>234</v>
      </c>
      <c r="D950" s="461" t="s">
        <v>1273</v>
      </c>
      <c r="E950" s="454" t="s">
        <v>134</v>
      </c>
      <c r="F950" s="451">
        <f>'пр.6.1.ведом.22-23 (2)'!G830</f>
        <v>500</v>
      </c>
      <c r="G950" s="451">
        <f>'пр.6.1.ведом.22-23 (2)'!H830</f>
        <v>500</v>
      </c>
    </row>
    <row r="951" spans="1:7" ht="15.75" x14ac:dyDescent="0.25">
      <c r="A951" s="462" t="s">
        <v>582</v>
      </c>
      <c r="B951" s="7" t="s">
        <v>238</v>
      </c>
      <c r="C951" s="461"/>
      <c r="D951" s="461"/>
      <c r="E951" s="461"/>
      <c r="F951" s="450">
        <f t="shared" ref="F951:G951" si="95">F952</f>
        <v>5873.2</v>
      </c>
      <c r="G951" s="450">
        <f t="shared" si="95"/>
        <v>5876.2</v>
      </c>
    </row>
    <row r="952" spans="1:7" ht="15.75" x14ac:dyDescent="0.25">
      <c r="A952" s="462" t="s">
        <v>583</v>
      </c>
      <c r="B952" s="7" t="s">
        <v>238</v>
      </c>
      <c r="C952" s="7" t="s">
        <v>213</v>
      </c>
      <c r="D952" s="7"/>
      <c r="E952" s="7"/>
      <c r="F952" s="450">
        <f>F953+F965</f>
        <v>5873.2</v>
      </c>
      <c r="G952" s="450">
        <f>G953+G965</f>
        <v>5876.2</v>
      </c>
    </row>
    <row r="953" spans="1:7" ht="47.25" x14ac:dyDescent="0.25">
      <c r="A953" s="456" t="s">
        <v>1354</v>
      </c>
      <c r="B953" s="457" t="s">
        <v>238</v>
      </c>
      <c r="C953" s="457" t="s">
        <v>213</v>
      </c>
      <c r="D953" s="457" t="s">
        <v>267</v>
      </c>
      <c r="E953" s="457"/>
      <c r="F953" s="450">
        <f>F954</f>
        <v>5798.3</v>
      </c>
      <c r="G953" s="450">
        <f>G954</f>
        <v>5798.3</v>
      </c>
    </row>
    <row r="954" spans="1:7" ht="47.25" x14ac:dyDescent="0.25">
      <c r="A954" s="456" t="s">
        <v>1301</v>
      </c>
      <c r="B954" s="457" t="s">
        <v>238</v>
      </c>
      <c r="C954" s="457" t="s">
        <v>213</v>
      </c>
      <c r="D954" s="457" t="s">
        <v>1204</v>
      </c>
      <c r="E954" s="457"/>
      <c r="F954" s="450">
        <f>F955+F962</f>
        <v>5798.3</v>
      </c>
      <c r="G954" s="450">
        <f>G955+G962</f>
        <v>5798.3</v>
      </c>
    </row>
    <row r="955" spans="1:7" ht="31.5" x14ac:dyDescent="0.25">
      <c r="A955" s="458" t="s">
        <v>801</v>
      </c>
      <c r="B955" s="454" t="s">
        <v>238</v>
      </c>
      <c r="C955" s="454" t="s">
        <v>213</v>
      </c>
      <c r="D955" s="454" t="s">
        <v>1205</v>
      </c>
      <c r="E955" s="454"/>
      <c r="F955" s="451">
        <f>F956+F958+F960</f>
        <v>5522.3</v>
      </c>
      <c r="G955" s="451">
        <f>G956+G958+G960</f>
        <v>5522.3</v>
      </c>
    </row>
    <row r="956" spans="1:7" ht="94.5" x14ac:dyDescent="0.25">
      <c r="A956" s="458" t="s">
        <v>127</v>
      </c>
      <c r="B956" s="454" t="s">
        <v>238</v>
      </c>
      <c r="C956" s="454" t="s">
        <v>213</v>
      </c>
      <c r="D956" s="454" t="s">
        <v>1205</v>
      </c>
      <c r="E956" s="454" t="s">
        <v>128</v>
      </c>
      <c r="F956" s="451">
        <f>F957</f>
        <v>4897.2</v>
      </c>
      <c r="G956" s="451">
        <f>G957</f>
        <v>4897.2</v>
      </c>
    </row>
    <row r="957" spans="1:7" ht="31.5" x14ac:dyDescent="0.25">
      <c r="A957" s="458" t="s">
        <v>208</v>
      </c>
      <c r="B957" s="454" t="s">
        <v>238</v>
      </c>
      <c r="C957" s="454" t="s">
        <v>213</v>
      </c>
      <c r="D957" s="454" t="s">
        <v>1205</v>
      </c>
      <c r="E957" s="454" t="s">
        <v>209</v>
      </c>
      <c r="F957" s="451">
        <f>'пр.6.1.ведом.22-23 (2)'!G474</f>
        <v>4897.2</v>
      </c>
      <c r="G957" s="451">
        <f>'пр.6.1.ведом.22-23 (2)'!H474</f>
        <v>4897.2</v>
      </c>
    </row>
    <row r="958" spans="1:7" ht="31.5" x14ac:dyDescent="0.25">
      <c r="A958" s="458" t="s">
        <v>131</v>
      </c>
      <c r="B958" s="454" t="s">
        <v>238</v>
      </c>
      <c r="C958" s="454" t="s">
        <v>213</v>
      </c>
      <c r="D958" s="454" t="s">
        <v>1205</v>
      </c>
      <c r="E958" s="454" t="s">
        <v>132</v>
      </c>
      <c r="F958" s="451">
        <f>F959</f>
        <v>595.1</v>
      </c>
      <c r="G958" s="451">
        <f>G959</f>
        <v>595.1</v>
      </c>
    </row>
    <row r="959" spans="1:7" ht="47.25" x14ac:dyDescent="0.25">
      <c r="A959" s="458" t="s">
        <v>133</v>
      </c>
      <c r="B959" s="454" t="s">
        <v>238</v>
      </c>
      <c r="C959" s="454" t="s">
        <v>213</v>
      </c>
      <c r="D959" s="454" t="s">
        <v>1205</v>
      </c>
      <c r="E959" s="454" t="s">
        <v>134</v>
      </c>
      <c r="F959" s="451">
        <f>'пр.6.1.ведом.22-23 (2)'!G476</f>
        <v>595.1</v>
      </c>
      <c r="G959" s="451">
        <f>'пр.6.1.ведом.22-23 (2)'!H476</f>
        <v>595.1</v>
      </c>
    </row>
    <row r="960" spans="1:7" ht="15.75" x14ac:dyDescent="0.25">
      <c r="A960" s="458" t="s">
        <v>135</v>
      </c>
      <c r="B960" s="454" t="s">
        <v>238</v>
      </c>
      <c r="C960" s="454" t="s">
        <v>213</v>
      </c>
      <c r="D960" s="454" t="s">
        <v>1205</v>
      </c>
      <c r="E960" s="454" t="s">
        <v>145</v>
      </c>
      <c r="F960" s="451">
        <f>F961</f>
        <v>30</v>
      </c>
      <c r="G960" s="451">
        <f>G961</f>
        <v>30</v>
      </c>
    </row>
    <row r="961" spans="1:7" ht="24.75" customHeight="1" x14ac:dyDescent="0.25">
      <c r="A961" s="458" t="s">
        <v>568</v>
      </c>
      <c r="B961" s="454" t="s">
        <v>238</v>
      </c>
      <c r="C961" s="454" t="s">
        <v>213</v>
      </c>
      <c r="D961" s="454" t="s">
        <v>1205</v>
      </c>
      <c r="E961" s="454" t="s">
        <v>138</v>
      </c>
      <c r="F961" s="451">
        <f>'пр.6.1.ведом.22-23 (2)'!G478</f>
        <v>30</v>
      </c>
      <c r="G961" s="451">
        <f>'пр.6.1.ведом.22-23 (2)'!H478</f>
        <v>30</v>
      </c>
    </row>
    <row r="962" spans="1:7" ht="47.25" x14ac:dyDescent="0.25">
      <c r="A962" s="458" t="s">
        <v>839</v>
      </c>
      <c r="B962" s="454" t="s">
        <v>238</v>
      </c>
      <c r="C962" s="454" t="s">
        <v>213</v>
      </c>
      <c r="D962" s="454" t="s">
        <v>1313</v>
      </c>
      <c r="E962" s="454"/>
      <c r="F962" s="451">
        <f>F963</f>
        <v>276</v>
      </c>
      <c r="G962" s="451">
        <f>G963</f>
        <v>276</v>
      </c>
    </row>
    <row r="963" spans="1:7" ht="94.5" x14ac:dyDescent="0.25">
      <c r="A963" s="458" t="s">
        <v>127</v>
      </c>
      <c r="B963" s="454" t="s">
        <v>238</v>
      </c>
      <c r="C963" s="454" t="s">
        <v>213</v>
      </c>
      <c r="D963" s="454" t="s">
        <v>1313</v>
      </c>
      <c r="E963" s="454" t="s">
        <v>128</v>
      </c>
      <c r="F963" s="451">
        <f>F964</f>
        <v>276</v>
      </c>
      <c r="G963" s="451">
        <f>G964</f>
        <v>276</v>
      </c>
    </row>
    <row r="964" spans="1:7" ht="31.5" x14ac:dyDescent="0.25">
      <c r="A964" s="458" t="s">
        <v>129</v>
      </c>
      <c r="B964" s="454" t="s">
        <v>238</v>
      </c>
      <c r="C964" s="454" t="s">
        <v>213</v>
      </c>
      <c r="D964" s="454" t="s">
        <v>1313</v>
      </c>
      <c r="E964" s="454" t="s">
        <v>209</v>
      </c>
      <c r="F964" s="451">
        <f>'пр.6.1.ведом.22-23 (2)'!G482</f>
        <v>276</v>
      </c>
      <c r="G964" s="451">
        <f>'пр.6.1.ведом.22-23 (2)'!H482</f>
        <v>276</v>
      </c>
    </row>
    <row r="965" spans="1:7" ht="63" x14ac:dyDescent="0.25">
      <c r="A965" s="462" t="s">
        <v>1355</v>
      </c>
      <c r="B965" s="457" t="s">
        <v>238</v>
      </c>
      <c r="C965" s="457" t="s">
        <v>213</v>
      </c>
      <c r="D965" s="457" t="s">
        <v>705</v>
      </c>
      <c r="E965" s="465"/>
      <c r="F965" s="450">
        <f t="shared" ref="F965:G968" si="96">F966</f>
        <v>74.900000000000006</v>
      </c>
      <c r="G965" s="450">
        <f t="shared" si="96"/>
        <v>77.900000000000006</v>
      </c>
    </row>
    <row r="966" spans="1:7" ht="53.1" customHeight="1" x14ac:dyDescent="0.25">
      <c r="A966" s="462" t="s">
        <v>890</v>
      </c>
      <c r="B966" s="457" t="s">
        <v>238</v>
      </c>
      <c r="C966" s="457" t="s">
        <v>213</v>
      </c>
      <c r="D966" s="457" t="s">
        <v>888</v>
      </c>
      <c r="E966" s="465"/>
      <c r="F966" s="450">
        <f t="shared" si="96"/>
        <v>74.900000000000006</v>
      </c>
      <c r="G966" s="450">
        <f t="shared" si="96"/>
        <v>77.900000000000006</v>
      </c>
    </row>
    <row r="967" spans="1:7" ht="47.25" x14ac:dyDescent="0.25">
      <c r="A967" s="98" t="s">
        <v>1004</v>
      </c>
      <c r="B967" s="454" t="s">
        <v>238</v>
      </c>
      <c r="C967" s="454" t="s">
        <v>213</v>
      </c>
      <c r="D967" s="454" t="s">
        <v>889</v>
      </c>
      <c r="E967" s="460"/>
      <c r="F967" s="451">
        <f t="shared" si="96"/>
        <v>74.900000000000006</v>
      </c>
      <c r="G967" s="451">
        <f t="shared" si="96"/>
        <v>77.900000000000006</v>
      </c>
    </row>
    <row r="968" spans="1:7" ht="31.5" x14ac:dyDescent="0.25">
      <c r="A968" s="458" t="s">
        <v>131</v>
      </c>
      <c r="B968" s="454" t="s">
        <v>238</v>
      </c>
      <c r="C968" s="454" t="s">
        <v>213</v>
      </c>
      <c r="D968" s="454" t="s">
        <v>889</v>
      </c>
      <c r="E968" s="460" t="s">
        <v>132</v>
      </c>
      <c r="F968" s="451">
        <f t="shared" si="96"/>
        <v>74.900000000000006</v>
      </c>
      <c r="G968" s="451">
        <f t="shared" si="96"/>
        <v>77.900000000000006</v>
      </c>
    </row>
    <row r="969" spans="1:7" ht="47.25" x14ac:dyDescent="0.25">
      <c r="A969" s="458" t="s">
        <v>133</v>
      </c>
      <c r="B969" s="454" t="s">
        <v>238</v>
      </c>
      <c r="C969" s="454" t="s">
        <v>213</v>
      </c>
      <c r="D969" s="454" t="s">
        <v>889</v>
      </c>
      <c r="E969" s="460" t="s">
        <v>134</v>
      </c>
      <c r="F969" s="451">
        <f>'пр.6.1.ведом.22-23 (2)'!G487</f>
        <v>74.900000000000006</v>
      </c>
      <c r="G969" s="451">
        <f>'пр.6.1.ведом.22-23 (2)'!H487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64">
        <f>F9+F230+F249+F314+F478+F741+F885+F951+F829+F8</f>
        <v>736280.60250000004</v>
      </c>
      <c r="G970" s="364">
        <f>G9+G230+G249+G314+G478+G741+G885+G951+G829+G8</f>
        <v>777267.39999999991</v>
      </c>
    </row>
    <row r="971" spans="1:7" ht="15.75" x14ac:dyDescent="0.25">
      <c r="F971" s="450">
        <f>'пр.6.1.ведом.22-23 (2)'!G1094</f>
        <v>736280.59999999986</v>
      </c>
      <c r="G971" s="450">
        <f>'пр.6.1.ведом.22-23 (2)'!H1094</f>
        <v>777267.39999999991</v>
      </c>
    </row>
    <row r="972" spans="1:7" ht="15.75" x14ac:dyDescent="0.25">
      <c r="F972" s="450">
        <f>F971-F970</f>
        <v>-2.5000001769512892E-3</v>
      </c>
      <c r="G972" s="450">
        <f>G971-G970</f>
        <v>0</v>
      </c>
    </row>
  </sheetData>
  <autoFilter ref="A7:G972"/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пр.1дох.21</vt:lpstr>
      <vt:lpstr>Пр.1.1. дох.22-23</vt:lpstr>
      <vt:lpstr>Пр.1.1. дох.22-23 (2)</vt:lpstr>
      <vt:lpstr>пр.2 Рд,пр 21</vt:lpstr>
      <vt:lpstr>пр.4.1. рдпр 22-23</vt:lpstr>
      <vt:lpstr>пр.4.1. рдпр 22-23 (2)</vt:lpstr>
      <vt:lpstr>Пр.3 Рд,пр, ЦС,ВР 21</vt:lpstr>
      <vt:lpstr>пр.5.1.рдпрцс 22-23</vt:lpstr>
      <vt:lpstr>пр.5.1.рдпрцс 22-23 (2)</vt:lpstr>
      <vt:lpstr>Пр.4 ведом.21</vt:lpstr>
      <vt:lpstr>Прил.№5 ведомств.старая</vt:lpstr>
      <vt:lpstr>пр.6.1.ведом.22-23</vt:lpstr>
      <vt:lpstr>пр.6.1.ведом.22-23 (2)</vt:lpstr>
      <vt:lpstr>пр.5 МП 21</vt:lpstr>
      <vt:lpstr>прил.№6 МП старая</vt:lpstr>
      <vt:lpstr>пр.7.1.МП 22-23</vt:lpstr>
      <vt:lpstr>пр. 6 публ. 21</vt:lpstr>
      <vt:lpstr>пр.8.1.публ.22-23</vt:lpstr>
      <vt:lpstr>пр.7.1.МП 22-23 (2)</vt:lpstr>
      <vt:lpstr>пр.7 ист-ки 21</vt:lpstr>
      <vt:lpstr>пр.8.1.ист-ки 22-23  (2)</vt:lpstr>
      <vt:lpstr>пр.8.1.ист-ки 22-23 </vt:lpstr>
      <vt:lpstr>'Пр.1.1. дох.22-23'!Область_печати</vt:lpstr>
      <vt:lpstr>'Пр.1.1. дох.22-23 (2)'!Область_печати</vt:lpstr>
      <vt:lpstr>пр.1дох.21!Область_печати</vt:lpstr>
      <vt:lpstr>'пр.2 Рд,пр 21'!Область_печати</vt:lpstr>
      <vt:lpstr>'Пр.3 Рд,пр, ЦС,ВР 21'!Область_печати</vt:lpstr>
      <vt:lpstr>'Пр.4 ведом.21'!Область_печати</vt:lpstr>
      <vt:lpstr>'пр.5 МП 21'!Область_печати</vt:lpstr>
      <vt:lpstr>'пр.5.1.рдпрцс 22-23'!Область_печати</vt:lpstr>
      <vt:lpstr>'пр.5.1.рдпрцс 22-23 (2)'!Область_печати</vt:lpstr>
      <vt:lpstr>'пр.6.1.ведом.22-23'!Область_печати</vt:lpstr>
      <vt:lpstr>'пр.6.1.ведом.22-23 (2)'!Область_печати</vt:lpstr>
      <vt:lpstr>'пр.7 ист-ки 21'!Область_печати</vt:lpstr>
      <vt:lpstr>'пр.7.1.МП 22-23'!Область_печати</vt:lpstr>
      <vt:lpstr>'пр.7.1.МП 22-23 (2)'!Область_печати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2021-10-18T00:45:15Z</dcterms:modified>
</cp:coreProperties>
</file>